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100" sheetId="54" r:id="rId11"/>
    <sheet name="OSR_Div 3_18723PH" sheetId="13" state="hidden" r:id="rId12"/>
    <sheet name="OSR_300 (2)_7...54cb56fc_UFX0O2" sheetId="14" state="hidden" r:id="rId13"/>
    <sheet name="OSR_300_IYZXI6" sheetId="16" state="hidden" r:id="rId14"/>
    <sheet name="OSR_310 (2)_5...3d931dee_QNK8R2" sheetId="17" state="hidden" r:id="rId15"/>
    <sheet name="OSR_300 &amp; 317_1C00ID4" sheetId="19" state="hidden" r:id="rId16"/>
    <sheet name="OSR_300 (2)_...6aa5a22d_14M6XO4" sheetId="20" state="hidden" r:id="rId17"/>
    <sheet name="OSR_310_1CMTOSB" sheetId="22" state="hidden" r:id="rId18"/>
    <sheet name="OSR_300 (2)_e...5d0da5bf_6BPGAO" sheetId="23" state="hidden" r:id="rId19"/>
    <sheet name="OSR_330_10VFP5Y" sheetId="25" state="hidden" r:id="rId20"/>
    <sheet name="OSR_310 (2)_...6e684f08_1FLCNJG" sheetId="26" state="hidden" r:id="rId21"/>
    <sheet name="OSR_308_UAWDAG" sheetId="28" state="hidden" r:id="rId22"/>
    <sheet name="OSR_330 (2)_...8a14c83e_1NSH7XI" sheetId="29" state="hidden" r:id="rId23"/>
    <sheet name="OSR_331_10VKQAJ" sheetId="31" state="hidden" r:id="rId24"/>
    <sheet name="OSR_308 (2)_...47685838_1YQW4QY" sheetId="32" state="hidden" r:id="rId25"/>
    <sheet name="OSR_332_6NDVBW" sheetId="34" state="hidden" r:id="rId26"/>
    <sheet name="OSR_331 (2)_...7280af70_1P5SPLT" sheetId="35" state="hidden" r:id="rId27"/>
    <sheet name="OSR_Div 4_1740TMT" sheetId="37" state="hidden" r:id="rId28"/>
    <sheet name="OSR_310 (2)_...8cac1423_1JTU33X" sheetId="38" state="hidden" r:id="rId29"/>
    <sheet name="OSR_310 &amp; 491_1NGRCS9" sheetId="40" state="hidden" r:id="rId30"/>
    <sheet name="OSR_491 (2)_...853a34aa_1UNC34K" sheetId="41" state="hidden" r:id="rId31"/>
    <sheet name="OSR_491_9Z9JH5" sheetId="43" state="hidden" r:id="rId32"/>
    <sheet name="OSR_Div 4 (2...2533da42_174R6QX" sheetId="44" state="hidden" r:id="rId33"/>
    <sheet name="OSR_492_943FP1" sheetId="46" state="hidden" r:id="rId34"/>
    <sheet name="OSR_Div 4 (2)...1a9a4454_CQFRNE" sheetId="47" state="hidden" r:id="rId35"/>
    <sheet name="OSR_Div 5_16NAZO2" sheetId="49" state="hidden" r:id="rId36"/>
    <sheet name="OSR_492 (2)_...cd97c6a6_13HYXEV" sheetId="50" state="hidden" r:id="rId37"/>
    <sheet name="OSR_Div 6_P37YY7" sheetId="52" state="hidden" r:id="rId38"/>
    <sheet name="OSR_Div 5 (2)...32d16c57_IVJ1QO" sheetId="53" state="hidden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32" sheetId="33" r:id="rId61"/>
    <sheet name="316" sheetId="76" r:id="rId62"/>
    <sheet name="320" sheetId="79" r:id="rId63"/>
    <sheet name="Div 6" sheetId="51" r:id="rId64"/>
    <sheet name="317" sheetId="77" r:id="rId65"/>
    <sheet name="310" sheetId="21" r:id="rId66"/>
    <sheet name="309" sheetId="70" r:id="rId67"/>
    <sheet name="313" sheetId="73" r:id="rId68"/>
    <sheet name="321" sheetId="80" r:id="rId69"/>
    <sheet name="322" sheetId="81" r:id="rId70"/>
    <sheet name="325" sheetId="84" r:id="rId71"/>
    <sheet name="326" sheetId="85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13" sheetId="94" r:id="rId81"/>
    <sheet name="414" sheetId="95" r:id="rId82"/>
    <sheet name="415" sheetId="96" r:id="rId83"/>
    <sheet name="418" sheetId="98" r:id="rId84"/>
    <sheet name="420" sheetId="99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50" sheetId="108" r:id="rId95"/>
    <sheet name="Div 5" sheetId="48" r:id="rId96"/>
    <sheet name="501" sheetId="110" r:id="rId97"/>
    <sheet name="Dept" sheetId="111" state="hidden" r:id="rId98"/>
    <sheet name="OSR_Dept_Y0WUKY" sheetId="112" state="hidden" r:id="rId99"/>
    <sheet name="OSR_Summary (...56e5d78f_5JEYZH" sheetId="113" state="hidden" r:id="rId100"/>
  </sheets>
  <definedNames>
    <definedName name="OSRRefD13x_0" localSheetId="48">'300'!$D$13:$D$101</definedName>
    <definedName name="OSRRefD13x_0" localSheetId="49">'300 &amp; 317'!$D$13:$D$119</definedName>
    <definedName name="OSRRefD13x_0" localSheetId="53">'307'!$D$13:$D$42</definedName>
    <definedName name="OSRRefD13x_0" localSheetId="55">'308'!$D$13:$D$39</definedName>
    <definedName name="OSRRefD13x_0" localSheetId="66">'309'!$D$13:$D$15</definedName>
    <definedName name="OSRRefD13x_0" localSheetId="65">'310'!$D$13:$D$22</definedName>
    <definedName name="OSRRefD13x_0" localSheetId="74">'310 &amp; 491'!$D$13:$D$29</definedName>
    <definedName name="OSRRefD13x_0" localSheetId="56">'311'!$D$13:$D$39</definedName>
    <definedName name="OSRRefD13x_0" localSheetId="67">'313'!$D$13:$D$18</definedName>
    <definedName name="OSRRefD13x_0" localSheetId="54">'314'!$D$13:$D$34</definedName>
    <definedName name="OSRRefD13x_0" localSheetId="59">'315'!$D$13:$D$33</definedName>
    <definedName name="OSRRefD13x_0" localSheetId="61">'316'!$D$13:$D$25</definedName>
    <definedName name="OSRRefD13x_0" localSheetId="64">'317'!$D$13:$D$38</definedName>
    <definedName name="OSRRefD13x_0" localSheetId="62">'320'!$D$13:$D$15</definedName>
    <definedName name="OSRRefD13x_0" localSheetId="68">'321'!$D$13:$D$15</definedName>
    <definedName name="OSRRefD13x_0" localSheetId="69">'322'!$D$13:$D$15</definedName>
    <definedName name="OSRRefD13x_0" localSheetId="57">'324'!$D$13:$D$15</definedName>
    <definedName name="OSRRefD13x_0" localSheetId="70">'325'!$D$13:$D$15</definedName>
    <definedName name="OSRRefD13x_0" localSheetId="71">'326'!$D$13:$D$31</definedName>
    <definedName name="OSRRefD13x_0" localSheetId="72">'327'!$D$13:$D$14</definedName>
    <definedName name="OSRRefD13x_0" localSheetId="52">'330'!$D$13:$D$47</definedName>
    <definedName name="OSRRefD13x_0" localSheetId="58">'331'!$D$13:$D$40</definedName>
    <definedName name="OSRRefD13x_0" localSheetId="60">'332'!$D$13:$D$28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0">'413'!$D$13:$D$16</definedName>
    <definedName name="OSRRefD13x_0" localSheetId="81">'414'!$D$13:$D$16</definedName>
    <definedName name="OSRRefD13x_0" localSheetId="82">'415'!$D$13:$D$15</definedName>
    <definedName name="OSRRefD13x_0" localSheetId="83">'418'!$D$13:$D$16</definedName>
    <definedName name="OSRRefD13x_0" localSheetId="84">'420'!$D$13:$D$14</definedName>
    <definedName name="OSRRefD13x_0" localSheetId="86">'424'!$D$13:$D$15</definedName>
    <definedName name="OSRRefD13x_0" localSheetId="87">'425'!$D$13:$D$16</definedName>
    <definedName name="OSRRefD13x_0" localSheetId="91">'433'!$D$13:$D$16</definedName>
    <definedName name="OSRRefD13x_0" localSheetId="92">'435'!$D$13:$D$16</definedName>
    <definedName name="OSRRefD13x_0" localSheetId="93">'444'!$D$13:$D$16</definedName>
    <definedName name="OSRRefD13x_0" localSheetId="94">'450'!$D$13:$D$16</definedName>
    <definedName name="OSRRefD13x_0" localSheetId="75">'491'!$D$13:$D$23</definedName>
    <definedName name="OSRRefD13x_0" localSheetId="89">'492'!$D$13:$D$18</definedName>
    <definedName name="OSRRefD13x_0" localSheetId="96">'501'!$D$13</definedName>
    <definedName name="OSRRefD13x_0" localSheetId="47">'Div 3'!$D$13:$D$105</definedName>
    <definedName name="OSRRefD13x_0" localSheetId="73">'Div 4'!$D$13:$D$24</definedName>
    <definedName name="OSRRefD13x_0" localSheetId="95">'Div 5'!$D$13</definedName>
    <definedName name="OSRRefD13x_0" localSheetId="63">'Div 6'!$D$13:$D$38</definedName>
    <definedName name="OSRRefD13x_0" localSheetId="2">Summary!$D$13:$D$130</definedName>
    <definedName name="OSRRefD16x_0" localSheetId="48">'300'!$D$104:$D$152</definedName>
    <definedName name="OSRRefD16x_0" localSheetId="49">'300 &amp; 317'!$D$122:$D$177</definedName>
    <definedName name="OSRRefD16x_0" localSheetId="53">'307'!$D$45:$D$64</definedName>
    <definedName name="OSRRefD16x_0" localSheetId="55">'308'!$D$42:$D$55</definedName>
    <definedName name="OSRRefD16x_0" localSheetId="66">'309'!$D$18:$D$20</definedName>
    <definedName name="OSRRefD16x_0" localSheetId="65">'310'!$D$25:$D$27</definedName>
    <definedName name="OSRRefD16x_0" localSheetId="74">'310 &amp; 491'!$D$32:$D$34</definedName>
    <definedName name="OSRRefD16x_0" localSheetId="56">'311'!$D$42:$D$55</definedName>
    <definedName name="OSRRefD16x_0" localSheetId="67">'313'!$D$21:$D$23</definedName>
    <definedName name="OSRRefD16x_0" localSheetId="54">'314'!$D$37:$D$52</definedName>
    <definedName name="OSRRefD16x_0" localSheetId="59">'315'!$D$36:$D$51</definedName>
    <definedName name="OSRRefD16x_0" localSheetId="64">'317'!$D$41:$D$54</definedName>
    <definedName name="OSRRefD16x_0" localSheetId="62">'320'!$D$18:$D$22</definedName>
    <definedName name="OSRRefD16x_0" localSheetId="68">'321'!$D$18:$D$20</definedName>
    <definedName name="OSRRefD16x_0" localSheetId="69">'322'!$D$18:$D$20</definedName>
    <definedName name="OSRRefD16x_0" localSheetId="57">'324'!$D$18:$D$20</definedName>
    <definedName name="OSRRefD16x_0" localSheetId="70">'325'!$D$18:$D$20</definedName>
    <definedName name="OSRRefD16x_0" localSheetId="71">'326'!$D$34:$D$47</definedName>
    <definedName name="OSRRefD16x_0" localSheetId="72">'327'!$D$17:$D$18</definedName>
    <definedName name="OSRRefD16x_0" localSheetId="52">'330'!$D$50:$D$73</definedName>
    <definedName name="OSRRefD16x_0" localSheetId="58">'331'!$D$43:$D$64</definedName>
    <definedName name="OSRRefD16x_0" localSheetId="60">'332'!$D$31:$D$35</definedName>
    <definedName name="OSRRefD16x_0" localSheetId="76">'405'!$D$18:$D$20</definedName>
    <definedName name="OSRRefD16x_0" localSheetId="77">'406'!$D$19:$D$21</definedName>
    <definedName name="OSRRefD16x_0" localSheetId="79">'412'!$D$19:$D$20</definedName>
    <definedName name="OSRRefD16x_0" localSheetId="80">'413'!$D$19:$D$21</definedName>
    <definedName name="OSRRefD16x_0" localSheetId="81">'414'!$D$19:$D$21</definedName>
    <definedName name="OSRRefD16x_0" localSheetId="82">'415'!$D$18:$D$20</definedName>
    <definedName name="OSRRefD16x_0" localSheetId="83">'418'!$D$19:$D$21</definedName>
    <definedName name="OSRRefD16x_0" localSheetId="85">'423'!$D$15</definedName>
    <definedName name="OSRRefD16x_0" localSheetId="86">'424'!$D$18:$D$20</definedName>
    <definedName name="OSRRefD16x_0" localSheetId="87">'425'!$D$19:$D$21</definedName>
    <definedName name="OSRRefD16x_0" localSheetId="91">'433'!$D$19:$D$21</definedName>
    <definedName name="OSRRefD16x_0" localSheetId="92">'435'!$D$19:$D$21</definedName>
    <definedName name="OSRRefD16x_0" localSheetId="93">'444'!$D$19:$D$21</definedName>
    <definedName name="OSRRefD16x_0" localSheetId="94">'450'!$D$19:$D$21</definedName>
    <definedName name="OSRRefD16x_0" localSheetId="75">'491'!$D$26:$D$28</definedName>
    <definedName name="OSRRefD16x_0" localSheetId="89">'492'!$D$21:$D$23</definedName>
    <definedName name="OSRRefD16x_0" localSheetId="47">'Div 3'!$D$108:$D$158</definedName>
    <definedName name="OSRRefD16x_0" localSheetId="73">'Div 4'!$D$27:$D$29</definedName>
    <definedName name="OSRRefD16x_0" localSheetId="63">'Div 6'!$D$41:$D$54</definedName>
    <definedName name="OSRRefD16x_0" localSheetId="2">Summary!$D$133:$D$190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'300'!$D$158:$D$167</definedName>
    <definedName name="OSRRefD22_0x_0" localSheetId="49">'300 &amp; 317'!$D$183:$D$192</definedName>
    <definedName name="OSRRefD22_0x_0" localSheetId="50">'301'!$D$20:$D$28</definedName>
    <definedName name="OSRRefD22_0x_0" localSheetId="51">'306'!$D$20:$D$28</definedName>
    <definedName name="OSRRefD22_0x_0" localSheetId="53">'307'!$D$70:$D$78</definedName>
    <definedName name="OSRRefD22_0x_0" localSheetId="55">'308'!$D$61:$D$70</definedName>
    <definedName name="OSRRefD22_0x_0" localSheetId="66">'309'!$D$26:$D$34</definedName>
    <definedName name="OSRRefD22_0x_0" localSheetId="65">'310'!$D$33:$D$41</definedName>
    <definedName name="OSRRefD22_0x_0" localSheetId="74">'310 &amp; 491'!$D$40:$D$49</definedName>
    <definedName name="OSRRefD22_0x_0" localSheetId="56">'311'!$D$61:$D$70</definedName>
    <definedName name="OSRRefD22_0x_0" localSheetId="67">'313'!$D$29:$D$37</definedName>
    <definedName name="OSRRefD22_0x_0" localSheetId="54">'314'!$D$58:$D$65</definedName>
    <definedName name="OSRRefD22_0x_0" localSheetId="59">'315'!$D$57:$D$65</definedName>
    <definedName name="OSRRefD22_0x_0" localSheetId="61">'316'!$D$33:$D$41</definedName>
    <definedName name="OSRRefD22_0x_0" localSheetId="64">'317'!$D$60:$D$69</definedName>
    <definedName name="OSRRefD22_0x_0" localSheetId="62">'320'!$D$28:$D$35</definedName>
    <definedName name="OSRRefD22_0x_0" localSheetId="68">'321'!$D$26:$D$33</definedName>
    <definedName name="OSRRefD22_0x_0" localSheetId="69">'322'!$D$26:$D$34</definedName>
    <definedName name="OSRRefD22_0x_0" localSheetId="70">'325'!$D$26:$D$34</definedName>
    <definedName name="OSRRefD22_0x_0" localSheetId="71">'326'!$D$53:$D$61</definedName>
    <definedName name="OSRRefD22_0x_0" localSheetId="72">'327'!$D$24</definedName>
    <definedName name="OSRRefD22_0x_0" localSheetId="52">'330'!$D$79:$D$87</definedName>
    <definedName name="OSRRefD22_0x_0" localSheetId="58">'331'!$D$70:$D$78</definedName>
    <definedName name="OSRRefD22_0x_0" localSheetId="60">'332'!$D$41:$D$49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'412'!$D$26:$D$34</definedName>
    <definedName name="OSRRefD22_0x_0" localSheetId="80">'413'!$D$27:$D$35</definedName>
    <definedName name="OSRRefD22_0x_0" localSheetId="81">'414'!$D$27:$D$35</definedName>
    <definedName name="OSRRefD22_0x_0" localSheetId="82">'415'!$D$26:$D$34</definedName>
    <definedName name="OSRRefD22_0x_0" localSheetId="83">'418'!$D$27:$D$35</definedName>
    <definedName name="OSRRefD22_0x_0" localSheetId="84">'420'!$D$22:$D$28</definedName>
    <definedName name="OSRRefD22_0x_0" localSheetId="85">'423'!$D$21:$D$29</definedName>
    <definedName name="OSRRefD22_0x_0" localSheetId="86">'424'!$D$26:$D$33</definedName>
    <definedName name="OSRRefD22_0x_0" localSheetId="87">'425'!$D$27:$D$35</definedName>
    <definedName name="OSRRefD22_0x_0" localSheetId="90">'430'!$D$20:$D$28</definedName>
    <definedName name="OSRRefD22_0x_0" localSheetId="91">'433'!$D$27:$D$36</definedName>
    <definedName name="OSRRefD22_0x_0" localSheetId="92">'435'!$D$27:$D$34</definedName>
    <definedName name="OSRRefD22_0x_0" localSheetId="93">'444'!$D$27:$D$36</definedName>
    <definedName name="OSRRefD22_0x_0" localSheetId="94">'450'!$D$27:$D$36</definedName>
    <definedName name="OSRRefD22_0x_0" localSheetId="88">'455'!$D$20:$D$27</definedName>
    <definedName name="OSRRefD22_0x_0" localSheetId="75">'491'!$D$34:$D$43</definedName>
    <definedName name="OSRRefD22_0x_0" localSheetId="89">'492'!$D$29:$D$38</definedName>
    <definedName name="OSRRefD22_0x_0" localSheetId="96">'501'!$D$21:$D$29</definedName>
    <definedName name="OSRRefD22_0x_0" localSheetId="39">'Div 2'!$D$20:$D$30</definedName>
    <definedName name="OSRRefD22_0x_0" localSheetId="47">'Div 3'!$D$164:$D$173</definedName>
    <definedName name="OSRRefD22_0x_0" localSheetId="73">'Div 4'!$D$35:$D$44</definedName>
    <definedName name="OSRRefD22_0x_0" localSheetId="95">'Div 5'!$D$21:$D$29</definedName>
    <definedName name="OSRRefD22_0x_0" localSheetId="63">'Div 6'!$D$60:$D$69</definedName>
    <definedName name="OSRRefD22_0x_0" localSheetId="2">Summary!$D$196:$D$205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'204'!$D$61:$D$62</definedName>
    <definedName name="OSRRefD22_10x_0" localSheetId="46">'206'!$D$58</definedName>
    <definedName name="OSRRefD22_10x_0" localSheetId="48">'300'!$D$202:$D$203</definedName>
    <definedName name="OSRRefD22_10x_0" localSheetId="49">'300 &amp; 317'!$D$227:$D$228</definedName>
    <definedName name="OSRRefD22_10x_0" localSheetId="50">'301'!$D$63</definedName>
    <definedName name="OSRRefD22_10x_0" localSheetId="51">'306'!$D$60</definedName>
    <definedName name="OSRRefD22_10x_0" localSheetId="53">'307'!$D$110:$D$111</definedName>
    <definedName name="OSRRefD22_10x_0" localSheetId="55">'308'!$D$102</definedName>
    <definedName name="OSRRefD22_10x_0" localSheetId="66">'309'!$D$66:$D$68</definedName>
    <definedName name="OSRRefD22_10x_0" localSheetId="65">'310'!$D$72</definedName>
    <definedName name="OSRRefD22_10x_0" localSheetId="74">'310 &amp; 491'!$D$81</definedName>
    <definedName name="OSRRefD22_10x_0" localSheetId="56">'311'!$D$102</definedName>
    <definedName name="OSRRefD22_10x_0" localSheetId="67">'313'!$D$66:$D$68</definedName>
    <definedName name="OSRRefD22_10x_0" localSheetId="59">'315'!$D$96:$D$98</definedName>
    <definedName name="OSRRefD22_10x_0" localSheetId="61">'316'!$D$70:$D$71</definedName>
    <definedName name="OSRRefD22_10x_0" localSheetId="64">'317'!$D$100</definedName>
    <definedName name="OSRRefD22_10x_0" localSheetId="68">'321'!$D$64:$D$65</definedName>
    <definedName name="OSRRefD22_10x_0" localSheetId="69">'322'!$D$66:$D$68</definedName>
    <definedName name="OSRRefD22_10x_0" localSheetId="70">'325'!$D$65</definedName>
    <definedName name="OSRRefD22_10x_0" localSheetId="71">'326'!$D$91</definedName>
    <definedName name="OSRRefD22_10x_0" localSheetId="52">'330'!$D$119</definedName>
    <definedName name="OSRRefD22_10x_0" localSheetId="58">'331'!$D$110</definedName>
    <definedName name="OSRRefD22_10x_0" localSheetId="60">'332'!$D$79</definedName>
    <definedName name="OSRRefD22_10x_0" localSheetId="76">'405'!$D$65:$D$67</definedName>
    <definedName name="OSRRefD22_10x_0" localSheetId="77">'406'!$D$69:$D$74</definedName>
    <definedName name="OSRRefD22_10x_0" localSheetId="78">'411'!$D$61:$D$63</definedName>
    <definedName name="OSRRefD22_10x_0" localSheetId="79">'412'!$D$66:$D$68</definedName>
    <definedName name="OSRRefD22_10x_0" localSheetId="80">'413'!$D$71:$D$72</definedName>
    <definedName name="OSRRefD22_10x_0" localSheetId="81">'414'!$D$66</definedName>
    <definedName name="OSRRefD22_10x_0" localSheetId="82">'415'!$D$65</definedName>
    <definedName name="OSRRefD22_10x_0" localSheetId="83">'418'!$D$69:$D$71</definedName>
    <definedName name="OSRRefD22_10x_0" localSheetId="86">'424'!$D$64:$D$67</definedName>
    <definedName name="OSRRefD22_10x_0" localSheetId="87">'425'!$D$67:$D$68</definedName>
    <definedName name="OSRRefD22_10x_0" localSheetId="90">'430'!$D$59</definedName>
    <definedName name="OSRRefD22_10x_0" localSheetId="91">'433'!$D$65:$D$66</definedName>
    <definedName name="OSRRefD22_10x_0" localSheetId="93">'444'!$D$65</definedName>
    <definedName name="OSRRefD22_10x_0" localSheetId="94">'450'!$D$66</definedName>
    <definedName name="OSRRefD22_10x_0" localSheetId="75">'491'!$D$76</definedName>
    <definedName name="OSRRefD22_10x_0" localSheetId="89">'492'!$D$69</definedName>
    <definedName name="OSRRefD22_10x_0" localSheetId="96">'501'!$D$58:$D$59</definedName>
    <definedName name="OSRRefD22_10x_0" localSheetId="39">'Div 2'!$D$60</definedName>
    <definedName name="OSRRefD22_10x_0" localSheetId="47">'Div 3'!$D$208:$D$209</definedName>
    <definedName name="OSRRefD22_10x_0" localSheetId="73">'Div 4'!$D$78:$D$79</definedName>
    <definedName name="OSRRefD22_10x_0" localSheetId="95">'Div 5'!$D$58:$D$59</definedName>
    <definedName name="OSRRefD22_10x_0" localSheetId="63">'Div 6'!$D$100</definedName>
    <definedName name="OSRRefD22_10x_0" localSheetId="2">Summary!$D$241:$D$242</definedName>
    <definedName name="OSRRefD22_11x_0" localSheetId="41">'201'!$D$62:$D$64</definedName>
    <definedName name="OSRRefD22_11x_0" localSheetId="42">'202'!$D$61:$D$62</definedName>
    <definedName name="OSRRefD22_11x_0" localSheetId="43">'203'!$D$62</definedName>
    <definedName name="OSRRefD22_11x_0" localSheetId="44">'204'!$D$64</definedName>
    <definedName name="OSRRefD22_11x_0" localSheetId="48">'300'!$D$205</definedName>
    <definedName name="OSRRefD22_11x_0" localSheetId="49">'300 &amp; 317'!$D$230</definedName>
    <definedName name="OSRRefD22_11x_0" localSheetId="50">'301'!$D$65</definedName>
    <definedName name="OSRRefD22_11x_0" localSheetId="53">'307'!$D$113</definedName>
    <definedName name="OSRRefD22_11x_0" localSheetId="55">'308'!$D$104:$D$106</definedName>
    <definedName name="OSRRefD22_11x_0" localSheetId="66">'309'!$D$70</definedName>
    <definedName name="OSRRefD22_11x_0" localSheetId="65">'310'!$D$74</definedName>
    <definedName name="OSRRefD22_11x_0" localSheetId="74">'310 &amp; 491'!$D$83:$D$84</definedName>
    <definedName name="OSRRefD22_11x_0" localSheetId="56">'311'!$D$104:$D$106</definedName>
    <definedName name="OSRRefD22_11x_0" localSheetId="67">'313'!$D$70</definedName>
    <definedName name="OSRRefD22_11x_0" localSheetId="59">'315'!$D$100:$D$101</definedName>
    <definedName name="OSRRefD22_11x_0" localSheetId="61">'316'!$D$73:$D$76</definedName>
    <definedName name="OSRRefD22_11x_0" localSheetId="68">'321'!$D$67:$D$69</definedName>
    <definedName name="OSRRefD22_11x_0" localSheetId="69">'322'!$D$70:$D$74</definedName>
    <definedName name="OSRRefD22_11x_0" localSheetId="70">'325'!$D$67:$D$69</definedName>
    <definedName name="OSRRefD22_11x_0" localSheetId="71">'326'!$D$93</definedName>
    <definedName name="OSRRefD22_11x_0" localSheetId="52">'330'!$D$121:$D$122</definedName>
    <definedName name="OSRRefD22_11x_0" localSheetId="58">'331'!$D$112</definedName>
    <definedName name="OSRRefD22_11x_0" localSheetId="60">'332'!$D$81:$D$82</definedName>
    <definedName name="OSRRefD22_11x_0" localSheetId="76">'405'!$D$69</definedName>
    <definedName name="OSRRefD22_11x_0" localSheetId="77">'406'!$D$76:$D$77</definedName>
    <definedName name="OSRRefD22_11x_0" localSheetId="78">'411'!$D$65:$D$69</definedName>
    <definedName name="OSRRefD22_11x_0" localSheetId="79">'412'!$D$70:$D$75</definedName>
    <definedName name="OSRRefD22_11x_0" localSheetId="80">'413'!$D$74</definedName>
    <definedName name="OSRRefD22_11x_0" localSheetId="81">'414'!$D$68</definedName>
    <definedName name="OSRRefD22_11x_0" localSheetId="82">'415'!$D$67:$D$69</definedName>
    <definedName name="OSRRefD22_11x_0" localSheetId="83">'418'!$D$73</definedName>
    <definedName name="OSRRefD22_11x_0" localSheetId="86">'424'!$D$69:$D$70</definedName>
    <definedName name="OSRRefD22_11x_0" localSheetId="87">'425'!$D$70:$D$71</definedName>
    <definedName name="OSRRefD22_11x_0" localSheetId="91">'433'!$D$68:$D$71</definedName>
    <definedName name="OSRRefD22_11x_0" localSheetId="93">'444'!$D$67:$D$69</definedName>
    <definedName name="OSRRefD22_11x_0" localSheetId="94">'450'!$D$68:$D$70</definedName>
    <definedName name="OSRRefD22_11x_0" localSheetId="75">'491'!$D$78</definedName>
    <definedName name="OSRRefD22_11x_0" localSheetId="89">'492'!$D$71</definedName>
    <definedName name="OSRRefD22_11x_0" localSheetId="96">'501'!$D$61:$D$63</definedName>
    <definedName name="OSRRefD22_11x_0" localSheetId="39">'Div 2'!$D$62</definedName>
    <definedName name="OSRRefD22_11x_0" localSheetId="47">'Div 3'!$D$211</definedName>
    <definedName name="OSRRefD22_11x_0" localSheetId="73">'Div 4'!$D$81</definedName>
    <definedName name="OSRRefD22_11x_0" localSheetId="95">'Div 5'!$D$61:$D$63</definedName>
    <definedName name="OSRRefD22_11x_0" localSheetId="2">Summary!$D$244:$D$245</definedName>
    <definedName name="OSRRefD22_12x_0" localSheetId="41">'201'!$D$66</definedName>
    <definedName name="OSRRefD22_12x_0" localSheetId="42">'202'!$D$64</definedName>
    <definedName name="OSRRefD22_12x_0" localSheetId="43">'203'!$D$64:$D$66</definedName>
    <definedName name="OSRRefD22_12x_0" localSheetId="44">'204'!$D$66:$D$67</definedName>
    <definedName name="OSRRefD22_12x_0" localSheetId="48">'300'!$D$207</definedName>
    <definedName name="OSRRefD22_12x_0" localSheetId="49">'300 &amp; 317'!$D$232</definedName>
    <definedName name="OSRRefD22_12x_0" localSheetId="50">'301'!$D$67</definedName>
    <definedName name="OSRRefD22_12x_0" localSheetId="53">'307'!$D$115</definedName>
    <definedName name="OSRRefD22_12x_0" localSheetId="55">'308'!$D$108:$D$109</definedName>
    <definedName name="OSRRefD22_12x_0" localSheetId="66">'309'!$D$72</definedName>
    <definedName name="OSRRefD22_12x_0" localSheetId="65">'310'!$D$76</definedName>
    <definedName name="OSRRefD22_12x_0" localSheetId="74">'310 &amp; 491'!$D$86</definedName>
    <definedName name="OSRRefD22_12x_0" localSheetId="56">'311'!$D$108:$D$109</definedName>
    <definedName name="OSRRefD22_12x_0" localSheetId="67">'313'!$D$72:$D$76</definedName>
    <definedName name="OSRRefD22_12x_0" localSheetId="59">'315'!$D$103:$D$106</definedName>
    <definedName name="OSRRefD22_12x_0" localSheetId="61">'316'!$D$78:$D$79</definedName>
    <definedName name="OSRRefD22_12x_0" localSheetId="68">'321'!$D$71:$D$73</definedName>
    <definedName name="OSRRefD22_12x_0" localSheetId="69">'322'!$D$76</definedName>
    <definedName name="OSRRefD22_12x_0" localSheetId="70">'325'!$D$71:$D$74</definedName>
    <definedName name="OSRRefD22_12x_0" localSheetId="71">'326'!$D$95</definedName>
    <definedName name="OSRRefD22_12x_0" localSheetId="52">'330'!$D$124</definedName>
    <definedName name="OSRRefD22_12x_0" localSheetId="58">'331'!$D$114</definedName>
    <definedName name="OSRRefD22_12x_0" localSheetId="60">'332'!$D$84:$D$88</definedName>
    <definedName name="OSRRefD22_12x_0" localSheetId="76">'405'!$D$71:$D$73</definedName>
    <definedName name="OSRRefD22_12x_0" localSheetId="77">'406'!$D$79</definedName>
    <definedName name="OSRRefD22_12x_0" localSheetId="78">'411'!$D$71:$D$77</definedName>
    <definedName name="OSRRefD22_12x_0" localSheetId="79">'412'!$D$77</definedName>
    <definedName name="OSRRefD22_12x_0" localSheetId="81">'414'!$D$70</definedName>
    <definedName name="OSRRefD22_12x_0" localSheetId="82">'415'!$D$71:$D$75</definedName>
    <definedName name="OSRRefD22_12x_0" localSheetId="83">'418'!$D$75:$D$81</definedName>
    <definedName name="OSRRefD22_12x_0" localSheetId="87">'425'!$D$73:$D$78</definedName>
    <definedName name="OSRRefD22_12x_0" localSheetId="91">'433'!$D$73:$D$79</definedName>
    <definedName name="OSRRefD22_12x_0" localSheetId="93">'444'!$D$71:$D$74</definedName>
    <definedName name="OSRRefD22_12x_0" localSheetId="94">'450'!$D$72:$D$74</definedName>
    <definedName name="OSRRefD22_12x_0" localSheetId="75">'491'!$D$80</definedName>
    <definedName name="OSRRefD22_12x_0" localSheetId="89">'492'!$D$73:$D$76</definedName>
    <definedName name="OSRRefD22_12x_0" localSheetId="96">'501'!$D$65</definedName>
    <definedName name="OSRRefD22_12x_0" localSheetId="39">'Div 2'!$D$64:$D$66</definedName>
    <definedName name="OSRRefD22_12x_0" localSheetId="47">'Div 3'!$D$213</definedName>
    <definedName name="OSRRefD22_12x_0" localSheetId="73">'Div 4'!$D$83</definedName>
    <definedName name="OSRRefD22_12x_0" localSheetId="95">'Div 5'!$D$65</definedName>
    <definedName name="OSRRefD22_12x_0" localSheetId="2">Summary!$D$247</definedName>
    <definedName name="OSRRefD22_13x_0" localSheetId="41">'201'!$D$68:$D$70</definedName>
    <definedName name="OSRRefD22_13x_0" localSheetId="42">'202'!$D$66</definedName>
    <definedName name="OSRRefD22_13x_0" localSheetId="43">'203'!$D$68</definedName>
    <definedName name="OSRRefD22_13x_0" localSheetId="48">'300'!$D$209</definedName>
    <definedName name="OSRRefD22_13x_0" localSheetId="49">'300 &amp; 317'!$D$234</definedName>
    <definedName name="OSRRefD22_13x_0" localSheetId="50">'301'!$D$69</definedName>
    <definedName name="OSRRefD22_13x_0" localSheetId="55">'308'!$D$111</definedName>
    <definedName name="OSRRefD22_13x_0" localSheetId="65">'310'!$D$78</definedName>
    <definedName name="OSRRefD22_13x_0" localSheetId="74">'310 &amp; 491'!$D$88</definedName>
    <definedName name="OSRRefD22_13x_0" localSheetId="56">'311'!$D$111</definedName>
    <definedName name="OSRRefD22_13x_0" localSheetId="67">'313'!$D$78</definedName>
    <definedName name="OSRRefD22_13x_0" localSheetId="59">'315'!$D$108</definedName>
    <definedName name="OSRRefD22_13x_0" localSheetId="61">'316'!$D$81</definedName>
    <definedName name="OSRRefD22_13x_0" localSheetId="68">'321'!$D$75</definedName>
    <definedName name="OSRRefD22_13x_0" localSheetId="69">'322'!$D$78</definedName>
    <definedName name="OSRRefD22_13x_0" localSheetId="70">'325'!$D$76</definedName>
    <definedName name="OSRRefD22_13x_0" localSheetId="71">'326'!$D$97:$D$98</definedName>
    <definedName name="OSRRefD22_13x_0" localSheetId="52">'330'!$D$126</definedName>
    <definedName name="OSRRefD22_13x_0" localSheetId="58">'331'!$D$116</definedName>
    <definedName name="OSRRefD22_13x_0" localSheetId="60">'332'!$D$90:$D$91</definedName>
    <definedName name="OSRRefD22_13x_0" localSheetId="76">'405'!$D$75</definedName>
    <definedName name="OSRRefD22_13x_0" localSheetId="77">'406'!$D$81</definedName>
    <definedName name="OSRRefD22_13x_0" localSheetId="78">'411'!$D$79</definedName>
    <definedName name="OSRRefD22_13x_0" localSheetId="79">'412'!$D$79</definedName>
    <definedName name="OSRRefD22_13x_0" localSheetId="81">'414'!$D$72:$D$78</definedName>
    <definedName name="OSRRefD22_13x_0" localSheetId="82">'415'!$D$77</definedName>
    <definedName name="OSRRefD22_13x_0" localSheetId="83">'418'!$D$83</definedName>
    <definedName name="OSRRefD22_13x_0" localSheetId="87">'425'!$D$80:$D$81</definedName>
    <definedName name="OSRRefD22_13x_0" localSheetId="91">'433'!$D$81</definedName>
    <definedName name="OSRRefD22_13x_0" localSheetId="93">'444'!$D$76:$D$83</definedName>
    <definedName name="OSRRefD22_13x_0" localSheetId="94">'450'!$D$76:$D$81</definedName>
    <definedName name="OSRRefD22_13x_0" localSheetId="75">'491'!$D$82</definedName>
    <definedName name="OSRRefD22_13x_0" localSheetId="89">'492'!$D$78:$D$81</definedName>
    <definedName name="OSRRefD22_13x_0" localSheetId="39">'Div 2'!$D$68:$D$71</definedName>
    <definedName name="OSRRefD22_13x_0" localSheetId="47">'Div 3'!$D$215</definedName>
    <definedName name="OSRRefD22_13x_0" localSheetId="73">'Div 4'!$D$85</definedName>
    <definedName name="OSRRefD22_13x_0" localSheetId="2">Summary!$D$249</definedName>
    <definedName name="OSRRefD22_14x_0" localSheetId="41">'201'!$D$72</definedName>
    <definedName name="OSRRefD22_14x_0" localSheetId="42">'202'!$D$68:$D$69</definedName>
    <definedName name="OSRRefD22_14x_0" localSheetId="43">'203'!$D$70</definedName>
    <definedName name="OSRRefD22_14x_0" localSheetId="48">'300'!$D$211</definedName>
    <definedName name="OSRRefD22_14x_0" localSheetId="49">'300 &amp; 317'!$D$236</definedName>
    <definedName name="OSRRefD22_14x_0" localSheetId="50">'301'!$D$71</definedName>
    <definedName name="OSRRefD22_14x_0" localSheetId="55">'308'!$D$113:$D$114</definedName>
    <definedName name="OSRRefD22_14x_0" localSheetId="65">'310'!$D$80</definedName>
    <definedName name="OSRRefD22_14x_0" localSheetId="74">'310 &amp; 491'!$D$90</definedName>
    <definedName name="OSRRefD22_14x_0" localSheetId="56">'311'!$D$113:$D$114</definedName>
    <definedName name="OSRRefD22_14x_0" localSheetId="67">'313'!$D$80</definedName>
    <definedName name="OSRRefD22_14x_0" localSheetId="59">'315'!$D$110</definedName>
    <definedName name="OSRRefD22_14x_0" localSheetId="68">'321'!$D$77</definedName>
    <definedName name="OSRRefD22_14x_0" localSheetId="70">'325'!$D$78:$D$84</definedName>
    <definedName name="OSRRefD22_14x_0" localSheetId="71">'326'!$D$100:$D$102</definedName>
    <definedName name="OSRRefD22_14x_0" localSheetId="58">'331'!$D$118:$D$119</definedName>
    <definedName name="OSRRefD22_14x_0" localSheetId="60">'332'!$D$93</definedName>
    <definedName name="OSRRefD22_14x_0" localSheetId="76">'405'!$D$77:$D$85</definedName>
    <definedName name="OSRRefD22_14x_0" localSheetId="78">'411'!$D$81</definedName>
    <definedName name="OSRRefD22_14x_0" localSheetId="81">'414'!$D$80</definedName>
    <definedName name="OSRRefD22_14x_0" localSheetId="82">'415'!$D$79:$D$86</definedName>
    <definedName name="OSRRefD22_14x_0" localSheetId="83">'418'!$D$85</definedName>
    <definedName name="OSRRefD22_14x_0" localSheetId="87">'425'!$D$83</definedName>
    <definedName name="OSRRefD22_14x_0" localSheetId="91">'433'!$D$83</definedName>
    <definedName name="OSRRefD22_14x_0" localSheetId="93">'444'!$D$85</definedName>
    <definedName name="OSRRefD22_14x_0" localSheetId="94">'450'!$D$83</definedName>
    <definedName name="OSRRefD22_14x_0" localSheetId="75">'491'!$D$84:$D$87</definedName>
    <definedName name="OSRRefD22_14x_0" localSheetId="89">'492'!$D$83:$D$91</definedName>
    <definedName name="OSRRefD22_14x_0" localSheetId="39">'Div 2'!$D$73:$D$76</definedName>
    <definedName name="OSRRefD22_14x_0" localSheetId="47">'Div 3'!$D$217</definedName>
    <definedName name="OSRRefD22_14x_0" localSheetId="73">'Div 4'!$D$87</definedName>
    <definedName name="OSRRefD22_14x_0" localSheetId="2">Summary!$D$251</definedName>
    <definedName name="OSRRefD22_15x_0" localSheetId="41">'201'!$D$74</definedName>
    <definedName name="OSRRefD22_15x_0" localSheetId="42">'202'!$D$71</definedName>
    <definedName name="OSRRefD22_15x_0" localSheetId="43">'203'!$D$72</definedName>
    <definedName name="OSRRefD22_15x_0" localSheetId="48">'300'!$D$213</definedName>
    <definedName name="OSRRefD22_15x_0" localSheetId="49">'300 &amp; 317'!$D$238</definedName>
    <definedName name="OSRRefD22_15x_0" localSheetId="50">'301'!$D$73:$D$75</definedName>
    <definedName name="OSRRefD22_15x_0" localSheetId="65">'310'!$D$82:$D$84</definedName>
    <definedName name="OSRRefD22_15x_0" localSheetId="74">'310 &amp; 491'!$D$92</definedName>
    <definedName name="OSRRefD22_15x_0" localSheetId="59">'315'!$D$112:$D$113</definedName>
    <definedName name="OSRRefD22_15x_0" localSheetId="70">'325'!$D$86</definedName>
    <definedName name="OSRRefD22_15x_0" localSheetId="71">'326'!$D$104:$D$105</definedName>
    <definedName name="OSRRefD22_15x_0" localSheetId="58">'331'!$D$121:$D$123</definedName>
    <definedName name="OSRRefD22_15x_0" localSheetId="76">'405'!$D$87</definedName>
    <definedName name="OSRRefD22_15x_0" localSheetId="78">'411'!$D$83:$D$85</definedName>
    <definedName name="OSRRefD22_15x_0" localSheetId="81">'414'!$D$82</definedName>
    <definedName name="OSRRefD22_15x_0" localSheetId="82">'415'!$D$88</definedName>
    <definedName name="OSRRefD22_15x_0" localSheetId="83">'418'!$D$87</definedName>
    <definedName name="OSRRefD22_15x_0" localSheetId="87">'425'!$D$85</definedName>
    <definedName name="OSRRefD22_15x_0" localSheetId="91">'433'!$D$85:$D$86</definedName>
    <definedName name="OSRRefD22_15x_0" localSheetId="93">'444'!$D$87</definedName>
    <definedName name="OSRRefD22_15x_0" localSheetId="94">'450'!$D$85</definedName>
    <definedName name="OSRRefD22_15x_0" localSheetId="75">'491'!$D$89:$D$91</definedName>
    <definedName name="OSRRefD22_15x_0" localSheetId="89">'492'!$D$93</definedName>
    <definedName name="OSRRefD22_15x_0" localSheetId="39">'Div 2'!$D$78:$D$79</definedName>
    <definedName name="OSRRefD22_15x_0" localSheetId="47">'Div 3'!$D$219</definedName>
    <definedName name="OSRRefD22_15x_0" localSheetId="73">'Div 4'!$D$89</definedName>
    <definedName name="OSRRefD22_15x_0" localSheetId="2">Summary!$D$253</definedName>
    <definedName name="OSRRefD22_16x_0" localSheetId="41">'201'!$D$76:$D$77</definedName>
    <definedName name="OSRRefD22_16x_0" localSheetId="42">'202'!$D$73</definedName>
    <definedName name="OSRRefD22_16x_0" localSheetId="48">'300'!$D$215:$D$217</definedName>
    <definedName name="OSRRefD22_16x_0" localSheetId="49">'300 &amp; 317'!$D$240:$D$242</definedName>
    <definedName name="OSRRefD22_16x_0" localSheetId="50">'301'!$D$77:$D$79</definedName>
    <definedName name="OSRRefD22_16x_0" localSheetId="65">'310'!$D$86:$D$87</definedName>
    <definedName name="OSRRefD22_16x_0" localSheetId="74">'310 &amp; 491'!$D$94</definedName>
    <definedName name="OSRRefD22_16x_0" localSheetId="70">'325'!$D$88</definedName>
    <definedName name="OSRRefD22_16x_0" localSheetId="71">'326'!$D$107:$D$111</definedName>
    <definedName name="OSRRefD22_16x_0" localSheetId="58">'331'!$D$125:$D$127</definedName>
    <definedName name="OSRRefD22_16x_0" localSheetId="76">'405'!$D$89</definedName>
    <definedName name="OSRRefD22_16x_0" localSheetId="78">'411'!$D$87</definedName>
    <definedName name="OSRRefD22_16x_0" localSheetId="82">'415'!$D$90</definedName>
    <definedName name="OSRRefD22_16x_0" localSheetId="93">'444'!$D$89</definedName>
    <definedName name="OSRRefD22_16x_0" localSheetId="94">'450'!$D$87:$D$88</definedName>
    <definedName name="OSRRefD22_16x_0" localSheetId="75">'491'!$D$93:$D$97</definedName>
    <definedName name="OSRRefD22_16x_0" localSheetId="89">'492'!$D$95</definedName>
    <definedName name="OSRRefD22_16x_0" localSheetId="39">'Div 2'!$D$81:$D$82</definedName>
    <definedName name="OSRRefD22_16x_0" localSheetId="47">'Div 3'!$D$221</definedName>
    <definedName name="OSRRefD22_16x_0" localSheetId="73">'Div 4'!$D$91:$D$94</definedName>
    <definedName name="OSRRefD22_16x_0" localSheetId="2">Summary!$D$255</definedName>
    <definedName name="OSRRefD22_17x_0" localSheetId="48">'300'!$D$219:$D$222</definedName>
    <definedName name="OSRRefD22_17x_0" localSheetId="49">'300 &amp; 317'!$D$244:$D$247</definedName>
    <definedName name="OSRRefD22_17x_0" localSheetId="50">'301'!$D$81:$D$82</definedName>
    <definedName name="OSRRefD22_17x_0" localSheetId="65">'310'!$D$89:$D$93</definedName>
    <definedName name="OSRRefD22_17x_0" localSheetId="74">'310 &amp; 491'!$D$96:$D$99</definedName>
    <definedName name="OSRRefD22_17x_0" localSheetId="70">'325'!$D$90</definedName>
    <definedName name="OSRRefD22_17x_0" localSheetId="71">'326'!$D$113:$D$114</definedName>
    <definedName name="OSRRefD22_17x_0" localSheetId="58">'331'!$D$129:$D$130</definedName>
    <definedName name="OSRRefD22_17x_0" localSheetId="76">'405'!$D$91</definedName>
    <definedName name="OSRRefD22_17x_0" localSheetId="82">'415'!$D$92:$D$93</definedName>
    <definedName name="OSRRefD22_17x_0" localSheetId="75">'491'!$D$99</definedName>
    <definedName name="OSRRefD22_17x_0" localSheetId="89">'492'!$D$97:$D$98</definedName>
    <definedName name="OSRRefD22_17x_0" localSheetId="39">'Div 2'!$D$84:$D$87</definedName>
    <definedName name="OSRRefD22_17x_0" localSheetId="47">'Div 3'!$D$223</definedName>
    <definedName name="OSRRefD22_17x_0" localSheetId="73">'Div 4'!$D$96:$D$98</definedName>
    <definedName name="OSRRefD22_17x_0" localSheetId="2">Summary!$D$257</definedName>
    <definedName name="OSRRefD22_18x_0" localSheetId="48">'300'!$D$224:$D$227</definedName>
    <definedName name="OSRRefD22_18x_0" localSheetId="49">'300 &amp; 317'!$D$249:$D$252</definedName>
    <definedName name="OSRRefD22_18x_0" localSheetId="50">'301'!$D$84:$D$89</definedName>
    <definedName name="OSRRefD22_18x_0" localSheetId="65">'310'!$D$95</definedName>
    <definedName name="OSRRefD22_18x_0" localSheetId="74">'310 &amp; 491'!$D$101:$D$103</definedName>
    <definedName name="OSRRefD22_18x_0" localSheetId="70">'325'!$D$92</definedName>
    <definedName name="OSRRefD22_18x_0" localSheetId="71">'326'!$D$116</definedName>
    <definedName name="OSRRefD22_18x_0" localSheetId="58">'331'!$D$132:$D$136</definedName>
    <definedName name="OSRRefD22_18x_0" localSheetId="82">'415'!$D$95</definedName>
    <definedName name="OSRRefD22_18x_0" localSheetId="75">'491'!$D$101:$D$110</definedName>
    <definedName name="OSRRefD22_18x_0" localSheetId="39">'Div 2'!$D$89:$D$90</definedName>
    <definedName name="OSRRefD22_18x_0" localSheetId="47">'Div 3'!$D$225:$D$227</definedName>
    <definedName name="OSRRefD22_18x_0" localSheetId="73">'Div 4'!$D$100:$D$104</definedName>
    <definedName name="OSRRefD22_18x_0" localSheetId="2">Summary!$D$259:$D$262</definedName>
    <definedName name="OSRRefD22_19x_0" localSheetId="48">'300'!$D$229:$D$230</definedName>
    <definedName name="OSRRefD22_19x_0" localSheetId="49">'300 &amp; 317'!$D$254:$D$255</definedName>
    <definedName name="OSRRefD22_19x_0" localSheetId="50">'301'!$D$91</definedName>
    <definedName name="OSRRefD22_19x_0" localSheetId="65">'310'!$D$97:$D$104</definedName>
    <definedName name="OSRRefD22_19x_0" localSheetId="74">'310 &amp; 491'!$D$105:$D$110</definedName>
    <definedName name="OSRRefD22_19x_0" localSheetId="71">'326'!$D$118</definedName>
    <definedName name="OSRRefD22_19x_0" localSheetId="58">'331'!$D$138:$D$139</definedName>
    <definedName name="OSRRefD22_19x_0" localSheetId="75">'491'!$D$112:$D$113</definedName>
    <definedName name="OSRRefD22_19x_0" localSheetId="39">'Div 2'!$D$92</definedName>
    <definedName name="OSRRefD22_19x_0" localSheetId="47">'Div 3'!$D$229:$D$232</definedName>
    <definedName name="OSRRefD22_19x_0" localSheetId="73">'Div 4'!$D$106</definedName>
    <definedName name="OSRRefD22_19x_0" localSheetId="2">Summary!$D$264:$D$267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'300'!$D$169:$D$178</definedName>
    <definedName name="OSRRefD22_1x_0" localSheetId="49">'300 &amp; 317'!$D$194:$D$203</definedName>
    <definedName name="OSRRefD22_1x_0" localSheetId="50">'301'!$D$30:$D$39</definedName>
    <definedName name="OSRRefD22_1x_0" localSheetId="51">'306'!$D$30:$D$39</definedName>
    <definedName name="OSRRefD22_1x_0" localSheetId="53">'307'!$D$80:$D$89</definedName>
    <definedName name="OSRRefD22_1x_0" localSheetId="55">'308'!$D$72:$D$81</definedName>
    <definedName name="OSRRefD22_1x_0" localSheetId="66">'309'!$D$36:$D$45</definedName>
    <definedName name="OSRRefD22_1x_0" localSheetId="65">'310'!$D$43:$D$52</definedName>
    <definedName name="OSRRefD22_1x_0" localSheetId="74">'310 &amp; 491'!$D$51:$D$60</definedName>
    <definedName name="OSRRefD22_1x_0" localSheetId="56">'311'!$D$72:$D$81</definedName>
    <definedName name="OSRRefD22_1x_0" localSheetId="67">'313'!$D$39:$D$48</definedName>
    <definedName name="OSRRefD22_1x_0" localSheetId="54">'314'!$D$67:$D$76</definedName>
    <definedName name="OSRRefD22_1x_0" localSheetId="59">'315'!$D$67:$D$76</definedName>
    <definedName name="OSRRefD22_1x_0" localSheetId="61">'316'!$D$43:$D$52</definedName>
    <definedName name="OSRRefD22_1x_0" localSheetId="64">'317'!$D$71:$D$80</definedName>
    <definedName name="OSRRefD22_1x_0" localSheetId="62">'320'!$D$37:$D$46</definedName>
    <definedName name="OSRRefD22_1x_0" localSheetId="68">'321'!$D$35:$D$44</definedName>
    <definedName name="OSRRefD22_1x_0" localSheetId="69">'322'!$D$36:$D$45</definedName>
    <definedName name="OSRRefD22_1x_0" localSheetId="70">'325'!$D$36:$D$45</definedName>
    <definedName name="OSRRefD22_1x_0" localSheetId="71">'326'!$D$63:$D$72</definedName>
    <definedName name="OSRRefD22_1x_0" localSheetId="72">'327'!$D$26</definedName>
    <definedName name="OSRRefD22_1x_0" localSheetId="52">'330'!$D$89:$D$98</definedName>
    <definedName name="OSRRefD22_1x_0" localSheetId="58">'331'!$D$80:$D$89</definedName>
    <definedName name="OSRRefD22_1x_0" localSheetId="60">'332'!$D$51:$D$60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'412'!$D$36:$D$45</definedName>
    <definedName name="OSRRefD22_1x_0" localSheetId="80">'413'!$D$37:$D$46</definedName>
    <definedName name="OSRRefD22_1x_0" localSheetId="81">'414'!$D$37:$D$46</definedName>
    <definedName name="OSRRefD22_1x_0" localSheetId="82">'415'!$D$36:$D$45</definedName>
    <definedName name="OSRRefD22_1x_0" localSheetId="83">'418'!$D$37:$D$46</definedName>
    <definedName name="OSRRefD22_1x_0" localSheetId="84">'420'!$D$30:$D$33</definedName>
    <definedName name="OSRRefD22_1x_0" localSheetId="85">'423'!$D$31:$D$40</definedName>
    <definedName name="OSRRefD22_1x_0" localSheetId="86">'424'!$D$35:$D$44</definedName>
    <definedName name="OSRRefD22_1x_0" localSheetId="87">'425'!$D$37:$D$46</definedName>
    <definedName name="OSRRefD22_1x_0" localSheetId="90">'430'!$D$30:$D$39</definedName>
    <definedName name="OSRRefD22_1x_0" localSheetId="91">'433'!$D$38:$D$47</definedName>
    <definedName name="OSRRefD22_1x_0" localSheetId="92">'435'!$D$36:$D$45</definedName>
    <definedName name="OSRRefD22_1x_0" localSheetId="93">'444'!$D$38:$D$47</definedName>
    <definedName name="OSRRefD22_1x_0" localSheetId="94">'450'!$D$38:$D$47</definedName>
    <definedName name="OSRRefD22_1x_0" localSheetId="88">'455'!$D$29:$D$38</definedName>
    <definedName name="OSRRefD22_1x_0" localSheetId="75">'491'!$D$45:$D$54</definedName>
    <definedName name="OSRRefD22_1x_0" localSheetId="89">'492'!$D$40:$D$49</definedName>
    <definedName name="OSRRefD22_1x_0" localSheetId="96">'501'!$D$31:$D$40</definedName>
    <definedName name="OSRRefD22_1x_0" localSheetId="39">'Div 2'!$D$32:$D$41</definedName>
    <definedName name="OSRRefD22_1x_0" localSheetId="47">'Div 3'!$D$175:$D$184</definedName>
    <definedName name="OSRRefD22_1x_0" localSheetId="73">'Div 4'!$D$46:$D$55</definedName>
    <definedName name="OSRRefD22_1x_0" localSheetId="95">'Div 5'!$D$31:$D$40</definedName>
    <definedName name="OSRRefD22_1x_0" localSheetId="63">'Div 6'!$D$71:$D$80</definedName>
    <definedName name="OSRRefD22_1x_0" localSheetId="2">Summary!$D$207:$D$216</definedName>
    <definedName name="OSRRefD22_20x_0" localSheetId="48">'300'!$D$232:$D$238</definedName>
    <definedName name="OSRRefD22_20x_0" localSheetId="49">'300 &amp; 317'!$D$257:$D$263</definedName>
    <definedName name="OSRRefD22_20x_0" localSheetId="50">'301'!$D$93</definedName>
    <definedName name="OSRRefD22_20x_0" localSheetId="65">'310'!$D$106</definedName>
    <definedName name="OSRRefD22_20x_0" localSheetId="74">'310 &amp; 491'!$D$112</definedName>
    <definedName name="OSRRefD22_20x_0" localSheetId="71">'326'!$D$120</definedName>
    <definedName name="OSRRefD22_20x_0" localSheetId="58">'331'!$D$141</definedName>
    <definedName name="OSRRefD22_20x_0" localSheetId="75">'491'!$D$115</definedName>
    <definedName name="OSRRefD22_20x_0" localSheetId="39">'Div 2'!$D$94:$D$95</definedName>
    <definedName name="OSRRefD22_20x_0" localSheetId="47">'Div 3'!$D$234:$D$239</definedName>
    <definedName name="OSRRefD22_20x_0" localSheetId="73">'Div 4'!$D$108:$D$117</definedName>
    <definedName name="OSRRefD22_20x_0" localSheetId="2">Summary!$D$269:$D$274</definedName>
    <definedName name="OSRRefD22_21x_0" localSheetId="48">'300'!$D$240:$D$241</definedName>
    <definedName name="OSRRefD22_21x_0" localSheetId="49">'300 &amp; 317'!$D$265:$D$266</definedName>
    <definedName name="OSRRefD22_21x_0" localSheetId="50">'301'!$D$95:$D$96</definedName>
    <definedName name="OSRRefD22_21x_0" localSheetId="65">'310'!$D$108</definedName>
    <definedName name="OSRRefD22_21x_0" localSheetId="74">'310 &amp; 491'!$D$114:$D$123</definedName>
    <definedName name="OSRRefD22_21x_0" localSheetId="58">'331'!$D$143:$D$144</definedName>
    <definedName name="OSRRefD22_21x_0" localSheetId="75">'491'!$D$117:$D$119</definedName>
    <definedName name="OSRRefD22_21x_0" localSheetId="47">'Div 3'!$D$241:$D$242</definedName>
    <definedName name="OSRRefD22_21x_0" localSheetId="73">'Div 4'!$D$119:$D$120</definedName>
    <definedName name="OSRRefD22_21x_0" localSheetId="2">Summary!$D$276:$D$277</definedName>
    <definedName name="OSRRefD22_22x_0" localSheetId="48">'300'!$D$243</definedName>
    <definedName name="OSRRefD22_22x_0" localSheetId="49">'300 &amp; 317'!$D$268</definedName>
    <definedName name="OSRRefD22_22x_0" localSheetId="50">'301'!$D$98</definedName>
    <definedName name="OSRRefD22_22x_0" localSheetId="65">'310'!$D$110</definedName>
    <definedName name="OSRRefD22_22x_0" localSheetId="74">'310 &amp; 491'!$D$125:$D$126</definedName>
    <definedName name="OSRRefD22_22x_0" localSheetId="58">'331'!$D$146</definedName>
    <definedName name="OSRRefD22_22x_0" localSheetId="75">'491'!$D$121</definedName>
    <definedName name="OSRRefD22_22x_0" localSheetId="47">'Div 3'!$D$244:$D$251</definedName>
    <definedName name="OSRRefD22_22x_0" localSheetId="73">'Div 4'!$D$122</definedName>
    <definedName name="OSRRefD22_22x_0" localSheetId="2">Summary!$D$279:$D$288</definedName>
    <definedName name="OSRRefD22_23x_0" localSheetId="48">'300'!$D$245:$D$247</definedName>
    <definedName name="OSRRefD22_23x_0" localSheetId="49">'300 &amp; 317'!$D$270:$D$272</definedName>
    <definedName name="OSRRefD22_23x_0" localSheetId="65">'310'!$D$112</definedName>
    <definedName name="OSRRefD22_23x_0" localSheetId="74">'310 &amp; 491'!$D$128</definedName>
    <definedName name="OSRRefD22_23x_0" localSheetId="47">'Div 3'!$D$253:$D$254</definedName>
    <definedName name="OSRRefD22_23x_0" localSheetId="73">'Div 4'!$D$124:$D$126</definedName>
    <definedName name="OSRRefD22_23x_0" localSheetId="2">Summary!$D$290:$D$291</definedName>
    <definedName name="OSRRefD22_24x_0" localSheetId="48">'300'!$D$249</definedName>
    <definedName name="OSRRefD22_24x_0" localSheetId="49">'300 &amp; 317'!$D$274</definedName>
    <definedName name="OSRRefD22_24x_0" localSheetId="74">'310 &amp; 491'!$D$130:$D$132</definedName>
    <definedName name="OSRRefD22_24x_0" localSheetId="47">'Div 3'!$D$256</definedName>
    <definedName name="OSRRefD22_24x_0" localSheetId="73">'Div 4'!$D$128</definedName>
    <definedName name="OSRRefD22_24x_0" localSheetId="2">Summary!$D$293</definedName>
    <definedName name="OSRRefD22_25x_0" localSheetId="74">'310 &amp; 491'!$D$134</definedName>
    <definedName name="OSRRefD22_25x_0" localSheetId="47">'Div 3'!$D$258:$D$260</definedName>
    <definedName name="OSRRefD22_25x_0" localSheetId="2">Summary!$D$295:$D$297</definedName>
    <definedName name="OSRRefD22_26x_0" localSheetId="47">'Div 3'!$D$262</definedName>
    <definedName name="OSRRefD22_26x_0" localSheetId="2">Summary!$D$299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'300'!$D$180</definedName>
    <definedName name="OSRRefD22_2x_0" localSheetId="49">'300 &amp; 317'!$D$205</definedName>
    <definedName name="OSRRefD22_2x_0" localSheetId="50">'301'!$D$41</definedName>
    <definedName name="OSRRefD22_2x_0" localSheetId="51">'306'!$D$41</definedName>
    <definedName name="OSRRefD22_2x_0" localSheetId="53">'307'!$D$91</definedName>
    <definedName name="OSRRefD22_2x_0" localSheetId="55">'308'!$D$83</definedName>
    <definedName name="OSRRefD22_2x_0" localSheetId="66">'309'!$D$47</definedName>
    <definedName name="OSRRefD22_2x_0" localSheetId="65">'310'!$D$54</definedName>
    <definedName name="OSRRefD22_2x_0" localSheetId="74">'310 &amp; 491'!$D$62</definedName>
    <definedName name="OSRRefD22_2x_0" localSheetId="56">'311'!$D$83</definedName>
    <definedName name="OSRRefD22_2x_0" localSheetId="67">'313'!$D$50</definedName>
    <definedName name="OSRRefD22_2x_0" localSheetId="54">'314'!$D$78</definedName>
    <definedName name="OSRRefD22_2x_0" localSheetId="59">'315'!$D$78</definedName>
    <definedName name="OSRRefD22_2x_0" localSheetId="61">'316'!$D$54</definedName>
    <definedName name="OSRRefD22_2x_0" localSheetId="64">'317'!$D$82</definedName>
    <definedName name="OSRRefD22_2x_0" localSheetId="62">'320'!$D$48</definedName>
    <definedName name="OSRRefD22_2x_0" localSheetId="68">'321'!$D$46</definedName>
    <definedName name="OSRRefD22_2x_0" localSheetId="69">'322'!$D$47</definedName>
    <definedName name="OSRRefD22_2x_0" localSheetId="70">'325'!$D$47</definedName>
    <definedName name="OSRRefD22_2x_0" localSheetId="71">'326'!$D$74</definedName>
    <definedName name="OSRRefD22_2x_0" localSheetId="72">'327'!$D$28</definedName>
    <definedName name="OSRRefD22_2x_0" localSheetId="52">'330'!$D$100</definedName>
    <definedName name="OSRRefD22_2x_0" localSheetId="58">'331'!$D$91</definedName>
    <definedName name="OSRRefD22_2x_0" localSheetId="60">'332'!$D$62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'412'!$D$47</definedName>
    <definedName name="OSRRefD22_2x_0" localSheetId="80">'413'!$D$48</definedName>
    <definedName name="OSRRefD22_2x_0" localSheetId="81">'414'!$D$48</definedName>
    <definedName name="OSRRefD22_2x_0" localSheetId="82">'415'!$D$47</definedName>
    <definedName name="OSRRefD22_2x_0" localSheetId="83">'418'!$D$48</definedName>
    <definedName name="OSRRefD22_2x_0" localSheetId="84">'420'!$D$35</definedName>
    <definedName name="OSRRefD22_2x_0" localSheetId="85">'423'!$D$42</definedName>
    <definedName name="OSRRefD22_2x_0" localSheetId="86">'424'!$D$46</definedName>
    <definedName name="OSRRefD22_2x_0" localSheetId="87">'425'!$D$48</definedName>
    <definedName name="OSRRefD22_2x_0" localSheetId="90">'430'!$D$41</definedName>
    <definedName name="OSRRefD22_2x_0" localSheetId="91">'433'!$D$49</definedName>
    <definedName name="OSRRefD22_2x_0" localSheetId="92">'435'!$D$47</definedName>
    <definedName name="OSRRefD22_2x_0" localSheetId="93">'444'!$D$49</definedName>
    <definedName name="OSRRefD22_2x_0" localSheetId="94">'450'!$D$49</definedName>
    <definedName name="OSRRefD22_2x_0" localSheetId="75">'491'!$D$56</definedName>
    <definedName name="OSRRefD22_2x_0" localSheetId="89">'492'!$D$51</definedName>
    <definedName name="OSRRefD22_2x_0" localSheetId="96">'501'!$D$42</definedName>
    <definedName name="OSRRefD22_2x_0" localSheetId="39">'Div 2'!$D$43</definedName>
    <definedName name="OSRRefD22_2x_0" localSheetId="47">'Div 3'!$D$186</definedName>
    <definedName name="OSRRefD22_2x_0" localSheetId="73">'Div 4'!$D$57</definedName>
    <definedName name="OSRRefD22_2x_0" localSheetId="95">'Div 5'!$D$42</definedName>
    <definedName name="OSRRefD22_2x_0" localSheetId="63">'Div 6'!$D$82</definedName>
    <definedName name="OSRRefD22_2x_0" localSheetId="2">Summary!$D$218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</definedName>
    <definedName name="OSRRefD22_3x_0" localSheetId="45">'205'!$D$43</definedName>
    <definedName name="OSRRefD22_3x_0" localSheetId="46">'206'!$D$43</definedName>
    <definedName name="OSRRefD22_3x_0" localSheetId="48">'300'!$D$182:$D$183</definedName>
    <definedName name="OSRRefD22_3x_0" localSheetId="49">'300 &amp; 317'!$D$207:$D$208</definedName>
    <definedName name="OSRRefD22_3x_0" localSheetId="50">'301'!$D$43:$D$44</definedName>
    <definedName name="OSRRefD22_3x_0" localSheetId="51">'306'!$D$43</definedName>
    <definedName name="OSRRefD22_3x_0" localSheetId="53">'307'!$D$93</definedName>
    <definedName name="OSRRefD22_3x_0" localSheetId="55">'308'!$D$85:$D$86</definedName>
    <definedName name="OSRRefD22_3x_0" localSheetId="66">'309'!$D$49</definedName>
    <definedName name="OSRRefD22_3x_0" localSheetId="65">'310'!$D$56</definedName>
    <definedName name="OSRRefD22_3x_0" localSheetId="74">'310 &amp; 491'!$D$64</definedName>
    <definedName name="OSRRefD22_3x_0" localSheetId="56">'311'!$D$85:$D$86</definedName>
    <definedName name="OSRRefD22_3x_0" localSheetId="67">'313'!$D$52</definedName>
    <definedName name="OSRRefD22_3x_0" localSheetId="54">'314'!$D$80:$D$81</definedName>
    <definedName name="OSRRefD22_3x_0" localSheetId="59">'315'!$D$80:$D$81</definedName>
    <definedName name="OSRRefD22_3x_0" localSheetId="61">'316'!$D$56</definedName>
    <definedName name="OSRRefD22_3x_0" localSheetId="64">'317'!$D$84</definedName>
    <definedName name="OSRRefD22_3x_0" localSheetId="62">'320'!$D$50</definedName>
    <definedName name="OSRRefD22_3x_0" localSheetId="68">'321'!$D$48</definedName>
    <definedName name="OSRRefD22_3x_0" localSheetId="69">'322'!$D$49</definedName>
    <definedName name="OSRRefD22_3x_0" localSheetId="70">'325'!$D$49</definedName>
    <definedName name="OSRRefD22_3x_0" localSheetId="71">'326'!$D$76:$D$77</definedName>
    <definedName name="OSRRefD22_3x_0" localSheetId="52">'330'!$D$102</definedName>
    <definedName name="OSRRefD22_3x_0" localSheetId="58">'331'!$D$93:$D$94</definedName>
    <definedName name="OSRRefD22_3x_0" localSheetId="60">'332'!$D$64</definedName>
    <definedName name="OSRRefD22_3x_0" localSheetId="76">'405'!$D$49</definedName>
    <definedName name="OSRRefD22_3x_0" localSheetId="77">'406'!$D$50</definedName>
    <definedName name="OSRRefD22_3x_0" localSheetId="78">'411'!$D$44:$D$47</definedName>
    <definedName name="OSRRefD22_3x_0" localSheetId="79">'412'!$D$49</definedName>
    <definedName name="OSRRefD22_3x_0" localSheetId="80">'413'!$D$50</definedName>
    <definedName name="OSRRefD22_3x_0" localSheetId="81">'414'!$D$50</definedName>
    <definedName name="OSRRefD22_3x_0" localSheetId="82">'415'!$D$49</definedName>
    <definedName name="OSRRefD22_3x_0" localSheetId="83">'418'!$D$50</definedName>
    <definedName name="OSRRefD22_3x_0" localSheetId="84">'420'!$D$37</definedName>
    <definedName name="OSRRefD22_3x_0" localSheetId="85">'423'!$D$44</definedName>
    <definedName name="OSRRefD22_3x_0" localSheetId="86">'424'!$D$48</definedName>
    <definedName name="OSRRefD22_3x_0" localSheetId="87">'425'!$D$50</definedName>
    <definedName name="OSRRefD22_3x_0" localSheetId="90">'430'!$D$43</definedName>
    <definedName name="OSRRefD22_3x_0" localSheetId="91">'433'!$D$51</definedName>
    <definedName name="OSRRefD22_3x_0" localSheetId="92">'435'!$D$49</definedName>
    <definedName name="OSRRefD22_3x_0" localSheetId="93">'444'!$D$51</definedName>
    <definedName name="OSRRefD22_3x_0" localSheetId="94">'450'!$D$51:$D$52</definedName>
    <definedName name="OSRRefD22_3x_0" localSheetId="75">'491'!$D$58</definedName>
    <definedName name="OSRRefD22_3x_0" localSheetId="89">'492'!$D$53:$D$54</definedName>
    <definedName name="OSRRefD22_3x_0" localSheetId="96">'501'!$D$44</definedName>
    <definedName name="OSRRefD22_3x_0" localSheetId="39">'Div 2'!$D$45</definedName>
    <definedName name="OSRRefD22_3x_0" localSheetId="47">'Div 3'!$D$188:$D$189</definedName>
    <definedName name="OSRRefD22_3x_0" localSheetId="73">'Div 4'!$D$59:$D$60</definedName>
    <definedName name="OSRRefD22_3x_0" localSheetId="95">'Div 5'!$D$44</definedName>
    <definedName name="OSRRefD22_3x_0" localSheetId="63">'Div 6'!$D$84</definedName>
    <definedName name="OSRRefD22_3x_0" localSheetId="2">Summary!$D$220:$D$221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</definedName>
    <definedName name="OSRRefD22_4x_0" localSheetId="46">'206'!$D$45</definedName>
    <definedName name="OSRRefD22_4x_0" localSheetId="48">'300'!$D$185</definedName>
    <definedName name="OSRRefD22_4x_0" localSheetId="49">'300 &amp; 317'!$D$210</definedName>
    <definedName name="OSRRefD22_4x_0" localSheetId="50">'301'!$D$46</definedName>
    <definedName name="OSRRefD22_4x_0" localSheetId="51">'306'!$D$45</definedName>
    <definedName name="OSRRefD22_4x_0" localSheetId="53">'307'!$D$95:$D$96</definedName>
    <definedName name="OSRRefD22_4x_0" localSheetId="55">'308'!$D$88</definedName>
    <definedName name="OSRRefD22_4x_0" localSheetId="66">'309'!$D$51</definedName>
    <definedName name="OSRRefD22_4x_0" localSheetId="65">'310'!$D$58</definedName>
    <definedName name="OSRRefD22_4x_0" localSheetId="74">'310 &amp; 491'!$D$66</definedName>
    <definedName name="OSRRefD22_4x_0" localSheetId="56">'311'!$D$88</definedName>
    <definedName name="OSRRefD22_4x_0" localSheetId="67">'313'!$D$54</definedName>
    <definedName name="OSRRefD22_4x_0" localSheetId="54">'314'!$D$83</definedName>
    <definedName name="OSRRefD22_4x_0" localSheetId="59">'315'!$D$83</definedName>
    <definedName name="OSRRefD22_4x_0" localSheetId="61">'316'!$D$58</definedName>
    <definedName name="OSRRefD22_4x_0" localSheetId="64">'317'!$D$86</definedName>
    <definedName name="OSRRefD22_4x_0" localSheetId="62">'320'!$D$52:$D$53</definedName>
    <definedName name="OSRRefD22_4x_0" localSheetId="68">'321'!$D$50</definedName>
    <definedName name="OSRRefD22_4x_0" localSheetId="69">'322'!$D$51</definedName>
    <definedName name="OSRRefD22_4x_0" localSheetId="70">'325'!$D$51</definedName>
    <definedName name="OSRRefD22_4x_0" localSheetId="71">'326'!$D$79</definedName>
    <definedName name="OSRRefD22_4x_0" localSheetId="52">'330'!$D$104:$D$105</definedName>
    <definedName name="OSRRefD22_4x_0" localSheetId="58">'331'!$D$96</definedName>
    <definedName name="OSRRefD22_4x_0" localSheetId="60">'332'!$D$66</definedName>
    <definedName name="OSRRefD22_4x_0" localSheetId="76">'405'!$D$51</definedName>
    <definedName name="OSRRefD22_4x_0" localSheetId="77">'406'!$D$52</definedName>
    <definedName name="OSRRefD22_4x_0" localSheetId="78">'411'!$D$49</definedName>
    <definedName name="OSRRefD22_4x_0" localSheetId="79">'412'!$D$51</definedName>
    <definedName name="OSRRefD22_4x_0" localSheetId="80">'413'!$D$52</definedName>
    <definedName name="OSRRefD22_4x_0" localSheetId="81">'414'!$D$52</definedName>
    <definedName name="OSRRefD22_4x_0" localSheetId="82">'415'!$D$51</definedName>
    <definedName name="OSRRefD22_4x_0" localSheetId="83">'418'!$D$52</definedName>
    <definedName name="OSRRefD22_4x_0" localSheetId="85">'423'!$D$46</definedName>
    <definedName name="OSRRefD22_4x_0" localSheetId="86">'424'!$D$50</definedName>
    <definedName name="OSRRefD22_4x_0" localSheetId="87">'425'!$D$52</definedName>
    <definedName name="OSRRefD22_4x_0" localSheetId="90">'430'!$D$45</definedName>
    <definedName name="OSRRefD22_4x_0" localSheetId="91">'433'!$D$53</definedName>
    <definedName name="OSRRefD22_4x_0" localSheetId="92">'435'!$D$51</definedName>
    <definedName name="OSRRefD22_4x_0" localSheetId="93">'444'!$D$53</definedName>
    <definedName name="OSRRefD22_4x_0" localSheetId="94">'450'!$D$54</definedName>
    <definedName name="OSRRefD22_4x_0" localSheetId="75">'491'!$D$60</definedName>
    <definedName name="OSRRefD22_4x_0" localSheetId="89">'492'!$D$56</definedName>
    <definedName name="OSRRefD22_4x_0" localSheetId="96">'501'!$D$46</definedName>
    <definedName name="OSRRefD22_4x_0" localSheetId="39">'Div 2'!$D$47</definedName>
    <definedName name="OSRRefD22_4x_0" localSheetId="47">'Div 3'!$D$191</definedName>
    <definedName name="OSRRefD22_4x_0" localSheetId="73">'Div 4'!$D$62</definedName>
    <definedName name="OSRRefD22_4x_0" localSheetId="95">'Div 5'!$D$46</definedName>
    <definedName name="OSRRefD22_4x_0" localSheetId="63">'Div 6'!$D$86</definedName>
    <definedName name="OSRRefD22_4x_0" localSheetId="2">Summary!$D$223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'204'!$D$48</definedName>
    <definedName name="OSRRefD22_5x_0" localSheetId="45">'205'!$D$47:$D$48</definedName>
    <definedName name="OSRRefD22_5x_0" localSheetId="46">'206'!$D$47</definedName>
    <definedName name="OSRRefD22_5x_0" localSheetId="48">'300'!$D$187:$D$190</definedName>
    <definedName name="OSRRefD22_5x_0" localSheetId="49">'300 &amp; 317'!$D$212:$D$215</definedName>
    <definedName name="OSRRefD22_5x_0" localSheetId="50">'301'!$D$48:$D$51</definedName>
    <definedName name="OSRRefD22_5x_0" localSheetId="51">'306'!$D$47</definedName>
    <definedName name="OSRRefD22_5x_0" localSheetId="53">'307'!$D$98</definedName>
    <definedName name="OSRRefD22_5x_0" localSheetId="55">'308'!$D$90</definedName>
    <definedName name="OSRRefD22_5x_0" localSheetId="66">'309'!$D$53:$D$54</definedName>
    <definedName name="OSRRefD22_5x_0" localSheetId="65">'310'!$D$60:$D$62</definedName>
    <definedName name="OSRRefD22_5x_0" localSheetId="74">'310 &amp; 491'!$D$68:$D$71</definedName>
    <definedName name="OSRRefD22_5x_0" localSheetId="56">'311'!$D$90</definedName>
    <definedName name="OSRRefD22_5x_0" localSheetId="67">'313'!$D$56</definedName>
    <definedName name="OSRRefD22_5x_0" localSheetId="54">'314'!$D$85</definedName>
    <definedName name="OSRRefD22_5x_0" localSheetId="59">'315'!$D$85:$D$86</definedName>
    <definedName name="OSRRefD22_5x_0" localSheetId="61">'316'!$D$60</definedName>
    <definedName name="OSRRefD22_5x_0" localSheetId="64">'317'!$D$88</definedName>
    <definedName name="OSRRefD22_5x_0" localSheetId="62">'320'!$D$55</definedName>
    <definedName name="OSRRefD22_5x_0" localSheetId="68">'321'!$D$52</definedName>
    <definedName name="OSRRefD22_5x_0" localSheetId="69">'322'!$D$53:$D$54</definedName>
    <definedName name="OSRRefD22_5x_0" localSheetId="70">'325'!$D$53:$D$55</definedName>
    <definedName name="OSRRefD22_5x_0" localSheetId="71">'326'!$D$81</definedName>
    <definedName name="OSRRefD22_5x_0" localSheetId="52">'330'!$D$107</definedName>
    <definedName name="OSRRefD22_5x_0" localSheetId="58">'331'!$D$98:$D$99</definedName>
    <definedName name="OSRRefD22_5x_0" localSheetId="60">'332'!$D$68</definedName>
    <definedName name="OSRRefD22_5x_0" localSheetId="76">'405'!$D$53:$D$55</definedName>
    <definedName name="OSRRefD22_5x_0" localSheetId="77">'406'!$D$54:$D$55</definedName>
    <definedName name="OSRRefD22_5x_0" localSheetId="78">'411'!$D$51</definedName>
    <definedName name="OSRRefD22_5x_0" localSheetId="79">'412'!$D$53:$D$55</definedName>
    <definedName name="OSRRefD22_5x_0" localSheetId="80">'413'!$D$54</definedName>
    <definedName name="OSRRefD22_5x_0" localSheetId="81">'414'!$D$54:$D$55</definedName>
    <definedName name="OSRRefD22_5x_0" localSheetId="82">'415'!$D$53:$D$55</definedName>
    <definedName name="OSRRefD22_5x_0" localSheetId="83">'418'!$D$54:$D$56</definedName>
    <definedName name="OSRRefD22_5x_0" localSheetId="85">'423'!$D$48</definedName>
    <definedName name="OSRRefD22_5x_0" localSheetId="86">'424'!$D$52</definedName>
    <definedName name="OSRRefD22_5x_0" localSheetId="87">'425'!$D$54:$D$55</definedName>
    <definedName name="OSRRefD22_5x_0" localSheetId="90">'430'!$D$47</definedName>
    <definedName name="OSRRefD22_5x_0" localSheetId="91">'433'!$D$55</definedName>
    <definedName name="OSRRefD22_5x_0" localSheetId="92">'435'!$D$53</definedName>
    <definedName name="OSRRefD22_5x_0" localSheetId="93">'444'!$D$55</definedName>
    <definedName name="OSRRefD22_5x_0" localSheetId="94">'450'!$D$56</definedName>
    <definedName name="OSRRefD22_5x_0" localSheetId="75">'491'!$D$62:$D$65</definedName>
    <definedName name="OSRRefD22_5x_0" localSheetId="89">'492'!$D$58:$D$59</definedName>
    <definedName name="OSRRefD22_5x_0" localSheetId="96">'501'!$D$48</definedName>
    <definedName name="OSRRefD22_5x_0" localSheetId="39">'Div 2'!$D$49</definedName>
    <definedName name="OSRRefD22_5x_0" localSheetId="47">'Div 3'!$D$193:$D$196</definedName>
    <definedName name="OSRRefD22_5x_0" localSheetId="73">'Div 4'!$D$64:$D$67</definedName>
    <definedName name="OSRRefD22_5x_0" localSheetId="95">'Div 5'!$D$48</definedName>
    <definedName name="OSRRefD22_5x_0" localSheetId="63">'Div 6'!$D$88</definedName>
    <definedName name="OSRRefD22_5x_0" localSheetId="2">Summary!$D$225:$D$228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'204'!$D$50</definedName>
    <definedName name="OSRRefD22_6x_0" localSheetId="45">'205'!$D$50</definedName>
    <definedName name="OSRRefD22_6x_0" localSheetId="46">'206'!$D$49</definedName>
    <definedName name="OSRRefD22_6x_0" localSheetId="48">'300'!$D$192:$D$193</definedName>
    <definedName name="OSRRefD22_6x_0" localSheetId="49">'300 &amp; 317'!$D$217:$D$218</definedName>
    <definedName name="OSRRefD22_6x_0" localSheetId="50">'301'!$D$53:$D$54</definedName>
    <definedName name="OSRRefD22_6x_0" localSheetId="51">'306'!$D$49</definedName>
    <definedName name="OSRRefD22_6x_0" localSheetId="53">'307'!$D$100</definedName>
    <definedName name="OSRRefD22_6x_0" localSheetId="55">'308'!$D$92:$D$93</definedName>
    <definedName name="OSRRefD22_6x_0" localSheetId="66">'309'!$D$56</definedName>
    <definedName name="OSRRefD22_6x_0" localSheetId="65">'310'!$D$64</definedName>
    <definedName name="OSRRefD22_6x_0" localSheetId="74">'310 &amp; 491'!$D$73</definedName>
    <definedName name="OSRRefD22_6x_0" localSheetId="56">'311'!$D$92:$D$93</definedName>
    <definedName name="OSRRefD22_6x_0" localSheetId="67">'313'!$D$58</definedName>
    <definedName name="OSRRefD22_6x_0" localSheetId="54">'314'!$D$87</definedName>
    <definedName name="OSRRefD22_6x_0" localSheetId="59">'315'!$D$88</definedName>
    <definedName name="OSRRefD22_6x_0" localSheetId="61">'316'!$D$62</definedName>
    <definedName name="OSRRefD22_6x_0" localSheetId="64">'317'!$D$90</definedName>
    <definedName name="OSRRefD22_6x_0" localSheetId="62">'320'!$D$57</definedName>
    <definedName name="OSRRefD22_6x_0" localSheetId="68">'321'!$D$54</definedName>
    <definedName name="OSRRefD22_6x_0" localSheetId="69">'322'!$D$56</definedName>
    <definedName name="OSRRefD22_6x_0" localSheetId="70">'325'!$D$57</definedName>
    <definedName name="OSRRefD22_6x_0" localSheetId="71">'326'!$D$83</definedName>
    <definedName name="OSRRefD22_6x_0" localSheetId="52">'330'!$D$109</definedName>
    <definedName name="OSRRefD22_6x_0" localSheetId="58">'331'!$D$101</definedName>
    <definedName name="OSRRefD22_6x_0" localSheetId="60">'332'!$D$70</definedName>
    <definedName name="OSRRefD22_6x_0" localSheetId="76">'405'!$D$57</definedName>
    <definedName name="OSRRefD22_6x_0" localSheetId="77">'406'!$D$57</definedName>
    <definedName name="OSRRefD22_6x_0" localSheetId="78">'411'!$D$53</definedName>
    <definedName name="OSRRefD22_6x_0" localSheetId="79">'412'!$D$57</definedName>
    <definedName name="OSRRefD22_6x_0" localSheetId="80">'413'!$D$56</definedName>
    <definedName name="OSRRefD22_6x_0" localSheetId="81">'414'!$D$57</definedName>
    <definedName name="OSRRefD22_6x_0" localSheetId="82">'415'!$D$57</definedName>
    <definedName name="OSRRefD22_6x_0" localSheetId="83">'418'!$D$58</definedName>
    <definedName name="OSRRefD22_6x_0" localSheetId="86">'424'!$D$54</definedName>
    <definedName name="OSRRefD22_6x_0" localSheetId="87">'425'!$D$57</definedName>
    <definedName name="OSRRefD22_6x_0" localSheetId="90">'430'!$D$49</definedName>
    <definedName name="OSRRefD22_6x_0" localSheetId="91">'433'!$D$57</definedName>
    <definedName name="OSRRefD22_6x_0" localSheetId="92">'435'!$D$55:$D$57</definedName>
    <definedName name="OSRRefD22_6x_0" localSheetId="93">'444'!$D$57</definedName>
    <definedName name="OSRRefD22_6x_0" localSheetId="94">'450'!$D$58</definedName>
    <definedName name="OSRRefD22_6x_0" localSheetId="75">'491'!$D$67</definedName>
    <definedName name="OSRRefD22_6x_0" localSheetId="89">'492'!$D$61</definedName>
    <definedName name="OSRRefD22_6x_0" localSheetId="96">'501'!$D$50</definedName>
    <definedName name="OSRRefD22_6x_0" localSheetId="39">'Div 2'!$D$51:$D$52</definedName>
    <definedName name="OSRRefD22_6x_0" localSheetId="47">'Div 3'!$D$198:$D$199</definedName>
    <definedName name="OSRRefD22_6x_0" localSheetId="73">'Div 4'!$D$69:$D$70</definedName>
    <definedName name="OSRRefD22_6x_0" localSheetId="95">'Div 5'!$D$50</definedName>
    <definedName name="OSRRefD22_6x_0" localSheetId="63">'Div 6'!$D$90</definedName>
    <definedName name="OSRRefD22_6x_0" localSheetId="2">Summary!$D$230:$D$231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'204'!$D$52:$D$55</definedName>
    <definedName name="OSRRefD22_7x_0" localSheetId="45">'205'!$D$52:$D$53</definedName>
    <definedName name="OSRRefD22_7x_0" localSheetId="46">'206'!$D$51:$D$52</definedName>
    <definedName name="OSRRefD22_7x_0" localSheetId="48">'300'!$D$195:$D$196</definedName>
    <definedName name="OSRRefD22_7x_0" localSheetId="49">'300 &amp; 317'!$D$220:$D$221</definedName>
    <definedName name="OSRRefD22_7x_0" localSheetId="50">'301'!$D$56:$D$57</definedName>
    <definedName name="OSRRefD22_7x_0" localSheetId="51">'306'!$D$51:$D$52</definedName>
    <definedName name="OSRRefD22_7x_0" localSheetId="53">'307'!$D$102</definedName>
    <definedName name="OSRRefD22_7x_0" localSheetId="55">'308'!$D$95</definedName>
    <definedName name="OSRRefD22_7x_0" localSheetId="66">'309'!$D$58</definedName>
    <definedName name="OSRRefD22_7x_0" localSheetId="65">'310'!$D$66</definedName>
    <definedName name="OSRRefD22_7x_0" localSheetId="74">'310 &amp; 491'!$D$75</definedName>
    <definedName name="OSRRefD22_7x_0" localSheetId="56">'311'!$D$95</definedName>
    <definedName name="OSRRefD22_7x_0" localSheetId="67">'313'!$D$60</definedName>
    <definedName name="OSRRefD22_7x_0" localSheetId="54">'314'!$D$89</definedName>
    <definedName name="OSRRefD22_7x_0" localSheetId="59">'315'!$D$90</definedName>
    <definedName name="OSRRefD22_7x_0" localSheetId="61">'316'!$D$64</definedName>
    <definedName name="OSRRefD22_7x_0" localSheetId="64">'317'!$D$92</definedName>
    <definedName name="OSRRefD22_7x_0" localSheetId="62">'320'!$D$59:$D$60</definedName>
    <definedName name="OSRRefD22_7x_0" localSheetId="68">'321'!$D$56</definedName>
    <definedName name="OSRRefD22_7x_0" localSheetId="69">'322'!$D$58</definedName>
    <definedName name="OSRRefD22_7x_0" localSheetId="70">'325'!$D$59</definedName>
    <definedName name="OSRRefD22_7x_0" localSheetId="71">'326'!$D$85</definedName>
    <definedName name="OSRRefD22_7x_0" localSheetId="52">'330'!$D$111</definedName>
    <definedName name="OSRRefD22_7x_0" localSheetId="58">'331'!$D$103</definedName>
    <definedName name="OSRRefD22_7x_0" localSheetId="60">'332'!$D$72:$D$73</definedName>
    <definedName name="OSRRefD22_7x_0" localSheetId="76">'405'!$D$59</definedName>
    <definedName name="OSRRefD22_7x_0" localSheetId="77">'406'!$D$59</definedName>
    <definedName name="OSRRefD22_7x_0" localSheetId="78">'411'!$D$55</definedName>
    <definedName name="OSRRefD22_7x_0" localSheetId="79">'412'!$D$59</definedName>
    <definedName name="OSRRefD22_7x_0" localSheetId="80">'413'!$D$58:$D$60</definedName>
    <definedName name="OSRRefD22_7x_0" localSheetId="81">'414'!$D$59</definedName>
    <definedName name="OSRRefD22_7x_0" localSheetId="82">'415'!$D$59</definedName>
    <definedName name="OSRRefD22_7x_0" localSheetId="83">'418'!$D$60</definedName>
    <definedName name="OSRRefD22_7x_0" localSheetId="86">'424'!$D$56:$D$57</definedName>
    <definedName name="OSRRefD22_7x_0" localSheetId="87">'425'!$D$59</definedName>
    <definedName name="OSRRefD22_7x_0" localSheetId="90">'430'!$D$51:$D$53</definedName>
    <definedName name="OSRRefD22_7x_0" localSheetId="91">'433'!$D$59</definedName>
    <definedName name="OSRRefD22_7x_0" localSheetId="92">'435'!$D$59</definedName>
    <definedName name="OSRRefD22_7x_0" localSheetId="93">'444'!$D$59</definedName>
    <definedName name="OSRRefD22_7x_0" localSheetId="94">'450'!$D$60</definedName>
    <definedName name="OSRRefD22_7x_0" localSheetId="75">'491'!$D$69</definedName>
    <definedName name="OSRRefD22_7x_0" localSheetId="89">'492'!$D$63</definedName>
    <definedName name="OSRRefD22_7x_0" localSheetId="96">'501'!$D$52</definedName>
    <definedName name="OSRRefD22_7x_0" localSheetId="39">'Div 2'!$D$54</definedName>
    <definedName name="OSRRefD22_7x_0" localSheetId="47">'Div 3'!$D$201:$D$202</definedName>
    <definedName name="OSRRefD22_7x_0" localSheetId="73">'Div 4'!$D$72</definedName>
    <definedName name="OSRRefD22_7x_0" localSheetId="95">'Div 5'!$D$52</definedName>
    <definedName name="OSRRefD22_7x_0" localSheetId="63">'Div 6'!$D$92</definedName>
    <definedName name="OSRRefD22_7x_0" localSheetId="2">Summary!$D$233:$D$235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'204'!$D$57</definedName>
    <definedName name="OSRRefD22_8x_0" localSheetId="45">'205'!$D$55</definedName>
    <definedName name="OSRRefD22_8x_0" localSheetId="46">'206'!$D$54</definedName>
    <definedName name="OSRRefD22_8x_0" localSheetId="48">'300'!$D$198</definedName>
    <definedName name="OSRRefD22_8x_0" localSheetId="49">'300 &amp; 317'!$D$223</definedName>
    <definedName name="OSRRefD22_8x_0" localSheetId="50">'301'!$D$59</definedName>
    <definedName name="OSRRefD22_8x_0" localSheetId="51">'306'!$D$54:$D$56</definedName>
    <definedName name="OSRRefD22_8x_0" localSheetId="53">'307'!$D$104:$D$105</definedName>
    <definedName name="OSRRefD22_8x_0" localSheetId="55">'308'!$D$97</definedName>
    <definedName name="OSRRefD22_8x_0" localSheetId="66">'309'!$D$60:$D$61</definedName>
    <definedName name="OSRRefD22_8x_0" localSheetId="65">'310'!$D$68</definedName>
    <definedName name="OSRRefD22_8x_0" localSheetId="74">'310 &amp; 491'!$D$77</definedName>
    <definedName name="OSRRefD22_8x_0" localSheetId="56">'311'!$D$97</definedName>
    <definedName name="OSRRefD22_8x_0" localSheetId="67">'313'!$D$62</definedName>
    <definedName name="OSRRefD22_8x_0" localSheetId="59">'315'!$D$92</definedName>
    <definedName name="OSRRefD22_8x_0" localSheetId="61">'316'!$D$66</definedName>
    <definedName name="OSRRefD22_8x_0" localSheetId="64">'317'!$D$94:$D$95</definedName>
    <definedName name="OSRRefD22_8x_0" localSheetId="62">'320'!$D$62</definedName>
    <definedName name="OSRRefD22_8x_0" localSheetId="68">'321'!$D$58</definedName>
    <definedName name="OSRRefD22_8x_0" localSheetId="69">'322'!$D$60</definedName>
    <definedName name="OSRRefD22_8x_0" localSheetId="70">'325'!$D$61</definedName>
    <definedName name="OSRRefD22_8x_0" localSheetId="71">'326'!$D$87</definedName>
    <definedName name="OSRRefD22_8x_0" localSheetId="52">'330'!$D$113:$D$114</definedName>
    <definedName name="OSRRefD22_8x_0" localSheetId="58">'331'!$D$105:$D$106</definedName>
    <definedName name="OSRRefD22_8x_0" localSheetId="60">'332'!$D$75</definedName>
    <definedName name="OSRRefD22_8x_0" localSheetId="76">'405'!$D$61</definedName>
    <definedName name="OSRRefD22_8x_0" localSheetId="77">'406'!$D$61:$D$63</definedName>
    <definedName name="OSRRefD22_8x_0" localSheetId="78">'411'!$D$57</definedName>
    <definedName name="OSRRefD22_8x_0" localSheetId="79">'412'!$D$61:$D$62</definedName>
    <definedName name="OSRRefD22_8x_0" localSheetId="80">'413'!$D$62</definedName>
    <definedName name="OSRRefD22_8x_0" localSheetId="81">'414'!$D$61</definedName>
    <definedName name="OSRRefD22_8x_0" localSheetId="82">'415'!$D$61</definedName>
    <definedName name="OSRRefD22_8x_0" localSheetId="83">'418'!$D$62:$D$63</definedName>
    <definedName name="OSRRefD22_8x_0" localSheetId="86">'424'!$D$59:$D$60</definedName>
    <definedName name="OSRRefD22_8x_0" localSheetId="87">'425'!$D$61</definedName>
    <definedName name="OSRRefD22_8x_0" localSheetId="90">'430'!$D$55</definedName>
    <definedName name="OSRRefD22_8x_0" localSheetId="91">'433'!$D$61</definedName>
    <definedName name="OSRRefD22_8x_0" localSheetId="93">'444'!$D$61</definedName>
    <definedName name="OSRRefD22_8x_0" localSheetId="94">'450'!$D$62</definedName>
    <definedName name="OSRRefD22_8x_0" localSheetId="75">'491'!$D$71</definedName>
    <definedName name="OSRRefD22_8x_0" localSheetId="89">'492'!$D$65</definedName>
    <definedName name="OSRRefD22_8x_0" localSheetId="96">'501'!$D$54</definedName>
    <definedName name="OSRRefD22_8x_0" localSheetId="39">'Div 2'!$D$56</definedName>
    <definedName name="OSRRefD22_8x_0" localSheetId="47">'Div 3'!$D$204</definedName>
    <definedName name="OSRRefD22_8x_0" localSheetId="73">'Div 4'!$D$74</definedName>
    <definedName name="OSRRefD22_8x_0" localSheetId="95">'Div 5'!$D$54</definedName>
    <definedName name="OSRRefD22_8x_0" localSheetId="63">'Div 6'!$D$94:$D$95</definedName>
    <definedName name="OSRRefD22_8x_0" localSheetId="2">Summary!$D$237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'204'!$D$59</definedName>
    <definedName name="OSRRefD22_9x_0" localSheetId="45">'205'!$D$57</definedName>
    <definedName name="OSRRefD22_9x_0" localSheetId="46">'206'!$D$56</definedName>
    <definedName name="OSRRefD22_9x_0" localSheetId="48">'300'!$D$200</definedName>
    <definedName name="OSRRefD22_9x_0" localSheetId="49">'300 &amp; 317'!$D$225</definedName>
    <definedName name="OSRRefD22_9x_0" localSheetId="50">'301'!$D$61</definedName>
    <definedName name="OSRRefD22_9x_0" localSheetId="51">'306'!$D$58</definedName>
    <definedName name="OSRRefD22_9x_0" localSheetId="53">'307'!$D$107:$D$108</definedName>
    <definedName name="OSRRefD22_9x_0" localSheetId="55">'308'!$D$99:$D$100</definedName>
    <definedName name="OSRRefD22_9x_0" localSheetId="66">'309'!$D$63:$D$64</definedName>
    <definedName name="OSRRefD22_9x_0" localSheetId="65">'310'!$D$70</definedName>
    <definedName name="OSRRefD22_9x_0" localSheetId="74">'310 &amp; 491'!$D$79</definedName>
    <definedName name="OSRRefD22_9x_0" localSheetId="56">'311'!$D$99:$D$100</definedName>
    <definedName name="OSRRefD22_9x_0" localSheetId="67">'313'!$D$64</definedName>
    <definedName name="OSRRefD22_9x_0" localSheetId="59">'315'!$D$94</definedName>
    <definedName name="OSRRefD22_9x_0" localSheetId="61">'316'!$D$68</definedName>
    <definedName name="OSRRefD22_9x_0" localSheetId="64">'317'!$D$97:$D$98</definedName>
    <definedName name="OSRRefD22_9x_0" localSheetId="68">'321'!$D$60:$D$62</definedName>
    <definedName name="OSRRefD22_9x_0" localSheetId="69">'322'!$D$62:$D$64</definedName>
    <definedName name="OSRRefD22_9x_0" localSheetId="70">'325'!$D$63</definedName>
    <definedName name="OSRRefD22_9x_0" localSheetId="71">'326'!$D$89</definedName>
    <definedName name="OSRRefD22_9x_0" localSheetId="52">'330'!$D$116:$D$117</definedName>
    <definedName name="OSRRefD22_9x_0" localSheetId="58">'331'!$D$108</definedName>
    <definedName name="OSRRefD22_9x_0" localSheetId="60">'332'!$D$77</definedName>
    <definedName name="OSRRefD22_9x_0" localSheetId="76">'405'!$D$63</definedName>
    <definedName name="OSRRefD22_9x_0" localSheetId="77">'406'!$D$65:$D$67</definedName>
    <definedName name="OSRRefD22_9x_0" localSheetId="78">'411'!$D$59</definedName>
    <definedName name="OSRRefD22_9x_0" localSheetId="79">'412'!$D$64</definedName>
    <definedName name="OSRRefD22_9x_0" localSheetId="80">'413'!$D$64:$D$69</definedName>
    <definedName name="OSRRefD22_9x_0" localSheetId="81">'414'!$D$63:$D$64</definedName>
    <definedName name="OSRRefD22_9x_0" localSheetId="82">'415'!$D$63</definedName>
    <definedName name="OSRRefD22_9x_0" localSheetId="83">'418'!$D$65:$D$67</definedName>
    <definedName name="OSRRefD22_9x_0" localSheetId="86">'424'!$D$62</definedName>
    <definedName name="OSRRefD22_9x_0" localSheetId="87">'425'!$D$63:$D$65</definedName>
    <definedName name="OSRRefD22_9x_0" localSheetId="90">'430'!$D$57</definedName>
    <definedName name="OSRRefD22_9x_0" localSheetId="91">'433'!$D$63</definedName>
    <definedName name="OSRRefD22_9x_0" localSheetId="93">'444'!$D$63</definedName>
    <definedName name="OSRRefD22_9x_0" localSheetId="94">'450'!$D$64</definedName>
    <definedName name="OSRRefD22_9x_0" localSheetId="75">'491'!$D$73:$D$74</definedName>
    <definedName name="OSRRefD22_9x_0" localSheetId="89">'492'!$D$67</definedName>
    <definedName name="OSRRefD22_9x_0" localSheetId="96">'501'!$D$56</definedName>
    <definedName name="OSRRefD22_9x_0" localSheetId="39">'Div 2'!$D$58</definedName>
    <definedName name="OSRRefD22_9x_0" localSheetId="47">'Div 3'!$D$206</definedName>
    <definedName name="OSRRefD22_9x_0" localSheetId="73">'Div 4'!$D$76</definedName>
    <definedName name="OSRRefD22_9x_0" localSheetId="95">'Div 5'!$D$56</definedName>
    <definedName name="OSRRefD22_9x_0" localSheetId="63">'Div 6'!$D$97:$D$98</definedName>
    <definedName name="OSRRefD22_9x_0" localSheetId="2">Summary!$D$239</definedName>
    <definedName name="OSRRefD22x_0" localSheetId="40">'200'!$D$20,'200'!$D$22,'200'!$D$24,'200'!$D$26:$D$27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'202'!$D$20:$D$28,'202'!$D$30:$D$39,'202'!$D$41,'202'!$D$43,'202'!$D$45,'202'!$D$47,'202'!$D$49,'202'!$D$51,'202'!$D$53,'202'!$D$55:$D$57,'202'!$D$59,'202'!$D$61:$D$62,'202'!$D$64,'202'!$D$66,'202'!$D$68:$D$69,'202'!$D$71,'202'!$D$73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'204'!$D$20:$D$29,'204'!$D$31:$D$40,'204'!$D$42,'204'!$D$44,'204'!$D$46,'204'!$D$48,'204'!$D$50,'204'!$D$52:$D$55,'204'!$D$57,'204'!$D$59,'204'!$D$61:$D$62,'204'!$D$64,'204'!$D$66:$D$67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$158:$D$167,'300'!$D$169:$D$178,'300'!$D$180,'300'!$D$182:$D$183,'300'!$D$185,'300'!$D$187:$D$190,'300'!$D$192:$D$193,'300'!$D$195:$D$196,'300'!$D$198,'300'!$D$200,'300'!$D$202:$D$203,'300'!$D$205,'300'!$D$207,'300'!$D$209,'300'!$D$211,'300'!$D$213,'300'!$D$215:$D$217,'300'!$D$219:$D$222,'300'!$D$224:$D$227,'300'!$D$229:$D$230,'300'!$D$232:$D$238,'300'!$D$240:$D$241,'300'!$D$243,'300'!$D$245:$D$247,'300'!$D$249</definedName>
    <definedName name="OSRRefD22x_0" localSheetId="49">'300 &amp; 317'!$D$183:$D$192,'300 &amp; 317'!$D$194:$D$203,'300 &amp; 317'!$D$205,'300 &amp; 317'!$D$207:$D$208,'300 &amp; 317'!$D$210,'300 &amp; 317'!$D$212:$D$215,'300 &amp; 317'!$D$217:$D$218,'300 &amp; 317'!$D$220:$D$221,'300 &amp; 317'!$D$223,'300 &amp; 317'!$D$225,'300 &amp; 317'!$D$227:$D$228,'300 &amp; 317'!$D$230,'300 &amp; 317'!$D$232,'300 &amp; 317'!$D$234,'300 &amp; 317'!$D$236,'300 &amp; 317'!$D$238,'300 &amp; 317'!$D$240:$D$242,'300 &amp; 317'!$D$244:$D$247,'300 &amp; 317'!$D$249:$D$252,'300 &amp; 317'!$D$254:$D$255,'300 &amp; 317'!$D$257:$D$263,'300 &amp; 317'!$D$265:$D$266,'300 &amp; 317'!$D$268,'300 &amp; 317'!$D$270:$D$272,'300 &amp; 317'!$D$274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$75,'301'!$D$77:$D$79,'301'!$D$81:$D$82,'301'!$D$84:$D$89,'301'!$D$91,'301'!$D$93,'301'!$D$95:$D$96,'301'!$D$98</definedName>
    <definedName name="OSRRefD22x_0" localSheetId="51">'306'!$D$20:$D$28,'306'!$D$30:$D$39,'306'!$D$41,'306'!$D$43,'306'!$D$45,'306'!$D$47,'306'!$D$49,'306'!$D$51:$D$52,'306'!$D$54:$D$56,'306'!$D$58,'306'!$D$60</definedName>
    <definedName name="OSRRefD22x_0" localSheetId="53">'307'!$D$70:$D$78,'307'!$D$80:$D$89,'307'!$D$91,'307'!$D$93,'307'!$D$95:$D$96,'307'!$D$98,'307'!$D$100,'307'!$D$102,'307'!$D$104:$D$105,'307'!$D$107:$D$108,'307'!$D$110:$D$111,'307'!$D$113,'307'!$D$115</definedName>
    <definedName name="OSRRefD22x_0" localSheetId="55">'308'!$D$61:$D$70,'308'!$D$72:$D$81,'308'!$D$83,'308'!$D$85:$D$86,'308'!$D$88,'308'!$D$90,'308'!$D$92:$D$93,'308'!$D$95,'308'!$D$97,'308'!$D$99:$D$100,'308'!$D$102,'308'!$D$104:$D$106,'308'!$D$108:$D$109,'308'!$D$111,'308'!$D$113:$D$114</definedName>
    <definedName name="OSRRefD22x_0" localSheetId="66">'309'!$D$26:$D$34,'309'!$D$36:$D$45,'309'!$D$47,'309'!$D$49,'309'!$D$51,'309'!$D$53:$D$54,'309'!$D$56,'309'!$D$58,'309'!$D$60:$D$61,'309'!$D$63:$D$64,'309'!$D$66:$D$68,'309'!$D$70,'309'!$D$72</definedName>
    <definedName name="OSRRefD22x_0" localSheetId="65">'310'!$D$33:$D$41,'310'!$D$43:$D$52,'310'!$D$54,'310'!$D$56,'310'!$D$58,'310'!$D$60:$D$62,'310'!$D$64,'310'!$D$66,'310'!$D$68,'310'!$D$70,'310'!$D$72,'310'!$D$74,'310'!$D$76,'310'!$D$78,'310'!$D$80,'310'!$D$82:$D$84,'310'!$D$86:$D$87,'310'!$D$89:$D$93,'310'!$D$95,'310'!$D$97:$D$104,'310'!$D$106,'310'!$D$108,'310'!$D$110,'310'!$D$112</definedName>
    <definedName name="OSRRefD22x_0" localSheetId="74">'310 &amp; 491'!$D$40:$D$49,'310 &amp; 491'!$D$51:$D$60,'310 &amp; 491'!$D$62,'310 &amp; 491'!$D$64,'310 &amp; 491'!$D$66,'310 &amp; 491'!$D$68:$D$71,'310 &amp; 491'!$D$73,'310 &amp; 491'!$D$75,'310 &amp; 491'!$D$77,'310 &amp; 491'!$D$79,'310 &amp; 491'!$D$81,'310 &amp; 491'!$D$83:$D$84,'310 &amp; 491'!$D$86,'310 &amp; 491'!$D$88,'310 &amp; 491'!$D$90,'310 &amp; 491'!$D$92,'310 &amp; 491'!$D$94,'310 &amp; 491'!$D$96:$D$99,'310 &amp; 491'!$D$101:$D$103,'310 &amp; 491'!$D$105:$D$110,'310 &amp; 491'!$D$112,'310 &amp; 491'!$D$114:$D$123,'310 &amp; 491'!$D$125:$D$126,'310 &amp; 491'!$D$128,'310 &amp; 491'!$D$130:$D$132,'310 &amp; 491'!$D$134</definedName>
    <definedName name="OSRRefD22x_0" localSheetId="56">'311'!$D$61:$D$70,'311'!$D$72:$D$81,'311'!$D$83,'311'!$D$85:$D$86,'311'!$D$88,'311'!$D$90,'311'!$D$92:$D$93,'311'!$D$95,'311'!$D$97,'311'!$D$99:$D$100,'311'!$D$102,'311'!$D$104:$D$106,'311'!$D$108:$D$109,'311'!$D$111,'311'!$D$113:$D$114</definedName>
    <definedName name="OSRRefD22x_0" localSheetId="67">'313'!$D$29:$D$37,'313'!$D$39:$D$48,'313'!$D$50,'313'!$D$52,'313'!$D$54,'313'!$D$56,'313'!$D$58,'313'!$D$60,'313'!$D$62,'313'!$D$64,'313'!$D$66:$D$68,'313'!$D$70,'313'!$D$72:$D$76,'313'!$D$78,'313'!$D$80</definedName>
    <definedName name="OSRRefD22x_0" localSheetId="54">'314'!$D$58:$D$65,'314'!$D$67:$D$76,'314'!$D$78,'314'!$D$80:$D$81,'314'!$D$83,'314'!$D$85,'314'!$D$87,'314'!$D$89</definedName>
    <definedName name="OSRRefD22x_0" localSheetId="59">'315'!$D$57:$D$65,'315'!$D$67:$D$76,'315'!$D$78,'315'!$D$80:$D$81,'315'!$D$83,'315'!$D$85:$D$86,'315'!$D$88,'315'!$D$90,'315'!$D$92,'315'!$D$94,'315'!$D$96:$D$98,'315'!$D$100:$D$101,'315'!$D$103:$D$106,'315'!$D$108,'315'!$D$110,'315'!$D$112:$D$113</definedName>
    <definedName name="OSRRefD22x_0" localSheetId="61">'316'!$D$33:$D$41,'316'!$D$43:$D$52,'316'!$D$54,'316'!$D$56,'316'!$D$58,'316'!$D$60,'316'!$D$62,'316'!$D$64,'316'!$D$66,'316'!$D$68,'316'!$D$70:$D$71,'316'!$D$73:$D$76,'316'!$D$78:$D$79,'316'!$D$81</definedName>
    <definedName name="OSRRefD22x_0" localSheetId="64">'317'!$D$60:$D$69,'317'!$D$71:$D$80,'317'!$D$82,'317'!$D$84,'317'!$D$86,'317'!$D$88,'317'!$D$90,'317'!$D$92,'317'!$D$94:$D$95,'317'!$D$97:$D$98,'317'!$D$100</definedName>
    <definedName name="OSRRefD22x_0" localSheetId="62">'320'!$D$28:$D$35,'320'!$D$37:$D$46,'320'!$D$48,'320'!$D$50,'320'!$D$52:$D$53,'320'!$D$55,'320'!$D$57,'320'!$D$59:$D$60,'320'!$D$62</definedName>
    <definedName name="OSRRefD22x_0" localSheetId="68">'321'!$D$26:$D$33,'321'!$D$35:$D$44,'321'!$D$46,'321'!$D$48,'321'!$D$50,'321'!$D$52,'321'!$D$54,'321'!$D$56,'321'!$D$58,'321'!$D$60:$D$62,'321'!$D$64:$D$65,'321'!$D$67:$D$69,'321'!$D$71:$D$73,'321'!$D$75,'321'!$D$77</definedName>
    <definedName name="OSRRefD22x_0" localSheetId="69">'322'!$D$26:$D$34,'322'!$D$36:$D$45,'322'!$D$47,'322'!$D$49,'322'!$D$51,'322'!$D$53:$D$54,'322'!$D$56,'322'!$D$58,'322'!$D$60,'322'!$D$62:$D$64,'322'!$D$66:$D$68,'322'!$D$70:$D$74,'322'!$D$76,'322'!$D$78</definedName>
    <definedName name="OSRRefD22x_0" localSheetId="70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71">'326'!$D$53:$D$61,'326'!$D$63:$D$72,'326'!$D$74,'326'!$D$76:$D$77,'326'!$D$79,'326'!$D$81,'326'!$D$83,'326'!$D$85,'326'!$D$87,'326'!$D$89,'326'!$D$91,'326'!$D$93,'326'!$D$95,'326'!$D$97:$D$98,'326'!$D$100:$D$102,'326'!$D$104:$D$105,'326'!$D$107:$D$111,'326'!$D$113:$D$114,'326'!$D$116,'326'!$D$118,'326'!$D$120</definedName>
    <definedName name="OSRRefD22x_0" localSheetId="72">'327'!$D$24,'327'!$D$26,'327'!$D$28</definedName>
    <definedName name="OSRRefD22x_0" localSheetId="52">'330'!$D$79:$D$87,'330'!$D$89:$D$98,'330'!$D$100,'330'!$D$102,'330'!$D$104:$D$105,'330'!$D$107,'330'!$D$109,'330'!$D$111,'330'!$D$113:$D$114,'330'!$D$116:$D$117,'330'!$D$119,'330'!$D$121:$D$122,'330'!$D$124,'330'!$D$126</definedName>
    <definedName name="OSRRefD22x_0" localSheetId="58">'331'!$D$70:$D$78,'331'!$D$80:$D$89,'331'!$D$91,'331'!$D$93:$D$94,'331'!$D$96,'331'!$D$98:$D$99,'331'!$D$101,'331'!$D$103,'331'!$D$105:$D$106,'331'!$D$108,'331'!$D$110,'331'!$D$112,'331'!$D$114,'331'!$D$116,'331'!$D$118:$D$119,'331'!$D$121:$D$123,'331'!$D$125:$D$127,'331'!$D$129:$D$130,'331'!$D$132:$D$136,'331'!$D$138:$D$139,'331'!$D$141,'331'!$D$143:$D$144,'331'!$D$146</definedName>
    <definedName name="OSRRefD22x_0" localSheetId="60">'332'!$D$41:$D$49,'332'!$D$51:$D$60,'332'!$D$62,'332'!$D$64,'332'!$D$66,'332'!$D$68,'332'!$D$70,'332'!$D$72:$D$73,'332'!$D$75,'332'!$D$77,'332'!$D$79,'332'!$D$81:$D$82,'332'!$D$84:$D$88,'332'!$D$90:$D$91,'332'!$D$93</definedName>
    <definedName name="OSRRefD22x_0" localSheetId="76">'405'!$D$26:$D$34,'405'!$D$36:$D$45,'405'!$D$47,'405'!$D$49,'405'!$D$51,'405'!$D$53:$D$55,'405'!$D$57,'405'!$D$59,'405'!$D$61,'405'!$D$63,'405'!$D$65:$D$67,'405'!$D$69,'405'!$D$71:$D$73,'405'!$D$75,'405'!$D$77:$D$85,'405'!$D$87,'405'!$D$89,'405'!$D$91</definedName>
    <definedName name="OSRRefD22x_0" localSheetId="77">'406'!$D$27:$D$35,'406'!$D$37:$D$46,'406'!$D$48,'406'!$D$50,'406'!$D$52,'406'!$D$54:$D$55,'406'!$D$57,'406'!$D$59,'406'!$D$61:$D$63,'406'!$D$65:$D$67,'406'!$D$69:$D$74,'406'!$D$76:$D$77,'406'!$D$79,'406'!$D$81</definedName>
    <definedName name="OSRRefD22x_0" localSheetId="78">'411'!$D$20:$D$29,'411'!$D$31:$D$40,'411'!$D$42,'411'!$D$44:$D$47,'411'!$D$49,'411'!$D$51,'411'!$D$53,'411'!$D$55,'411'!$D$57,'411'!$D$59,'411'!$D$61:$D$63,'411'!$D$65:$D$69,'411'!$D$71:$D$77,'411'!$D$79,'411'!$D$81,'411'!$D$83:$D$85,'411'!$D$87</definedName>
    <definedName name="OSRRefD22x_0" localSheetId="79">'412'!$D$26:$D$34,'412'!$D$36:$D$45,'412'!$D$47,'412'!$D$49,'412'!$D$51,'412'!$D$53:$D$55,'412'!$D$57,'412'!$D$59,'412'!$D$61:$D$62,'412'!$D$64,'412'!$D$66:$D$68,'412'!$D$70:$D$75,'412'!$D$77,'412'!$D$79</definedName>
    <definedName name="OSRRefD22x_0" localSheetId="80">'413'!$D$27:$D$35,'413'!$D$37:$D$46,'413'!$D$48,'413'!$D$50,'413'!$D$52,'413'!$D$54,'413'!$D$56,'413'!$D$58:$D$60,'413'!$D$62,'413'!$D$64:$D$69,'413'!$D$71:$D$72,'413'!$D$74</definedName>
    <definedName name="OSRRefD22x_0" localSheetId="81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2">'415'!$D$26:$D$34,'415'!$D$36:$D$45,'415'!$D$47,'415'!$D$49,'415'!$D$51,'415'!$D$53:$D$55,'415'!$D$57,'415'!$D$59,'415'!$D$61,'415'!$D$63,'415'!$D$65,'415'!$D$67:$D$69,'415'!$D$71:$D$75,'415'!$D$77,'415'!$D$79:$D$86,'415'!$D$88,'415'!$D$90,'415'!$D$92:$D$93,'415'!$D$95</definedName>
    <definedName name="OSRRefD22x_0" localSheetId="83">'418'!$D$27:$D$35,'418'!$D$37:$D$46,'418'!$D$48,'418'!$D$50,'418'!$D$52,'418'!$D$54:$D$56,'418'!$D$58,'418'!$D$60,'418'!$D$62:$D$63,'418'!$D$65:$D$67,'418'!$D$69:$D$71,'418'!$D$73,'418'!$D$75:$D$81,'418'!$D$83,'418'!$D$85,'418'!$D$87</definedName>
    <definedName name="OSRRefD22x_0" localSheetId="84">'420'!$D$22:$D$28,'420'!$D$30:$D$33,'420'!$D$35,'420'!$D$37</definedName>
    <definedName name="OSRRefD22x_0" localSheetId="85">'423'!$D$21:$D$29,'423'!$D$31:$D$40,'423'!$D$42,'423'!$D$44,'423'!$D$46,'423'!$D$48</definedName>
    <definedName name="OSRRefD22x_0" localSheetId="86">'424'!$D$26:$D$33,'424'!$D$35:$D$44,'424'!$D$46,'424'!$D$48,'424'!$D$50,'424'!$D$52,'424'!$D$54,'424'!$D$56:$D$57,'424'!$D$59:$D$60,'424'!$D$62,'424'!$D$64:$D$67,'424'!$D$69:$D$70</definedName>
    <definedName name="OSRRefD22x_0" localSheetId="87">'425'!$D$27:$D$35,'425'!$D$37:$D$46,'425'!$D$48,'425'!$D$50,'425'!$D$52,'425'!$D$54:$D$55,'425'!$D$57,'425'!$D$59,'425'!$D$61,'425'!$D$63:$D$65,'425'!$D$67:$D$68,'425'!$D$70:$D$71,'425'!$D$73:$D$78,'425'!$D$80:$D$81,'425'!$D$83,'425'!$D$85</definedName>
    <definedName name="OSRRefD22x_0" localSheetId="90">'430'!$D$20:$D$28,'430'!$D$30:$D$39,'430'!$D$41,'430'!$D$43,'430'!$D$45,'430'!$D$47,'430'!$D$49,'430'!$D$51:$D$53,'430'!$D$55,'430'!$D$57,'430'!$D$59</definedName>
    <definedName name="OSRRefD22x_0" localSheetId="91">'433'!$D$27:$D$36,'433'!$D$38:$D$47,'433'!$D$49,'433'!$D$51,'433'!$D$53,'433'!$D$55,'433'!$D$57,'433'!$D$59,'433'!$D$61,'433'!$D$63,'433'!$D$65:$D$66,'433'!$D$68:$D$71,'433'!$D$73:$D$79,'433'!$D$81,'433'!$D$83,'433'!$D$85:$D$86</definedName>
    <definedName name="OSRRefD22x_0" localSheetId="92">'435'!$D$27:$D$34,'435'!$D$36:$D$45,'435'!$D$47,'435'!$D$49,'435'!$D$51,'435'!$D$53,'435'!$D$55:$D$57,'435'!$D$59</definedName>
    <definedName name="OSRRefD22x_0" localSheetId="93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4">'450'!$D$27:$D$36,'450'!$D$38:$D$47,'450'!$D$49,'450'!$D$51:$D$52,'450'!$D$54,'450'!$D$56,'450'!$D$58,'450'!$D$60,'450'!$D$62,'450'!$D$64,'450'!$D$66,'450'!$D$68:$D$70,'450'!$D$72:$D$74,'450'!$D$76:$D$81,'450'!$D$83,'450'!$D$85,'450'!$D$87:$D$88</definedName>
    <definedName name="OSRRefD22x_0" localSheetId="88">'455'!$D$20:$D$27,'455'!$D$29:$D$38</definedName>
    <definedName name="OSRRefD22x_0" localSheetId="75">'491'!$D$34:$D$43,'491'!$D$45:$D$54,'491'!$D$56,'491'!$D$58,'491'!$D$60,'491'!$D$62:$D$65,'491'!$D$67,'491'!$D$69,'491'!$D$71,'491'!$D$73:$D$74,'491'!$D$76,'491'!$D$78,'491'!$D$80,'491'!$D$82,'491'!$D$84:$D$87,'491'!$D$89:$D$91,'491'!$D$93:$D$97,'491'!$D$99,'491'!$D$101:$D$110,'491'!$D$112:$D$113,'491'!$D$115,'491'!$D$117:$D$119,'491'!$D$121</definedName>
    <definedName name="OSRRefD22x_0" localSheetId="89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6">'501'!$D$21:$D$29,'501'!$D$31:$D$40,'501'!$D$42,'501'!$D$44,'501'!$D$46,'501'!$D$48,'501'!$D$50,'501'!$D$52,'501'!$D$54,'501'!$D$56,'501'!$D$58:$D$59,'501'!$D$61:$D$63,'501'!$D$65</definedName>
    <definedName name="OSRRefD22x_0" localSheetId="39">'Div 2'!$D$20:$D$30,'Div 2'!$D$32:$D$41,'Div 2'!$D$43,'Div 2'!$D$45,'Div 2'!$D$47,'Div 2'!$D$49,'Div 2'!$D$51:$D$52,'Div 2'!$D$54,'Div 2'!$D$56,'Div 2'!$D$58,'Div 2'!$D$60,'Div 2'!$D$62,'Div 2'!$D$64:$D$66,'Div 2'!$D$68:$D$71,'Div 2'!$D$73:$D$76,'Div 2'!$D$78:$D$79,'Div 2'!$D$81:$D$82,'Div 2'!$D$84:$D$87,'Div 2'!$D$89:$D$90,'Div 2'!$D$92,'Div 2'!$D$94:$D$95</definedName>
    <definedName name="OSRRefD22x_0" localSheetId="47">'Div 3'!$D$164:$D$173,'Div 3'!$D$175:$D$184,'Div 3'!$D$186,'Div 3'!$D$188:$D$189,'Div 3'!$D$191,'Div 3'!$D$193:$D$196,'Div 3'!$D$198:$D$199,'Div 3'!$D$201:$D$202,'Div 3'!$D$204,'Div 3'!$D$206,'Div 3'!$D$208:$D$209,'Div 3'!$D$211,'Div 3'!$D$213,'Div 3'!$D$215,'Div 3'!$D$217,'Div 3'!$D$219,'Div 3'!$D$221,'Div 3'!$D$223,'Div 3'!$D$225:$D$227,'Div 3'!$D$229:$D$232,'Div 3'!$D$234:$D$239,'Div 3'!$D$241:$D$242,'Div 3'!$D$244:$D$251,'Div 3'!$D$253:$D$254,'Div 3'!$D$256,'Div 3'!$D$258:$D$260,'Div 3'!$D$262</definedName>
    <definedName name="OSRRefD22x_0" localSheetId="73">'Div 4'!$D$35:$D$44,'Div 4'!$D$46:$D$55,'Div 4'!$D$57,'Div 4'!$D$59:$D$60,'Div 4'!$D$62,'Div 4'!$D$64:$D$67,'Div 4'!$D$69:$D$70,'Div 4'!$D$72,'Div 4'!$D$74,'Div 4'!$D$76,'Div 4'!$D$78:$D$79,'Div 4'!$D$81,'Div 4'!$D$83,'Div 4'!$D$85,'Div 4'!$D$87,'Div 4'!$D$89,'Div 4'!$D$91:$D$94,'Div 4'!$D$96:$D$98,'Div 4'!$D$100:$D$104,'Div 4'!$D$106,'Div 4'!$D$108:$D$117,'Div 4'!$D$119:$D$120,'Div 4'!$D$122,'Div 4'!$D$124:$D$126,'Div 4'!$D$128</definedName>
    <definedName name="OSRRefD22x_0" localSheetId="95">'Div 5'!$D$21:$D$29,'Div 5'!$D$31:$D$40,'Div 5'!$D$42,'Div 5'!$D$44,'Div 5'!$D$46,'Div 5'!$D$48,'Div 5'!$D$50,'Div 5'!$D$52,'Div 5'!$D$54,'Div 5'!$D$56,'Div 5'!$D$58:$D$59,'Div 5'!$D$61:$D$63,'Div 5'!$D$65</definedName>
    <definedName name="OSRRefD22x_0" localSheetId="63">'Div 6'!$D$60:$D$69,'Div 6'!$D$71:$D$80,'Div 6'!$D$82,'Div 6'!$D$84,'Div 6'!$D$86,'Div 6'!$D$88,'Div 6'!$D$90,'Div 6'!$D$92,'Div 6'!$D$94:$D$95,'Div 6'!$D$97:$D$98,'Div 6'!$D$100</definedName>
    <definedName name="OSRRefD22x_0" localSheetId="2">Summary!$D$196:$D$205,Summary!$D$207:$D$216,Summary!$D$218,Summary!$D$220:$D$221,Summary!$D$223,Summary!$D$225:$D$228,Summary!$D$230:$D$231,Summary!$D$233:$D$235,Summary!$D$237,Summary!$D$239,Summary!$D$241:$D$242,Summary!$D$244:$D$245,Summary!$D$247,Summary!$D$249,Summary!$D$251,Summary!$D$253,Summary!$D$255,Summary!$D$257,Summary!$D$259:$D$262,Summary!$D$264:$D$267,Summary!$D$269:$D$274,Summary!$D$276:$D$277,Summary!$D$279:$D$288,Summary!$D$290:$D$291,Summary!$D$293,Summary!$D$295:$D$297,Summary!$D$299</definedName>
    <definedName name="OSRRefD25x_0" localSheetId="48">'300'!$D$252:$D$259</definedName>
    <definedName name="OSRRefD25x_0" localSheetId="49">'300 &amp; 317'!$D$277:$D$286</definedName>
    <definedName name="OSRRefD25x_0" localSheetId="50">'301'!$D$101:$D$103</definedName>
    <definedName name="OSRRefD25x_0" localSheetId="55">'308'!$D$117:$D$120</definedName>
    <definedName name="OSRRefD25x_0" localSheetId="74">'310 &amp; 491'!$D$137:$D$140</definedName>
    <definedName name="OSRRefD25x_0" localSheetId="56">'311'!$D$117:$D$120</definedName>
    <definedName name="OSRRefD25x_0" localSheetId="59">'315'!$D$116:$D$118</definedName>
    <definedName name="OSRRefD25x_0" localSheetId="61">'316'!$D$84:$D$85</definedName>
    <definedName name="OSRRefD25x_0" localSheetId="64">'317'!$D$103:$D$105</definedName>
    <definedName name="OSRRefD25x_0" localSheetId="62">'320'!$D$65:$D$69</definedName>
    <definedName name="OSRRefD25x_0" localSheetId="58">'331'!$D$149:$D$151</definedName>
    <definedName name="OSRRefD25x_0" localSheetId="60">'332'!$D$96:$D$102</definedName>
    <definedName name="OSRRefD25x_0" localSheetId="78">'411'!$D$90:$D$91</definedName>
    <definedName name="OSRRefD25x_0" localSheetId="80">'413'!$D$77</definedName>
    <definedName name="OSRRefD25x_0" localSheetId="85">'423'!$D$51</definedName>
    <definedName name="OSRRefD25x_0" localSheetId="86">'424'!$D$73</definedName>
    <definedName name="OSRRefD25x_0" localSheetId="87">'425'!$D$88</definedName>
    <definedName name="OSRRefD25x_0" localSheetId="88">'455'!$D$41:$D$44</definedName>
    <definedName name="OSRRefD25x_0" localSheetId="75">'491'!$D$124:$D$127</definedName>
    <definedName name="OSRRefD25x_0" localSheetId="96">'501'!$D$68</definedName>
    <definedName name="OSRRefD25x_0" localSheetId="47">'Div 3'!$D$265:$D$272</definedName>
    <definedName name="OSRRefD25x_0" localSheetId="73">'Div 4'!$D$131:$D$134</definedName>
    <definedName name="OSRRefD25x_0" localSheetId="95">'Div 5'!$D$68</definedName>
    <definedName name="OSRRefD25x_0" localSheetId="63">'Div 6'!$D$103:$D$105</definedName>
    <definedName name="OSRRefD25x_0" localSheetId="2">Summary!$D$302:$D$312</definedName>
    <definedName name="OSRRefH13x_0" localSheetId="48">'300'!$H$13:$H$101</definedName>
    <definedName name="OSRRefH13x_0" localSheetId="49">'300 &amp; 317'!$H$13:$H$119</definedName>
    <definedName name="OSRRefH13x_0" localSheetId="53">'307'!$H$13:$H$42</definedName>
    <definedName name="OSRRefH13x_0" localSheetId="55">'308'!$H$13:$H$39</definedName>
    <definedName name="OSRRefH13x_0" localSheetId="66">'309'!$H$13:$H$15</definedName>
    <definedName name="OSRRefH13x_0" localSheetId="65">'310'!$H$13:$H$22</definedName>
    <definedName name="OSRRefH13x_0" localSheetId="74">'310 &amp; 491'!$H$13:$H$29</definedName>
    <definedName name="OSRRefH13x_0" localSheetId="56">'311'!$H$13:$H$39</definedName>
    <definedName name="OSRRefH13x_0" localSheetId="67">'313'!$H$13:$H$18</definedName>
    <definedName name="OSRRefH13x_0" localSheetId="54">'314'!$H$13:$H$34</definedName>
    <definedName name="OSRRefH13x_0" localSheetId="59">'315'!$H$13:$H$33</definedName>
    <definedName name="OSRRefH13x_0" localSheetId="61">'316'!$H$13:$H$25</definedName>
    <definedName name="OSRRefH13x_0" localSheetId="64">'317'!$H$13:$H$38</definedName>
    <definedName name="OSRRefH13x_0" localSheetId="62">'320'!$H$13:$H$15</definedName>
    <definedName name="OSRRefH13x_0" localSheetId="68">'321'!$H$13:$H$15</definedName>
    <definedName name="OSRRefH13x_0" localSheetId="69">'322'!$H$13:$H$15</definedName>
    <definedName name="OSRRefH13x_0" localSheetId="57">'324'!$H$13:$H$15</definedName>
    <definedName name="OSRRefH13x_0" localSheetId="70">'325'!$H$13:$H$15</definedName>
    <definedName name="OSRRefH13x_0" localSheetId="71">'326'!$H$13:$H$31</definedName>
    <definedName name="OSRRefH13x_0" localSheetId="72">'327'!$H$13:$H$14</definedName>
    <definedName name="OSRRefH13x_0" localSheetId="52">'330'!$H$13:$H$47</definedName>
    <definedName name="OSRRefH13x_0" localSheetId="58">'331'!$H$13:$H$40</definedName>
    <definedName name="OSRRefH13x_0" localSheetId="60">'332'!$H$13:$H$28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0">'413'!$H$13:$H$16</definedName>
    <definedName name="OSRRefH13x_0" localSheetId="81">'414'!$H$13:$H$16</definedName>
    <definedName name="OSRRefH13x_0" localSheetId="82">'415'!$H$13:$H$15</definedName>
    <definedName name="OSRRefH13x_0" localSheetId="83">'418'!$H$13:$H$16</definedName>
    <definedName name="OSRRefH13x_0" localSheetId="84">'420'!$H$13:$H$14</definedName>
    <definedName name="OSRRefH13x_0" localSheetId="86">'424'!$H$13:$H$15</definedName>
    <definedName name="OSRRefH13x_0" localSheetId="87">'425'!$H$13:$H$16</definedName>
    <definedName name="OSRRefH13x_0" localSheetId="91">'433'!$H$13:$H$16</definedName>
    <definedName name="OSRRefH13x_0" localSheetId="92">'435'!$H$13:$H$16</definedName>
    <definedName name="OSRRefH13x_0" localSheetId="93">'444'!$H$13:$H$16</definedName>
    <definedName name="OSRRefH13x_0" localSheetId="94">'450'!$H$13:$H$16</definedName>
    <definedName name="OSRRefH13x_0" localSheetId="75">'491'!$H$13:$H$23</definedName>
    <definedName name="OSRRefH13x_0" localSheetId="89">'492'!$H$13:$H$18</definedName>
    <definedName name="OSRRefH13x_0" localSheetId="96">'501'!$H$13</definedName>
    <definedName name="OSRRefH13x_0" localSheetId="47">'Div 3'!$H$13:$H$105</definedName>
    <definedName name="OSRRefH13x_0" localSheetId="73">'Div 4'!$H$13:$H$24</definedName>
    <definedName name="OSRRefH13x_0" localSheetId="95">'Div 5'!$H$13</definedName>
    <definedName name="OSRRefH13x_0" localSheetId="63">'Div 6'!$H$13:$H$38</definedName>
    <definedName name="OSRRefH13x_0" localSheetId="2">Summary!$H$13:$H$130</definedName>
    <definedName name="OSRRefH16x_0" localSheetId="48">'300'!$H$104:$H$152</definedName>
    <definedName name="OSRRefH16x_0" localSheetId="49">'300 &amp; 317'!$H$122:$H$177</definedName>
    <definedName name="OSRRefH16x_0" localSheetId="53">'307'!$H$45:$H$64</definedName>
    <definedName name="OSRRefH16x_0" localSheetId="55">'308'!$H$42:$H$55</definedName>
    <definedName name="OSRRefH16x_0" localSheetId="66">'309'!$H$18:$H$20</definedName>
    <definedName name="OSRRefH16x_0" localSheetId="65">'310'!$H$25:$H$27</definedName>
    <definedName name="OSRRefH16x_0" localSheetId="74">'310 &amp; 491'!$H$32:$H$34</definedName>
    <definedName name="OSRRefH16x_0" localSheetId="56">'311'!$H$42:$H$55</definedName>
    <definedName name="OSRRefH16x_0" localSheetId="67">'313'!$H$21:$H$23</definedName>
    <definedName name="OSRRefH16x_0" localSheetId="54">'314'!$H$37:$H$52</definedName>
    <definedName name="OSRRefH16x_0" localSheetId="59">'315'!$H$36:$H$51</definedName>
    <definedName name="OSRRefH16x_0" localSheetId="64">'317'!$H$41:$H$54</definedName>
    <definedName name="OSRRefH16x_0" localSheetId="62">'320'!$H$18:$H$22</definedName>
    <definedName name="OSRRefH16x_0" localSheetId="68">'321'!$H$18:$H$20</definedName>
    <definedName name="OSRRefH16x_0" localSheetId="69">'322'!$H$18:$H$20</definedName>
    <definedName name="OSRRefH16x_0" localSheetId="57">'324'!$H$18:$H$20</definedName>
    <definedName name="OSRRefH16x_0" localSheetId="70">'325'!$H$18:$H$20</definedName>
    <definedName name="OSRRefH16x_0" localSheetId="71">'326'!$H$34:$H$47</definedName>
    <definedName name="OSRRefH16x_0" localSheetId="72">'327'!$H$17:$H$18</definedName>
    <definedName name="OSRRefH16x_0" localSheetId="52">'330'!$H$50:$H$73</definedName>
    <definedName name="OSRRefH16x_0" localSheetId="58">'331'!$H$43:$H$64</definedName>
    <definedName name="OSRRefH16x_0" localSheetId="60">'332'!$H$31:$H$35</definedName>
    <definedName name="OSRRefH16x_0" localSheetId="76">'405'!$H$18:$H$20</definedName>
    <definedName name="OSRRefH16x_0" localSheetId="77">'406'!$H$19:$H$21</definedName>
    <definedName name="OSRRefH16x_0" localSheetId="79">'412'!$H$19:$H$20</definedName>
    <definedName name="OSRRefH16x_0" localSheetId="80">'413'!$H$19:$H$21</definedName>
    <definedName name="OSRRefH16x_0" localSheetId="81">'414'!$H$19:$H$21</definedName>
    <definedName name="OSRRefH16x_0" localSheetId="82">'415'!$H$18:$H$20</definedName>
    <definedName name="OSRRefH16x_0" localSheetId="83">'418'!$H$19:$H$21</definedName>
    <definedName name="OSRRefH16x_0" localSheetId="85">'423'!$H$15</definedName>
    <definedName name="OSRRefH16x_0" localSheetId="86">'424'!$H$18:$H$20</definedName>
    <definedName name="OSRRefH16x_0" localSheetId="87">'425'!$H$19:$H$21</definedName>
    <definedName name="OSRRefH16x_0" localSheetId="91">'433'!$H$19:$H$21</definedName>
    <definedName name="OSRRefH16x_0" localSheetId="92">'435'!$H$19:$H$21</definedName>
    <definedName name="OSRRefH16x_0" localSheetId="93">'444'!$H$19:$H$21</definedName>
    <definedName name="OSRRefH16x_0" localSheetId="94">'450'!$H$19:$H$21</definedName>
    <definedName name="OSRRefH16x_0" localSheetId="75">'491'!$H$26:$H$28</definedName>
    <definedName name="OSRRefH16x_0" localSheetId="89">'492'!$H$21:$H$23</definedName>
    <definedName name="OSRRefH16x_0" localSheetId="47">'Div 3'!$H$108:$H$158</definedName>
    <definedName name="OSRRefH16x_0" localSheetId="73">'Div 4'!$H$27:$H$29</definedName>
    <definedName name="OSRRefH16x_0" localSheetId="63">'Div 6'!$H$41:$H$54</definedName>
    <definedName name="OSRRefH16x_0" localSheetId="2">Summary!$H$133:$H$190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'300'!$H$158:$H$167</definedName>
    <definedName name="OSRRefH22_0x_0" localSheetId="49">'300 &amp; 317'!$H$183:$H$192</definedName>
    <definedName name="OSRRefH22_0x_0" localSheetId="50">'301'!$H$20:$H$28</definedName>
    <definedName name="OSRRefH22_0x_0" localSheetId="51">'306'!$H$20:$H$28</definedName>
    <definedName name="OSRRefH22_0x_0" localSheetId="53">'307'!$H$70:$H$78</definedName>
    <definedName name="OSRRefH22_0x_0" localSheetId="55">'308'!$H$61:$H$70</definedName>
    <definedName name="OSRRefH22_0x_0" localSheetId="66">'309'!$H$26:$H$34</definedName>
    <definedName name="OSRRefH22_0x_0" localSheetId="65">'310'!$H$33:$H$41</definedName>
    <definedName name="OSRRefH22_0x_0" localSheetId="74">'310 &amp; 491'!$H$40:$H$49</definedName>
    <definedName name="OSRRefH22_0x_0" localSheetId="56">'311'!$H$61:$H$70</definedName>
    <definedName name="OSRRefH22_0x_0" localSheetId="67">'313'!$H$29:$H$37</definedName>
    <definedName name="OSRRefH22_0x_0" localSheetId="54">'314'!$H$58:$H$65</definedName>
    <definedName name="OSRRefH22_0x_0" localSheetId="59">'315'!$H$57:$H$65</definedName>
    <definedName name="OSRRefH22_0x_0" localSheetId="61">'316'!$H$33:$H$41</definedName>
    <definedName name="OSRRefH22_0x_0" localSheetId="64">'317'!$H$60:$H$69</definedName>
    <definedName name="OSRRefH22_0x_0" localSheetId="62">'320'!$H$28:$H$35</definedName>
    <definedName name="OSRRefH22_0x_0" localSheetId="68">'321'!$H$26:$H$33</definedName>
    <definedName name="OSRRefH22_0x_0" localSheetId="69">'322'!$H$26:$H$34</definedName>
    <definedName name="OSRRefH22_0x_0" localSheetId="70">'325'!$H$26:$H$34</definedName>
    <definedName name="OSRRefH22_0x_0" localSheetId="71">'326'!$H$53:$H$61</definedName>
    <definedName name="OSRRefH22_0x_0" localSheetId="72">'327'!$H$24</definedName>
    <definedName name="OSRRefH22_0x_0" localSheetId="52">'330'!$H$79:$H$87</definedName>
    <definedName name="OSRRefH22_0x_0" localSheetId="58">'331'!$H$70:$H$78</definedName>
    <definedName name="OSRRefH22_0x_0" localSheetId="60">'332'!$H$41:$H$49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'412'!$H$26:$H$34</definedName>
    <definedName name="OSRRefH22_0x_0" localSheetId="80">'413'!$H$27:$H$35</definedName>
    <definedName name="OSRRefH22_0x_0" localSheetId="81">'414'!$H$27:$H$35</definedName>
    <definedName name="OSRRefH22_0x_0" localSheetId="82">'415'!$H$26:$H$34</definedName>
    <definedName name="OSRRefH22_0x_0" localSheetId="83">'418'!$H$27:$H$35</definedName>
    <definedName name="OSRRefH22_0x_0" localSheetId="84">'420'!$H$22:$H$28</definedName>
    <definedName name="OSRRefH22_0x_0" localSheetId="85">'423'!$H$21:$H$29</definedName>
    <definedName name="OSRRefH22_0x_0" localSheetId="86">'424'!$H$26:$H$33</definedName>
    <definedName name="OSRRefH22_0x_0" localSheetId="87">'425'!$H$27:$H$35</definedName>
    <definedName name="OSRRefH22_0x_0" localSheetId="90">'430'!$H$20:$H$28</definedName>
    <definedName name="OSRRefH22_0x_0" localSheetId="91">'433'!$H$27:$H$36</definedName>
    <definedName name="OSRRefH22_0x_0" localSheetId="92">'435'!$H$27:$H$34</definedName>
    <definedName name="OSRRefH22_0x_0" localSheetId="93">'444'!$H$27:$H$36</definedName>
    <definedName name="OSRRefH22_0x_0" localSheetId="94">'450'!$H$27:$H$36</definedName>
    <definedName name="OSRRefH22_0x_0" localSheetId="88">'455'!$H$20:$H$27</definedName>
    <definedName name="OSRRefH22_0x_0" localSheetId="75">'491'!$H$34:$H$43</definedName>
    <definedName name="OSRRefH22_0x_0" localSheetId="89">'492'!$H$29:$H$38</definedName>
    <definedName name="OSRRefH22_0x_0" localSheetId="96">'501'!$H$21:$H$29</definedName>
    <definedName name="OSRRefH22_0x_0" localSheetId="39">'Div 2'!$H$20:$H$30</definedName>
    <definedName name="OSRRefH22_0x_0" localSheetId="47">'Div 3'!$H$164:$H$173</definedName>
    <definedName name="OSRRefH22_0x_0" localSheetId="73">'Div 4'!$H$35:$H$44</definedName>
    <definedName name="OSRRefH22_0x_0" localSheetId="95">'Div 5'!$H$21:$H$29</definedName>
    <definedName name="OSRRefH22_0x_0" localSheetId="63">'Div 6'!$H$60:$H$69</definedName>
    <definedName name="OSRRefH22_0x_0" localSheetId="2">Summary!$H$196:$H$205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'204'!$H$61:$H$62</definedName>
    <definedName name="OSRRefH22_10x_0" localSheetId="46">'206'!$H$58</definedName>
    <definedName name="OSRRefH22_10x_0" localSheetId="48">'300'!$H$202:$H$203</definedName>
    <definedName name="OSRRefH22_10x_0" localSheetId="49">'300 &amp; 317'!$H$227:$H$228</definedName>
    <definedName name="OSRRefH22_10x_0" localSheetId="50">'301'!$H$63</definedName>
    <definedName name="OSRRefH22_10x_0" localSheetId="51">'306'!$H$60</definedName>
    <definedName name="OSRRefH22_10x_0" localSheetId="53">'307'!$H$110:$H$111</definedName>
    <definedName name="OSRRefH22_10x_0" localSheetId="55">'308'!$H$102</definedName>
    <definedName name="OSRRefH22_10x_0" localSheetId="66">'309'!$H$66:$H$68</definedName>
    <definedName name="OSRRefH22_10x_0" localSheetId="65">'310'!$H$72</definedName>
    <definedName name="OSRRefH22_10x_0" localSheetId="74">'310 &amp; 491'!$H$81</definedName>
    <definedName name="OSRRefH22_10x_0" localSheetId="56">'311'!$H$102</definedName>
    <definedName name="OSRRefH22_10x_0" localSheetId="67">'313'!$H$66:$H$68</definedName>
    <definedName name="OSRRefH22_10x_0" localSheetId="59">'315'!$H$96:$H$98</definedName>
    <definedName name="OSRRefH22_10x_0" localSheetId="61">'316'!$H$70:$H$71</definedName>
    <definedName name="OSRRefH22_10x_0" localSheetId="64">'317'!$H$100</definedName>
    <definedName name="OSRRefH22_10x_0" localSheetId="68">'321'!$H$64:$H$65</definedName>
    <definedName name="OSRRefH22_10x_0" localSheetId="69">'322'!$H$66:$H$68</definedName>
    <definedName name="OSRRefH22_10x_0" localSheetId="70">'325'!$H$65</definedName>
    <definedName name="OSRRefH22_10x_0" localSheetId="71">'326'!$H$91</definedName>
    <definedName name="OSRRefH22_10x_0" localSheetId="52">'330'!$H$119</definedName>
    <definedName name="OSRRefH22_10x_0" localSheetId="58">'331'!$H$110</definedName>
    <definedName name="OSRRefH22_10x_0" localSheetId="60">'332'!$H$79</definedName>
    <definedName name="OSRRefH22_10x_0" localSheetId="76">'405'!$H$65:$H$67</definedName>
    <definedName name="OSRRefH22_10x_0" localSheetId="77">'406'!$H$69:$H$74</definedName>
    <definedName name="OSRRefH22_10x_0" localSheetId="78">'411'!$H$61:$H$63</definedName>
    <definedName name="OSRRefH22_10x_0" localSheetId="79">'412'!$H$66:$H$68</definedName>
    <definedName name="OSRRefH22_10x_0" localSheetId="80">'413'!$H$71:$H$72</definedName>
    <definedName name="OSRRefH22_10x_0" localSheetId="81">'414'!$H$66</definedName>
    <definedName name="OSRRefH22_10x_0" localSheetId="82">'415'!$H$65</definedName>
    <definedName name="OSRRefH22_10x_0" localSheetId="83">'418'!$H$69:$H$71</definedName>
    <definedName name="OSRRefH22_10x_0" localSheetId="86">'424'!$H$64:$H$67</definedName>
    <definedName name="OSRRefH22_10x_0" localSheetId="87">'425'!$H$67:$H$68</definedName>
    <definedName name="OSRRefH22_10x_0" localSheetId="90">'430'!$H$59</definedName>
    <definedName name="OSRRefH22_10x_0" localSheetId="91">'433'!$H$65:$H$66</definedName>
    <definedName name="OSRRefH22_10x_0" localSheetId="93">'444'!$H$65</definedName>
    <definedName name="OSRRefH22_10x_0" localSheetId="94">'450'!$H$66</definedName>
    <definedName name="OSRRefH22_10x_0" localSheetId="75">'491'!$H$76</definedName>
    <definedName name="OSRRefH22_10x_0" localSheetId="89">'492'!$H$69</definedName>
    <definedName name="OSRRefH22_10x_0" localSheetId="96">'501'!$H$58:$H$59</definedName>
    <definedName name="OSRRefH22_10x_0" localSheetId="39">'Div 2'!$H$60</definedName>
    <definedName name="OSRRefH22_10x_0" localSheetId="47">'Div 3'!$H$208:$H$209</definedName>
    <definedName name="OSRRefH22_10x_0" localSheetId="73">'Div 4'!$H$78:$H$79</definedName>
    <definedName name="OSRRefH22_10x_0" localSheetId="95">'Div 5'!$H$58:$H$59</definedName>
    <definedName name="OSRRefH22_10x_0" localSheetId="63">'Div 6'!$H$100</definedName>
    <definedName name="OSRRefH22_10x_0" localSheetId="2">Summary!$H$241:$H$242</definedName>
    <definedName name="OSRRefH22_11x_0" localSheetId="41">'201'!$H$62:$H$64</definedName>
    <definedName name="OSRRefH22_11x_0" localSheetId="42">'202'!$H$61:$H$62</definedName>
    <definedName name="OSRRefH22_11x_0" localSheetId="43">'203'!$H$62</definedName>
    <definedName name="OSRRefH22_11x_0" localSheetId="44">'204'!$H$64</definedName>
    <definedName name="OSRRefH22_11x_0" localSheetId="48">'300'!$H$205</definedName>
    <definedName name="OSRRefH22_11x_0" localSheetId="49">'300 &amp; 317'!$H$230</definedName>
    <definedName name="OSRRefH22_11x_0" localSheetId="50">'301'!$H$65</definedName>
    <definedName name="OSRRefH22_11x_0" localSheetId="53">'307'!$H$113</definedName>
    <definedName name="OSRRefH22_11x_0" localSheetId="55">'308'!$H$104:$H$106</definedName>
    <definedName name="OSRRefH22_11x_0" localSheetId="66">'309'!$H$70</definedName>
    <definedName name="OSRRefH22_11x_0" localSheetId="65">'310'!$H$74</definedName>
    <definedName name="OSRRefH22_11x_0" localSheetId="74">'310 &amp; 491'!$H$83:$H$84</definedName>
    <definedName name="OSRRefH22_11x_0" localSheetId="56">'311'!$H$104:$H$106</definedName>
    <definedName name="OSRRefH22_11x_0" localSheetId="67">'313'!$H$70</definedName>
    <definedName name="OSRRefH22_11x_0" localSheetId="59">'315'!$H$100:$H$101</definedName>
    <definedName name="OSRRefH22_11x_0" localSheetId="61">'316'!$H$73:$H$76</definedName>
    <definedName name="OSRRefH22_11x_0" localSheetId="68">'321'!$H$67:$H$69</definedName>
    <definedName name="OSRRefH22_11x_0" localSheetId="69">'322'!$H$70:$H$74</definedName>
    <definedName name="OSRRefH22_11x_0" localSheetId="70">'325'!$H$67:$H$69</definedName>
    <definedName name="OSRRefH22_11x_0" localSheetId="71">'326'!$H$93</definedName>
    <definedName name="OSRRefH22_11x_0" localSheetId="52">'330'!$H$121:$H$122</definedName>
    <definedName name="OSRRefH22_11x_0" localSheetId="58">'331'!$H$112</definedName>
    <definedName name="OSRRefH22_11x_0" localSheetId="60">'332'!$H$81:$H$82</definedName>
    <definedName name="OSRRefH22_11x_0" localSheetId="76">'405'!$H$69</definedName>
    <definedName name="OSRRefH22_11x_0" localSheetId="77">'406'!$H$76:$H$77</definedName>
    <definedName name="OSRRefH22_11x_0" localSheetId="78">'411'!$H$65:$H$69</definedName>
    <definedName name="OSRRefH22_11x_0" localSheetId="79">'412'!$H$70:$H$75</definedName>
    <definedName name="OSRRefH22_11x_0" localSheetId="80">'413'!$H$74</definedName>
    <definedName name="OSRRefH22_11x_0" localSheetId="81">'414'!$H$68</definedName>
    <definedName name="OSRRefH22_11x_0" localSheetId="82">'415'!$H$67:$H$69</definedName>
    <definedName name="OSRRefH22_11x_0" localSheetId="83">'418'!$H$73</definedName>
    <definedName name="OSRRefH22_11x_0" localSheetId="86">'424'!$H$69:$H$70</definedName>
    <definedName name="OSRRefH22_11x_0" localSheetId="87">'425'!$H$70:$H$71</definedName>
    <definedName name="OSRRefH22_11x_0" localSheetId="91">'433'!$H$68:$H$71</definedName>
    <definedName name="OSRRefH22_11x_0" localSheetId="93">'444'!$H$67:$H$69</definedName>
    <definedName name="OSRRefH22_11x_0" localSheetId="94">'450'!$H$68:$H$70</definedName>
    <definedName name="OSRRefH22_11x_0" localSheetId="75">'491'!$H$78</definedName>
    <definedName name="OSRRefH22_11x_0" localSheetId="89">'492'!$H$71</definedName>
    <definedName name="OSRRefH22_11x_0" localSheetId="96">'501'!$H$61:$H$63</definedName>
    <definedName name="OSRRefH22_11x_0" localSheetId="39">'Div 2'!$H$62</definedName>
    <definedName name="OSRRefH22_11x_0" localSheetId="47">'Div 3'!$H$211</definedName>
    <definedName name="OSRRefH22_11x_0" localSheetId="73">'Div 4'!$H$81</definedName>
    <definedName name="OSRRefH22_11x_0" localSheetId="95">'Div 5'!$H$61:$H$63</definedName>
    <definedName name="OSRRefH22_11x_0" localSheetId="2">Summary!$H$244:$H$245</definedName>
    <definedName name="OSRRefH22_12x_0" localSheetId="41">'201'!$H$66</definedName>
    <definedName name="OSRRefH22_12x_0" localSheetId="42">'202'!$H$64</definedName>
    <definedName name="OSRRefH22_12x_0" localSheetId="43">'203'!$H$64:$H$66</definedName>
    <definedName name="OSRRefH22_12x_0" localSheetId="44">'204'!$H$66:$H$67</definedName>
    <definedName name="OSRRefH22_12x_0" localSheetId="48">'300'!$H$207</definedName>
    <definedName name="OSRRefH22_12x_0" localSheetId="49">'300 &amp; 317'!$H$232</definedName>
    <definedName name="OSRRefH22_12x_0" localSheetId="50">'301'!$H$67</definedName>
    <definedName name="OSRRefH22_12x_0" localSheetId="53">'307'!$H$115</definedName>
    <definedName name="OSRRefH22_12x_0" localSheetId="55">'308'!$H$108:$H$109</definedName>
    <definedName name="OSRRefH22_12x_0" localSheetId="66">'309'!$H$72</definedName>
    <definedName name="OSRRefH22_12x_0" localSheetId="65">'310'!$H$76</definedName>
    <definedName name="OSRRefH22_12x_0" localSheetId="74">'310 &amp; 491'!$H$86</definedName>
    <definedName name="OSRRefH22_12x_0" localSheetId="56">'311'!$H$108:$H$109</definedName>
    <definedName name="OSRRefH22_12x_0" localSheetId="67">'313'!$H$72:$H$76</definedName>
    <definedName name="OSRRefH22_12x_0" localSheetId="59">'315'!$H$103:$H$106</definedName>
    <definedName name="OSRRefH22_12x_0" localSheetId="61">'316'!$H$78:$H$79</definedName>
    <definedName name="OSRRefH22_12x_0" localSheetId="68">'321'!$H$71:$H$73</definedName>
    <definedName name="OSRRefH22_12x_0" localSheetId="69">'322'!$H$76</definedName>
    <definedName name="OSRRefH22_12x_0" localSheetId="70">'325'!$H$71:$H$74</definedName>
    <definedName name="OSRRefH22_12x_0" localSheetId="71">'326'!$H$95</definedName>
    <definedName name="OSRRefH22_12x_0" localSheetId="52">'330'!$H$124</definedName>
    <definedName name="OSRRefH22_12x_0" localSheetId="58">'331'!$H$114</definedName>
    <definedName name="OSRRefH22_12x_0" localSheetId="60">'332'!$H$84:$H$88</definedName>
    <definedName name="OSRRefH22_12x_0" localSheetId="76">'405'!$H$71:$H$73</definedName>
    <definedName name="OSRRefH22_12x_0" localSheetId="77">'406'!$H$79</definedName>
    <definedName name="OSRRefH22_12x_0" localSheetId="78">'411'!$H$71:$H$77</definedName>
    <definedName name="OSRRefH22_12x_0" localSheetId="79">'412'!$H$77</definedName>
    <definedName name="OSRRefH22_12x_0" localSheetId="81">'414'!$H$70</definedName>
    <definedName name="OSRRefH22_12x_0" localSheetId="82">'415'!$H$71:$H$75</definedName>
    <definedName name="OSRRefH22_12x_0" localSheetId="83">'418'!$H$75:$H$81</definedName>
    <definedName name="OSRRefH22_12x_0" localSheetId="87">'425'!$H$73:$H$78</definedName>
    <definedName name="OSRRefH22_12x_0" localSheetId="91">'433'!$H$73:$H$79</definedName>
    <definedName name="OSRRefH22_12x_0" localSheetId="93">'444'!$H$71:$H$74</definedName>
    <definedName name="OSRRefH22_12x_0" localSheetId="94">'450'!$H$72:$H$74</definedName>
    <definedName name="OSRRefH22_12x_0" localSheetId="75">'491'!$H$80</definedName>
    <definedName name="OSRRefH22_12x_0" localSheetId="89">'492'!$H$73:$H$76</definedName>
    <definedName name="OSRRefH22_12x_0" localSheetId="96">'501'!$H$65</definedName>
    <definedName name="OSRRefH22_12x_0" localSheetId="39">'Div 2'!$H$64:$H$66</definedName>
    <definedName name="OSRRefH22_12x_0" localSheetId="47">'Div 3'!$H$213</definedName>
    <definedName name="OSRRefH22_12x_0" localSheetId="73">'Div 4'!$H$83</definedName>
    <definedName name="OSRRefH22_12x_0" localSheetId="95">'Div 5'!$H$65</definedName>
    <definedName name="OSRRefH22_12x_0" localSheetId="2">Summary!$H$247</definedName>
    <definedName name="OSRRefH22_13x_0" localSheetId="41">'201'!$H$68:$H$70</definedName>
    <definedName name="OSRRefH22_13x_0" localSheetId="42">'202'!$H$66</definedName>
    <definedName name="OSRRefH22_13x_0" localSheetId="43">'203'!$H$68</definedName>
    <definedName name="OSRRefH22_13x_0" localSheetId="48">'300'!$H$209</definedName>
    <definedName name="OSRRefH22_13x_0" localSheetId="49">'300 &amp; 317'!$H$234</definedName>
    <definedName name="OSRRefH22_13x_0" localSheetId="50">'301'!$H$69</definedName>
    <definedName name="OSRRefH22_13x_0" localSheetId="55">'308'!$H$111</definedName>
    <definedName name="OSRRefH22_13x_0" localSheetId="65">'310'!$H$78</definedName>
    <definedName name="OSRRefH22_13x_0" localSheetId="74">'310 &amp; 491'!$H$88</definedName>
    <definedName name="OSRRefH22_13x_0" localSheetId="56">'311'!$H$111</definedName>
    <definedName name="OSRRefH22_13x_0" localSheetId="67">'313'!$H$78</definedName>
    <definedName name="OSRRefH22_13x_0" localSheetId="59">'315'!$H$108</definedName>
    <definedName name="OSRRefH22_13x_0" localSheetId="61">'316'!$H$81</definedName>
    <definedName name="OSRRefH22_13x_0" localSheetId="68">'321'!$H$75</definedName>
    <definedName name="OSRRefH22_13x_0" localSheetId="69">'322'!$H$78</definedName>
    <definedName name="OSRRefH22_13x_0" localSheetId="70">'325'!$H$76</definedName>
    <definedName name="OSRRefH22_13x_0" localSheetId="71">'326'!$H$97:$H$98</definedName>
    <definedName name="OSRRefH22_13x_0" localSheetId="52">'330'!$H$126</definedName>
    <definedName name="OSRRefH22_13x_0" localSheetId="58">'331'!$H$116</definedName>
    <definedName name="OSRRefH22_13x_0" localSheetId="60">'332'!$H$90:$H$91</definedName>
    <definedName name="OSRRefH22_13x_0" localSheetId="76">'405'!$H$75</definedName>
    <definedName name="OSRRefH22_13x_0" localSheetId="77">'406'!$H$81</definedName>
    <definedName name="OSRRefH22_13x_0" localSheetId="78">'411'!$H$79</definedName>
    <definedName name="OSRRefH22_13x_0" localSheetId="79">'412'!$H$79</definedName>
    <definedName name="OSRRefH22_13x_0" localSheetId="81">'414'!$H$72:$H$78</definedName>
    <definedName name="OSRRefH22_13x_0" localSheetId="82">'415'!$H$77</definedName>
    <definedName name="OSRRefH22_13x_0" localSheetId="83">'418'!$H$83</definedName>
    <definedName name="OSRRefH22_13x_0" localSheetId="87">'425'!$H$80:$H$81</definedName>
    <definedName name="OSRRefH22_13x_0" localSheetId="91">'433'!$H$81</definedName>
    <definedName name="OSRRefH22_13x_0" localSheetId="93">'444'!$H$76:$H$83</definedName>
    <definedName name="OSRRefH22_13x_0" localSheetId="94">'450'!$H$76:$H$81</definedName>
    <definedName name="OSRRefH22_13x_0" localSheetId="75">'491'!$H$82</definedName>
    <definedName name="OSRRefH22_13x_0" localSheetId="89">'492'!$H$78:$H$81</definedName>
    <definedName name="OSRRefH22_13x_0" localSheetId="39">'Div 2'!$H$68:$H$71</definedName>
    <definedName name="OSRRefH22_13x_0" localSheetId="47">'Div 3'!$H$215</definedName>
    <definedName name="OSRRefH22_13x_0" localSheetId="73">'Div 4'!$H$85</definedName>
    <definedName name="OSRRefH22_13x_0" localSheetId="2">Summary!$H$249</definedName>
    <definedName name="OSRRefH22_14x_0" localSheetId="41">'201'!$H$72</definedName>
    <definedName name="OSRRefH22_14x_0" localSheetId="42">'202'!$H$68:$H$69</definedName>
    <definedName name="OSRRefH22_14x_0" localSheetId="43">'203'!$H$70</definedName>
    <definedName name="OSRRefH22_14x_0" localSheetId="48">'300'!$H$211</definedName>
    <definedName name="OSRRefH22_14x_0" localSheetId="49">'300 &amp; 317'!$H$236</definedName>
    <definedName name="OSRRefH22_14x_0" localSheetId="50">'301'!$H$71</definedName>
    <definedName name="OSRRefH22_14x_0" localSheetId="55">'308'!$H$113:$H$114</definedName>
    <definedName name="OSRRefH22_14x_0" localSheetId="65">'310'!$H$80</definedName>
    <definedName name="OSRRefH22_14x_0" localSheetId="74">'310 &amp; 491'!$H$90</definedName>
    <definedName name="OSRRefH22_14x_0" localSheetId="56">'311'!$H$113:$H$114</definedName>
    <definedName name="OSRRefH22_14x_0" localSheetId="67">'313'!$H$80</definedName>
    <definedName name="OSRRefH22_14x_0" localSheetId="59">'315'!$H$110</definedName>
    <definedName name="OSRRefH22_14x_0" localSheetId="68">'321'!$H$77</definedName>
    <definedName name="OSRRefH22_14x_0" localSheetId="70">'325'!$H$78:$H$84</definedName>
    <definedName name="OSRRefH22_14x_0" localSheetId="71">'326'!$H$100:$H$102</definedName>
    <definedName name="OSRRefH22_14x_0" localSheetId="58">'331'!$H$118:$H$119</definedName>
    <definedName name="OSRRefH22_14x_0" localSheetId="60">'332'!$H$93</definedName>
    <definedName name="OSRRefH22_14x_0" localSheetId="76">'405'!$H$77:$H$85</definedName>
    <definedName name="OSRRefH22_14x_0" localSheetId="78">'411'!$H$81</definedName>
    <definedName name="OSRRefH22_14x_0" localSheetId="81">'414'!$H$80</definedName>
    <definedName name="OSRRefH22_14x_0" localSheetId="82">'415'!$H$79:$H$86</definedName>
    <definedName name="OSRRefH22_14x_0" localSheetId="83">'418'!$H$85</definedName>
    <definedName name="OSRRefH22_14x_0" localSheetId="87">'425'!$H$83</definedName>
    <definedName name="OSRRefH22_14x_0" localSheetId="91">'433'!$H$83</definedName>
    <definedName name="OSRRefH22_14x_0" localSheetId="93">'444'!$H$85</definedName>
    <definedName name="OSRRefH22_14x_0" localSheetId="94">'450'!$H$83</definedName>
    <definedName name="OSRRefH22_14x_0" localSheetId="75">'491'!$H$84:$H$87</definedName>
    <definedName name="OSRRefH22_14x_0" localSheetId="89">'492'!$H$83:$H$91</definedName>
    <definedName name="OSRRefH22_14x_0" localSheetId="39">'Div 2'!$H$73:$H$76</definedName>
    <definedName name="OSRRefH22_14x_0" localSheetId="47">'Div 3'!$H$217</definedName>
    <definedName name="OSRRefH22_14x_0" localSheetId="73">'Div 4'!$H$87</definedName>
    <definedName name="OSRRefH22_14x_0" localSheetId="2">Summary!$H$251</definedName>
    <definedName name="OSRRefH22_15x_0" localSheetId="41">'201'!$H$74</definedName>
    <definedName name="OSRRefH22_15x_0" localSheetId="42">'202'!$H$71</definedName>
    <definedName name="OSRRefH22_15x_0" localSheetId="43">'203'!$H$72</definedName>
    <definedName name="OSRRefH22_15x_0" localSheetId="48">'300'!$H$213</definedName>
    <definedName name="OSRRefH22_15x_0" localSheetId="49">'300 &amp; 317'!$H$238</definedName>
    <definedName name="OSRRefH22_15x_0" localSheetId="50">'301'!$H$73:$H$75</definedName>
    <definedName name="OSRRefH22_15x_0" localSheetId="65">'310'!$H$82:$H$84</definedName>
    <definedName name="OSRRefH22_15x_0" localSheetId="74">'310 &amp; 491'!$H$92</definedName>
    <definedName name="OSRRefH22_15x_0" localSheetId="59">'315'!$H$112:$H$113</definedName>
    <definedName name="OSRRefH22_15x_0" localSheetId="70">'325'!$H$86</definedName>
    <definedName name="OSRRefH22_15x_0" localSheetId="71">'326'!$H$104:$H$105</definedName>
    <definedName name="OSRRefH22_15x_0" localSheetId="58">'331'!$H$121:$H$123</definedName>
    <definedName name="OSRRefH22_15x_0" localSheetId="76">'405'!$H$87</definedName>
    <definedName name="OSRRefH22_15x_0" localSheetId="78">'411'!$H$83:$H$85</definedName>
    <definedName name="OSRRefH22_15x_0" localSheetId="81">'414'!$H$82</definedName>
    <definedName name="OSRRefH22_15x_0" localSheetId="82">'415'!$H$88</definedName>
    <definedName name="OSRRefH22_15x_0" localSheetId="83">'418'!$H$87</definedName>
    <definedName name="OSRRefH22_15x_0" localSheetId="87">'425'!$H$85</definedName>
    <definedName name="OSRRefH22_15x_0" localSheetId="91">'433'!$H$85:$H$86</definedName>
    <definedName name="OSRRefH22_15x_0" localSheetId="93">'444'!$H$87</definedName>
    <definedName name="OSRRefH22_15x_0" localSheetId="94">'450'!$H$85</definedName>
    <definedName name="OSRRefH22_15x_0" localSheetId="75">'491'!$H$89:$H$91</definedName>
    <definedName name="OSRRefH22_15x_0" localSheetId="89">'492'!$H$93</definedName>
    <definedName name="OSRRefH22_15x_0" localSheetId="39">'Div 2'!$H$78:$H$79</definedName>
    <definedName name="OSRRefH22_15x_0" localSheetId="47">'Div 3'!$H$219</definedName>
    <definedName name="OSRRefH22_15x_0" localSheetId="73">'Div 4'!$H$89</definedName>
    <definedName name="OSRRefH22_15x_0" localSheetId="2">Summary!$H$253</definedName>
    <definedName name="OSRRefH22_16x_0" localSheetId="41">'201'!$H$76:$H$77</definedName>
    <definedName name="OSRRefH22_16x_0" localSheetId="42">'202'!$H$73</definedName>
    <definedName name="OSRRefH22_16x_0" localSheetId="48">'300'!$H$215:$H$217</definedName>
    <definedName name="OSRRefH22_16x_0" localSheetId="49">'300 &amp; 317'!$H$240:$H$242</definedName>
    <definedName name="OSRRefH22_16x_0" localSheetId="50">'301'!$H$77:$H$79</definedName>
    <definedName name="OSRRefH22_16x_0" localSheetId="65">'310'!$H$86:$H$87</definedName>
    <definedName name="OSRRefH22_16x_0" localSheetId="74">'310 &amp; 491'!$H$94</definedName>
    <definedName name="OSRRefH22_16x_0" localSheetId="70">'325'!$H$88</definedName>
    <definedName name="OSRRefH22_16x_0" localSheetId="71">'326'!$H$107:$H$111</definedName>
    <definedName name="OSRRefH22_16x_0" localSheetId="58">'331'!$H$125:$H$127</definedName>
    <definedName name="OSRRefH22_16x_0" localSheetId="76">'405'!$H$89</definedName>
    <definedName name="OSRRefH22_16x_0" localSheetId="78">'411'!$H$87</definedName>
    <definedName name="OSRRefH22_16x_0" localSheetId="82">'415'!$H$90</definedName>
    <definedName name="OSRRefH22_16x_0" localSheetId="93">'444'!$H$89</definedName>
    <definedName name="OSRRefH22_16x_0" localSheetId="94">'450'!$H$87:$H$88</definedName>
    <definedName name="OSRRefH22_16x_0" localSheetId="75">'491'!$H$93:$H$97</definedName>
    <definedName name="OSRRefH22_16x_0" localSheetId="89">'492'!$H$95</definedName>
    <definedName name="OSRRefH22_16x_0" localSheetId="39">'Div 2'!$H$81:$H$82</definedName>
    <definedName name="OSRRefH22_16x_0" localSheetId="47">'Div 3'!$H$221</definedName>
    <definedName name="OSRRefH22_16x_0" localSheetId="73">'Div 4'!$H$91:$H$94</definedName>
    <definedName name="OSRRefH22_16x_0" localSheetId="2">Summary!$H$255</definedName>
    <definedName name="OSRRefH22_17x_0" localSheetId="48">'300'!$H$219:$H$222</definedName>
    <definedName name="OSRRefH22_17x_0" localSheetId="49">'300 &amp; 317'!$H$244:$H$247</definedName>
    <definedName name="OSRRefH22_17x_0" localSheetId="50">'301'!$H$81:$H$82</definedName>
    <definedName name="OSRRefH22_17x_0" localSheetId="65">'310'!$H$89:$H$93</definedName>
    <definedName name="OSRRefH22_17x_0" localSheetId="74">'310 &amp; 491'!$H$96:$H$99</definedName>
    <definedName name="OSRRefH22_17x_0" localSheetId="70">'325'!$H$90</definedName>
    <definedName name="OSRRefH22_17x_0" localSheetId="71">'326'!$H$113:$H$114</definedName>
    <definedName name="OSRRefH22_17x_0" localSheetId="58">'331'!$H$129:$H$130</definedName>
    <definedName name="OSRRefH22_17x_0" localSheetId="76">'405'!$H$91</definedName>
    <definedName name="OSRRefH22_17x_0" localSheetId="82">'415'!$H$92:$H$93</definedName>
    <definedName name="OSRRefH22_17x_0" localSheetId="75">'491'!$H$99</definedName>
    <definedName name="OSRRefH22_17x_0" localSheetId="89">'492'!$H$97:$H$98</definedName>
    <definedName name="OSRRefH22_17x_0" localSheetId="39">'Div 2'!$H$84:$H$87</definedName>
    <definedName name="OSRRefH22_17x_0" localSheetId="47">'Div 3'!$H$223</definedName>
    <definedName name="OSRRefH22_17x_0" localSheetId="73">'Div 4'!$H$96:$H$98</definedName>
    <definedName name="OSRRefH22_17x_0" localSheetId="2">Summary!$H$257</definedName>
    <definedName name="OSRRefH22_18x_0" localSheetId="48">'300'!$H$224:$H$227</definedName>
    <definedName name="OSRRefH22_18x_0" localSheetId="49">'300 &amp; 317'!$H$249:$H$252</definedName>
    <definedName name="OSRRefH22_18x_0" localSheetId="50">'301'!$H$84:$H$89</definedName>
    <definedName name="OSRRefH22_18x_0" localSheetId="65">'310'!$H$95</definedName>
    <definedName name="OSRRefH22_18x_0" localSheetId="74">'310 &amp; 491'!$H$101:$H$103</definedName>
    <definedName name="OSRRefH22_18x_0" localSheetId="70">'325'!$H$92</definedName>
    <definedName name="OSRRefH22_18x_0" localSheetId="71">'326'!$H$116</definedName>
    <definedName name="OSRRefH22_18x_0" localSheetId="58">'331'!$H$132:$H$136</definedName>
    <definedName name="OSRRefH22_18x_0" localSheetId="82">'415'!$H$95</definedName>
    <definedName name="OSRRefH22_18x_0" localSheetId="75">'491'!$H$101:$H$110</definedName>
    <definedName name="OSRRefH22_18x_0" localSheetId="39">'Div 2'!$H$89:$H$90</definedName>
    <definedName name="OSRRefH22_18x_0" localSheetId="47">'Div 3'!$H$225:$H$227</definedName>
    <definedName name="OSRRefH22_18x_0" localSheetId="73">'Div 4'!$H$100:$H$104</definedName>
    <definedName name="OSRRefH22_18x_0" localSheetId="2">Summary!$H$259:$H$262</definedName>
    <definedName name="OSRRefH22_19x_0" localSheetId="48">'300'!$H$229:$H$230</definedName>
    <definedName name="OSRRefH22_19x_0" localSheetId="49">'300 &amp; 317'!$H$254:$H$255</definedName>
    <definedName name="OSRRefH22_19x_0" localSheetId="50">'301'!$H$91</definedName>
    <definedName name="OSRRefH22_19x_0" localSheetId="65">'310'!$H$97:$H$104</definedName>
    <definedName name="OSRRefH22_19x_0" localSheetId="74">'310 &amp; 491'!$H$105:$H$110</definedName>
    <definedName name="OSRRefH22_19x_0" localSheetId="71">'326'!$H$118</definedName>
    <definedName name="OSRRefH22_19x_0" localSheetId="58">'331'!$H$138:$H$139</definedName>
    <definedName name="OSRRefH22_19x_0" localSheetId="75">'491'!$H$112:$H$113</definedName>
    <definedName name="OSRRefH22_19x_0" localSheetId="39">'Div 2'!$H$92</definedName>
    <definedName name="OSRRefH22_19x_0" localSheetId="47">'Div 3'!$H$229:$H$232</definedName>
    <definedName name="OSRRefH22_19x_0" localSheetId="73">'Div 4'!$H$106</definedName>
    <definedName name="OSRRefH22_19x_0" localSheetId="2">Summary!$H$264:$H$267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'300'!$H$169:$H$178</definedName>
    <definedName name="OSRRefH22_1x_0" localSheetId="49">'300 &amp; 317'!$H$194:$H$203</definedName>
    <definedName name="OSRRefH22_1x_0" localSheetId="50">'301'!$H$30:$H$39</definedName>
    <definedName name="OSRRefH22_1x_0" localSheetId="51">'306'!$H$30:$H$39</definedName>
    <definedName name="OSRRefH22_1x_0" localSheetId="53">'307'!$H$80:$H$89</definedName>
    <definedName name="OSRRefH22_1x_0" localSheetId="55">'308'!$H$72:$H$81</definedName>
    <definedName name="OSRRefH22_1x_0" localSheetId="66">'309'!$H$36:$H$45</definedName>
    <definedName name="OSRRefH22_1x_0" localSheetId="65">'310'!$H$43:$H$52</definedName>
    <definedName name="OSRRefH22_1x_0" localSheetId="74">'310 &amp; 491'!$H$51:$H$60</definedName>
    <definedName name="OSRRefH22_1x_0" localSheetId="56">'311'!$H$72:$H$81</definedName>
    <definedName name="OSRRefH22_1x_0" localSheetId="67">'313'!$H$39:$H$48</definedName>
    <definedName name="OSRRefH22_1x_0" localSheetId="54">'314'!$H$67:$H$76</definedName>
    <definedName name="OSRRefH22_1x_0" localSheetId="59">'315'!$H$67:$H$76</definedName>
    <definedName name="OSRRefH22_1x_0" localSheetId="61">'316'!$H$43:$H$52</definedName>
    <definedName name="OSRRefH22_1x_0" localSheetId="64">'317'!$H$71:$H$80</definedName>
    <definedName name="OSRRefH22_1x_0" localSheetId="62">'320'!$H$37:$H$46</definedName>
    <definedName name="OSRRefH22_1x_0" localSheetId="68">'321'!$H$35:$H$44</definedName>
    <definedName name="OSRRefH22_1x_0" localSheetId="69">'322'!$H$36:$H$45</definedName>
    <definedName name="OSRRefH22_1x_0" localSheetId="70">'325'!$H$36:$H$45</definedName>
    <definedName name="OSRRefH22_1x_0" localSheetId="71">'326'!$H$63:$H$72</definedName>
    <definedName name="OSRRefH22_1x_0" localSheetId="72">'327'!$H$26</definedName>
    <definedName name="OSRRefH22_1x_0" localSheetId="52">'330'!$H$89:$H$98</definedName>
    <definedName name="OSRRefH22_1x_0" localSheetId="58">'331'!$H$80:$H$89</definedName>
    <definedName name="OSRRefH22_1x_0" localSheetId="60">'332'!$H$51:$H$60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'412'!$H$36:$H$45</definedName>
    <definedName name="OSRRefH22_1x_0" localSheetId="80">'413'!$H$37:$H$46</definedName>
    <definedName name="OSRRefH22_1x_0" localSheetId="81">'414'!$H$37:$H$46</definedName>
    <definedName name="OSRRefH22_1x_0" localSheetId="82">'415'!$H$36:$H$45</definedName>
    <definedName name="OSRRefH22_1x_0" localSheetId="83">'418'!$H$37:$H$46</definedName>
    <definedName name="OSRRefH22_1x_0" localSheetId="84">'420'!$H$30:$H$33</definedName>
    <definedName name="OSRRefH22_1x_0" localSheetId="85">'423'!$H$31:$H$40</definedName>
    <definedName name="OSRRefH22_1x_0" localSheetId="86">'424'!$H$35:$H$44</definedName>
    <definedName name="OSRRefH22_1x_0" localSheetId="87">'425'!$H$37:$H$46</definedName>
    <definedName name="OSRRefH22_1x_0" localSheetId="90">'430'!$H$30:$H$39</definedName>
    <definedName name="OSRRefH22_1x_0" localSheetId="91">'433'!$H$38:$H$47</definedName>
    <definedName name="OSRRefH22_1x_0" localSheetId="92">'435'!$H$36:$H$45</definedName>
    <definedName name="OSRRefH22_1x_0" localSheetId="93">'444'!$H$38:$H$47</definedName>
    <definedName name="OSRRefH22_1x_0" localSheetId="94">'450'!$H$38:$H$47</definedName>
    <definedName name="OSRRefH22_1x_0" localSheetId="88">'455'!$H$29:$H$38</definedName>
    <definedName name="OSRRefH22_1x_0" localSheetId="75">'491'!$H$45:$H$54</definedName>
    <definedName name="OSRRefH22_1x_0" localSheetId="89">'492'!$H$40:$H$49</definedName>
    <definedName name="OSRRefH22_1x_0" localSheetId="96">'501'!$H$31:$H$40</definedName>
    <definedName name="OSRRefH22_1x_0" localSheetId="39">'Div 2'!$H$32:$H$41</definedName>
    <definedName name="OSRRefH22_1x_0" localSheetId="47">'Div 3'!$H$175:$H$184</definedName>
    <definedName name="OSRRefH22_1x_0" localSheetId="73">'Div 4'!$H$46:$H$55</definedName>
    <definedName name="OSRRefH22_1x_0" localSheetId="95">'Div 5'!$H$31:$H$40</definedName>
    <definedName name="OSRRefH22_1x_0" localSheetId="63">'Div 6'!$H$71:$H$80</definedName>
    <definedName name="OSRRefH22_1x_0" localSheetId="2">Summary!$H$207:$H$216</definedName>
    <definedName name="OSRRefH22_20x_0" localSheetId="48">'300'!$H$232:$H$238</definedName>
    <definedName name="OSRRefH22_20x_0" localSheetId="49">'300 &amp; 317'!$H$257:$H$263</definedName>
    <definedName name="OSRRefH22_20x_0" localSheetId="50">'301'!$H$93</definedName>
    <definedName name="OSRRefH22_20x_0" localSheetId="65">'310'!$H$106</definedName>
    <definedName name="OSRRefH22_20x_0" localSheetId="74">'310 &amp; 491'!$H$112</definedName>
    <definedName name="OSRRefH22_20x_0" localSheetId="71">'326'!$H$120</definedName>
    <definedName name="OSRRefH22_20x_0" localSheetId="58">'331'!$H$141</definedName>
    <definedName name="OSRRefH22_20x_0" localSheetId="75">'491'!$H$115</definedName>
    <definedName name="OSRRefH22_20x_0" localSheetId="39">'Div 2'!$H$94:$H$95</definedName>
    <definedName name="OSRRefH22_20x_0" localSheetId="47">'Div 3'!$H$234:$H$239</definedName>
    <definedName name="OSRRefH22_20x_0" localSheetId="73">'Div 4'!$H$108:$H$117</definedName>
    <definedName name="OSRRefH22_20x_0" localSheetId="2">Summary!$H$269:$H$274</definedName>
    <definedName name="OSRRefH22_21x_0" localSheetId="48">'300'!$H$240:$H$241</definedName>
    <definedName name="OSRRefH22_21x_0" localSheetId="49">'300 &amp; 317'!$H$265:$H$266</definedName>
    <definedName name="OSRRefH22_21x_0" localSheetId="50">'301'!$H$95:$H$96</definedName>
    <definedName name="OSRRefH22_21x_0" localSheetId="65">'310'!$H$108</definedName>
    <definedName name="OSRRefH22_21x_0" localSheetId="74">'310 &amp; 491'!$H$114:$H$123</definedName>
    <definedName name="OSRRefH22_21x_0" localSheetId="58">'331'!$H$143:$H$144</definedName>
    <definedName name="OSRRefH22_21x_0" localSheetId="75">'491'!$H$117:$H$119</definedName>
    <definedName name="OSRRefH22_21x_0" localSheetId="47">'Div 3'!$H$241:$H$242</definedName>
    <definedName name="OSRRefH22_21x_0" localSheetId="73">'Div 4'!$H$119:$H$120</definedName>
    <definedName name="OSRRefH22_21x_0" localSheetId="2">Summary!$H$276:$H$277</definedName>
    <definedName name="OSRRefH22_22x_0" localSheetId="48">'300'!$H$243</definedName>
    <definedName name="OSRRefH22_22x_0" localSheetId="49">'300 &amp; 317'!$H$268</definedName>
    <definedName name="OSRRefH22_22x_0" localSheetId="50">'301'!$H$98</definedName>
    <definedName name="OSRRefH22_22x_0" localSheetId="65">'310'!$H$110</definedName>
    <definedName name="OSRRefH22_22x_0" localSheetId="74">'310 &amp; 491'!$H$125:$H$126</definedName>
    <definedName name="OSRRefH22_22x_0" localSheetId="58">'331'!$H$146</definedName>
    <definedName name="OSRRefH22_22x_0" localSheetId="75">'491'!$H$121</definedName>
    <definedName name="OSRRefH22_22x_0" localSheetId="47">'Div 3'!$H$244:$H$251</definedName>
    <definedName name="OSRRefH22_22x_0" localSheetId="73">'Div 4'!$H$122</definedName>
    <definedName name="OSRRefH22_22x_0" localSheetId="2">Summary!$H$279:$H$288</definedName>
    <definedName name="OSRRefH22_23x_0" localSheetId="48">'300'!$H$245:$H$247</definedName>
    <definedName name="OSRRefH22_23x_0" localSheetId="49">'300 &amp; 317'!$H$270:$H$272</definedName>
    <definedName name="OSRRefH22_23x_0" localSheetId="65">'310'!$H$112</definedName>
    <definedName name="OSRRefH22_23x_0" localSheetId="74">'310 &amp; 491'!$H$128</definedName>
    <definedName name="OSRRefH22_23x_0" localSheetId="47">'Div 3'!$H$253:$H$254</definedName>
    <definedName name="OSRRefH22_23x_0" localSheetId="73">'Div 4'!$H$124:$H$126</definedName>
    <definedName name="OSRRefH22_23x_0" localSheetId="2">Summary!$H$290:$H$291</definedName>
    <definedName name="OSRRefH22_24x_0" localSheetId="48">'300'!$H$249</definedName>
    <definedName name="OSRRefH22_24x_0" localSheetId="49">'300 &amp; 317'!$H$274</definedName>
    <definedName name="OSRRefH22_24x_0" localSheetId="74">'310 &amp; 491'!$H$130:$H$132</definedName>
    <definedName name="OSRRefH22_24x_0" localSheetId="47">'Div 3'!$H$256</definedName>
    <definedName name="OSRRefH22_24x_0" localSheetId="73">'Div 4'!$H$128</definedName>
    <definedName name="OSRRefH22_24x_0" localSheetId="2">Summary!$H$293</definedName>
    <definedName name="OSRRefH22_25x_0" localSheetId="74">'310 &amp; 491'!$H$134</definedName>
    <definedName name="OSRRefH22_25x_0" localSheetId="47">'Div 3'!$H$258:$H$260</definedName>
    <definedName name="OSRRefH22_25x_0" localSheetId="2">Summary!$H$295:$H$297</definedName>
    <definedName name="OSRRefH22_26x_0" localSheetId="47">'Div 3'!$H$262</definedName>
    <definedName name="OSRRefH22_26x_0" localSheetId="2">Summary!$H$299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'300'!$H$180</definedName>
    <definedName name="OSRRefH22_2x_0" localSheetId="49">'300 &amp; 317'!$H$205</definedName>
    <definedName name="OSRRefH22_2x_0" localSheetId="50">'301'!$H$41</definedName>
    <definedName name="OSRRefH22_2x_0" localSheetId="51">'306'!$H$41</definedName>
    <definedName name="OSRRefH22_2x_0" localSheetId="53">'307'!$H$91</definedName>
    <definedName name="OSRRefH22_2x_0" localSheetId="55">'308'!$H$83</definedName>
    <definedName name="OSRRefH22_2x_0" localSheetId="66">'309'!$H$47</definedName>
    <definedName name="OSRRefH22_2x_0" localSheetId="65">'310'!$H$54</definedName>
    <definedName name="OSRRefH22_2x_0" localSheetId="74">'310 &amp; 491'!$H$62</definedName>
    <definedName name="OSRRefH22_2x_0" localSheetId="56">'311'!$H$83</definedName>
    <definedName name="OSRRefH22_2x_0" localSheetId="67">'313'!$H$50</definedName>
    <definedName name="OSRRefH22_2x_0" localSheetId="54">'314'!$H$78</definedName>
    <definedName name="OSRRefH22_2x_0" localSheetId="59">'315'!$H$78</definedName>
    <definedName name="OSRRefH22_2x_0" localSheetId="61">'316'!$H$54</definedName>
    <definedName name="OSRRefH22_2x_0" localSheetId="64">'317'!$H$82</definedName>
    <definedName name="OSRRefH22_2x_0" localSheetId="62">'320'!$H$48</definedName>
    <definedName name="OSRRefH22_2x_0" localSheetId="68">'321'!$H$46</definedName>
    <definedName name="OSRRefH22_2x_0" localSheetId="69">'322'!$H$47</definedName>
    <definedName name="OSRRefH22_2x_0" localSheetId="70">'325'!$H$47</definedName>
    <definedName name="OSRRefH22_2x_0" localSheetId="71">'326'!$H$74</definedName>
    <definedName name="OSRRefH22_2x_0" localSheetId="72">'327'!$H$28</definedName>
    <definedName name="OSRRefH22_2x_0" localSheetId="52">'330'!$H$100</definedName>
    <definedName name="OSRRefH22_2x_0" localSheetId="58">'331'!$H$91</definedName>
    <definedName name="OSRRefH22_2x_0" localSheetId="60">'332'!$H$62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'412'!$H$47</definedName>
    <definedName name="OSRRefH22_2x_0" localSheetId="80">'413'!$H$48</definedName>
    <definedName name="OSRRefH22_2x_0" localSheetId="81">'414'!$H$48</definedName>
    <definedName name="OSRRefH22_2x_0" localSheetId="82">'415'!$H$47</definedName>
    <definedName name="OSRRefH22_2x_0" localSheetId="83">'418'!$H$48</definedName>
    <definedName name="OSRRefH22_2x_0" localSheetId="84">'420'!$H$35</definedName>
    <definedName name="OSRRefH22_2x_0" localSheetId="85">'423'!$H$42</definedName>
    <definedName name="OSRRefH22_2x_0" localSheetId="86">'424'!$H$46</definedName>
    <definedName name="OSRRefH22_2x_0" localSheetId="87">'425'!$H$48</definedName>
    <definedName name="OSRRefH22_2x_0" localSheetId="90">'430'!$H$41</definedName>
    <definedName name="OSRRefH22_2x_0" localSheetId="91">'433'!$H$49</definedName>
    <definedName name="OSRRefH22_2x_0" localSheetId="92">'435'!$H$47</definedName>
    <definedName name="OSRRefH22_2x_0" localSheetId="93">'444'!$H$49</definedName>
    <definedName name="OSRRefH22_2x_0" localSheetId="94">'450'!$H$49</definedName>
    <definedName name="OSRRefH22_2x_0" localSheetId="75">'491'!$H$56</definedName>
    <definedName name="OSRRefH22_2x_0" localSheetId="89">'492'!$H$51</definedName>
    <definedName name="OSRRefH22_2x_0" localSheetId="96">'501'!$H$42</definedName>
    <definedName name="OSRRefH22_2x_0" localSheetId="39">'Div 2'!$H$43</definedName>
    <definedName name="OSRRefH22_2x_0" localSheetId="47">'Div 3'!$H$186</definedName>
    <definedName name="OSRRefH22_2x_0" localSheetId="73">'Div 4'!$H$57</definedName>
    <definedName name="OSRRefH22_2x_0" localSheetId="95">'Div 5'!$H$42</definedName>
    <definedName name="OSRRefH22_2x_0" localSheetId="63">'Div 6'!$H$82</definedName>
    <definedName name="OSRRefH22_2x_0" localSheetId="2">Summary!$H$218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</definedName>
    <definedName name="OSRRefH22_3x_0" localSheetId="45">'205'!$H$43</definedName>
    <definedName name="OSRRefH22_3x_0" localSheetId="46">'206'!$H$43</definedName>
    <definedName name="OSRRefH22_3x_0" localSheetId="48">'300'!$H$182:$H$183</definedName>
    <definedName name="OSRRefH22_3x_0" localSheetId="49">'300 &amp; 317'!$H$207:$H$208</definedName>
    <definedName name="OSRRefH22_3x_0" localSheetId="50">'301'!$H$43:$H$44</definedName>
    <definedName name="OSRRefH22_3x_0" localSheetId="51">'306'!$H$43</definedName>
    <definedName name="OSRRefH22_3x_0" localSheetId="53">'307'!$H$93</definedName>
    <definedName name="OSRRefH22_3x_0" localSheetId="55">'308'!$H$85:$H$86</definedName>
    <definedName name="OSRRefH22_3x_0" localSheetId="66">'309'!$H$49</definedName>
    <definedName name="OSRRefH22_3x_0" localSheetId="65">'310'!$H$56</definedName>
    <definedName name="OSRRefH22_3x_0" localSheetId="74">'310 &amp; 491'!$H$64</definedName>
    <definedName name="OSRRefH22_3x_0" localSheetId="56">'311'!$H$85:$H$86</definedName>
    <definedName name="OSRRefH22_3x_0" localSheetId="67">'313'!$H$52</definedName>
    <definedName name="OSRRefH22_3x_0" localSheetId="54">'314'!$H$80:$H$81</definedName>
    <definedName name="OSRRefH22_3x_0" localSheetId="59">'315'!$H$80:$H$81</definedName>
    <definedName name="OSRRefH22_3x_0" localSheetId="61">'316'!$H$56</definedName>
    <definedName name="OSRRefH22_3x_0" localSheetId="64">'317'!$H$84</definedName>
    <definedName name="OSRRefH22_3x_0" localSheetId="62">'320'!$H$50</definedName>
    <definedName name="OSRRefH22_3x_0" localSheetId="68">'321'!$H$48</definedName>
    <definedName name="OSRRefH22_3x_0" localSheetId="69">'322'!$H$49</definedName>
    <definedName name="OSRRefH22_3x_0" localSheetId="70">'325'!$H$49</definedName>
    <definedName name="OSRRefH22_3x_0" localSheetId="71">'326'!$H$76:$H$77</definedName>
    <definedName name="OSRRefH22_3x_0" localSheetId="52">'330'!$H$102</definedName>
    <definedName name="OSRRefH22_3x_0" localSheetId="58">'331'!$H$93:$H$94</definedName>
    <definedName name="OSRRefH22_3x_0" localSheetId="60">'332'!$H$64</definedName>
    <definedName name="OSRRefH22_3x_0" localSheetId="76">'405'!$H$49</definedName>
    <definedName name="OSRRefH22_3x_0" localSheetId="77">'406'!$H$50</definedName>
    <definedName name="OSRRefH22_3x_0" localSheetId="78">'411'!$H$44:$H$47</definedName>
    <definedName name="OSRRefH22_3x_0" localSheetId="79">'412'!$H$49</definedName>
    <definedName name="OSRRefH22_3x_0" localSheetId="80">'413'!$H$50</definedName>
    <definedName name="OSRRefH22_3x_0" localSheetId="81">'414'!$H$50</definedName>
    <definedName name="OSRRefH22_3x_0" localSheetId="82">'415'!$H$49</definedName>
    <definedName name="OSRRefH22_3x_0" localSheetId="83">'418'!$H$50</definedName>
    <definedName name="OSRRefH22_3x_0" localSheetId="84">'420'!$H$37</definedName>
    <definedName name="OSRRefH22_3x_0" localSheetId="85">'423'!$H$44</definedName>
    <definedName name="OSRRefH22_3x_0" localSheetId="86">'424'!$H$48</definedName>
    <definedName name="OSRRefH22_3x_0" localSheetId="87">'425'!$H$50</definedName>
    <definedName name="OSRRefH22_3x_0" localSheetId="90">'430'!$H$43</definedName>
    <definedName name="OSRRefH22_3x_0" localSheetId="91">'433'!$H$51</definedName>
    <definedName name="OSRRefH22_3x_0" localSheetId="92">'435'!$H$49</definedName>
    <definedName name="OSRRefH22_3x_0" localSheetId="93">'444'!$H$51</definedName>
    <definedName name="OSRRefH22_3x_0" localSheetId="94">'450'!$H$51:$H$52</definedName>
    <definedName name="OSRRefH22_3x_0" localSheetId="75">'491'!$H$58</definedName>
    <definedName name="OSRRefH22_3x_0" localSheetId="89">'492'!$H$53:$H$54</definedName>
    <definedName name="OSRRefH22_3x_0" localSheetId="96">'501'!$H$44</definedName>
    <definedName name="OSRRefH22_3x_0" localSheetId="39">'Div 2'!$H$45</definedName>
    <definedName name="OSRRefH22_3x_0" localSheetId="47">'Div 3'!$H$188:$H$189</definedName>
    <definedName name="OSRRefH22_3x_0" localSheetId="73">'Div 4'!$H$59:$H$60</definedName>
    <definedName name="OSRRefH22_3x_0" localSheetId="95">'Div 5'!$H$44</definedName>
    <definedName name="OSRRefH22_3x_0" localSheetId="63">'Div 6'!$H$84</definedName>
    <definedName name="OSRRefH22_3x_0" localSheetId="2">Summary!$H$220:$H$221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</definedName>
    <definedName name="OSRRefH22_4x_0" localSheetId="46">'206'!$H$45</definedName>
    <definedName name="OSRRefH22_4x_0" localSheetId="48">'300'!$H$185</definedName>
    <definedName name="OSRRefH22_4x_0" localSheetId="49">'300 &amp; 317'!$H$210</definedName>
    <definedName name="OSRRefH22_4x_0" localSheetId="50">'301'!$H$46</definedName>
    <definedName name="OSRRefH22_4x_0" localSheetId="51">'306'!$H$45</definedName>
    <definedName name="OSRRefH22_4x_0" localSheetId="53">'307'!$H$95:$H$96</definedName>
    <definedName name="OSRRefH22_4x_0" localSheetId="55">'308'!$H$88</definedName>
    <definedName name="OSRRefH22_4x_0" localSheetId="66">'309'!$H$51</definedName>
    <definedName name="OSRRefH22_4x_0" localSheetId="65">'310'!$H$58</definedName>
    <definedName name="OSRRefH22_4x_0" localSheetId="74">'310 &amp; 491'!$H$66</definedName>
    <definedName name="OSRRefH22_4x_0" localSheetId="56">'311'!$H$88</definedName>
    <definedName name="OSRRefH22_4x_0" localSheetId="67">'313'!$H$54</definedName>
    <definedName name="OSRRefH22_4x_0" localSheetId="54">'314'!$H$83</definedName>
    <definedName name="OSRRefH22_4x_0" localSheetId="59">'315'!$H$83</definedName>
    <definedName name="OSRRefH22_4x_0" localSheetId="61">'316'!$H$58</definedName>
    <definedName name="OSRRefH22_4x_0" localSheetId="64">'317'!$H$86</definedName>
    <definedName name="OSRRefH22_4x_0" localSheetId="62">'320'!$H$52:$H$53</definedName>
    <definedName name="OSRRefH22_4x_0" localSheetId="68">'321'!$H$50</definedName>
    <definedName name="OSRRefH22_4x_0" localSheetId="69">'322'!$H$51</definedName>
    <definedName name="OSRRefH22_4x_0" localSheetId="70">'325'!$H$51</definedName>
    <definedName name="OSRRefH22_4x_0" localSheetId="71">'326'!$H$79</definedName>
    <definedName name="OSRRefH22_4x_0" localSheetId="52">'330'!$H$104:$H$105</definedName>
    <definedName name="OSRRefH22_4x_0" localSheetId="58">'331'!$H$96</definedName>
    <definedName name="OSRRefH22_4x_0" localSheetId="60">'332'!$H$66</definedName>
    <definedName name="OSRRefH22_4x_0" localSheetId="76">'405'!$H$51</definedName>
    <definedName name="OSRRefH22_4x_0" localSheetId="77">'406'!$H$52</definedName>
    <definedName name="OSRRefH22_4x_0" localSheetId="78">'411'!$H$49</definedName>
    <definedName name="OSRRefH22_4x_0" localSheetId="79">'412'!$H$51</definedName>
    <definedName name="OSRRefH22_4x_0" localSheetId="80">'413'!$H$52</definedName>
    <definedName name="OSRRefH22_4x_0" localSheetId="81">'414'!$H$52</definedName>
    <definedName name="OSRRefH22_4x_0" localSheetId="82">'415'!$H$51</definedName>
    <definedName name="OSRRefH22_4x_0" localSheetId="83">'418'!$H$52</definedName>
    <definedName name="OSRRefH22_4x_0" localSheetId="85">'423'!$H$46</definedName>
    <definedName name="OSRRefH22_4x_0" localSheetId="86">'424'!$H$50</definedName>
    <definedName name="OSRRefH22_4x_0" localSheetId="87">'425'!$H$52</definedName>
    <definedName name="OSRRefH22_4x_0" localSheetId="90">'430'!$H$45</definedName>
    <definedName name="OSRRefH22_4x_0" localSheetId="91">'433'!$H$53</definedName>
    <definedName name="OSRRefH22_4x_0" localSheetId="92">'435'!$H$51</definedName>
    <definedName name="OSRRefH22_4x_0" localSheetId="93">'444'!$H$53</definedName>
    <definedName name="OSRRefH22_4x_0" localSheetId="94">'450'!$H$54</definedName>
    <definedName name="OSRRefH22_4x_0" localSheetId="75">'491'!$H$60</definedName>
    <definedName name="OSRRefH22_4x_0" localSheetId="89">'492'!$H$56</definedName>
    <definedName name="OSRRefH22_4x_0" localSheetId="96">'501'!$H$46</definedName>
    <definedName name="OSRRefH22_4x_0" localSheetId="39">'Div 2'!$H$47</definedName>
    <definedName name="OSRRefH22_4x_0" localSheetId="47">'Div 3'!$H$191</definedName>
    <definedName name="OSRRefH22_4x_0" localSheetId="73">'Div 4'!$H$62</definedName>
    <definedName name="OSRRefH22_4x_0" localSheetId="95">'Div 5'!$H$46</definedName>
    <definedName name="OSRRefH22_4x_0" localSheetId="63">'Div 6'!$H$86</definedName>
    <definedName name="OSRRefH22_4x_0" localSheetId="2">Summary!$H$223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'204'!$H$48</definedName>
    <definedName name="OSRRefH22_5x_0" localSheetId="45">'205'!$H$47:$H$48</definedName>
    <definedName name="OSRRefH22_5x_0" localSheetId="46">'206'!$H$47</definedName>
    <definedName name="OSRRefH22_5x_0" localSheetId="48">'300'!$H$187:$H$190</definedName>
    <definedName name="OSRRefH22_5x_0" localSheetId="49">'300 &amp; 317'!$H$212:$H$215</definedName>
    <definedName name="OSRRefH22_5x_0" localSheetId="50">'301'!$H$48:$H$51</definedName>
    <definedName name="OSRRefH22_5x_0" localSheetId="51">'306'!$H$47</definedName>
    <definedName name="OSRRefH22_5x_0" localSheetId="53">'307'!$H$98</definedName>
    <definedName name="OSRRefH22_5x_0" localSheetId="55">'308'!$H$90</definedName>
    <definedName name="OSRRefH22_5x_0" localSheetId="66">'309'!$H$53:$H$54</definedName>
    <definedName name="OSRRefH22_5x_0" localSheetId="65">'310'!$H$60:$H$62</definedName>
    <definedName name="OSRRefH22_5x_0" localSheetId="74">'310 &amp; 491'!$H$68:$H$71</definedName>
    <definedName name="OSRRefH22_5x_0" localSheetId="56">'311'!$H$90</definedName>
    <definedName name="OSRRefH22_5x_0" localSheetId="67">'313'!$H$56</definedName>
    <definedName name="OSRRefH22_5x_0" localSheetId="54">'314'!$H$85</definedName>
    <definedName name="OSRRefH22_5x_0" localSheetId="59">'315'!$H$85:$H$86</definedName>
    <definedName name="OSRRefH22_5x_0" localSheetId="61">'316'!$H$60</definedName>
    <definedName name="OSRRefH22_5x_0" localSheetId="64">'317'!$H$88</definedName>
    <definedName name="OSRRefH22_5x_0" localSheetId="62">'320'!$H$55</definedName>
    <definedName name="OSRRefH22_5x_0" localSheetId="68">'321'!$H$52</definedName>
    <definedName name="OSRRefH22_5x_0" localSheetId="69">'322'!$H$53:$H$54</definedName>
    <definedName name="OSRRefH22_5x_0" localSheetId="70">'325'!$H$53:$H$55</definedName>
    <definedName name="OSRRefH22_5x_0" localSheetId="71">'326'!$H$81</definedName>
    <definedName name="OSRRefH22_5x_0" localSheetId="52">'330'!$H$107</definedName>
    <definedName name="OSRRefH22_5x_0" localSheetId="58">'331'!$H$98:$H$99</definedName>
    <definedName name="OSRRefH22_5x_0" localSheetId="60">'332'!$H$68</definedName>
    <definedName name="OSRRefH22_5x_0" localSheetId="76">'405'!$H$53:$H$55</definedName>
    <definedName name="OSRRefH22_5x_0" localSheetId="77">'406'!$H$54:$H$55</definedName>
    <definedName name="OSRRefH22_5x_0" localSheetId="78">'411'!$H$51</definedName>
    <definedName name="OSRRefH22_5x_0" localSheetId="79">'412'!$H$53:$H$55</definedName>
    <definedName name="OSRRefH22_5x_0" localSheetId="80">'413'!$H$54</definedName>
    <definedName name="OSRRefH22_5x_0" localSheetId="81">'414'!$H$54:$H$55</definedName>
    <definedName name="OSRRefH22_5x_0" localSheetId="82">'415'!$H$53:$H$55</definedName>
    <definedName name="OSRRefH22_5x_0" localSheetId="83">'418'!$H$54:$H$56</definedName>
    <definedName name="OSRRefH22_5x_0" localSheetId="85">'423'!$H$48</definedName>
    <definedName name="OSRRefH22_5x_0" localSheetId="86">'424'!$H$52</definedName>
    <definedName name="OSRRefH22_5x_0" localSheetId="87">'425'!$H$54:$H$55</definedName>
    <definedName name="OSRRefH22_5x_0" localSheetId="90">'430'!$H$47</definedName>
    <definedName name="OSRRefH22_5x_0" localSheetId="91">'433'!$H$55</definedName>
    <definedName name="OSRRefH22_5x_0" localSheetId="92">'435'!$H$53</definedName>
    <definedName name="OSRRefH22_5x_0" localSheetId="93">'444'!$H$55</definedName>
    <definedName name="OSRRefH22_5x_0" localSheetId="94">'450'!$H$56</definedName>
    <definedName name="OSRRefH22_5x_0" localSheetId="75">'491'!$H$62:$H$65</definedName>
    <definedName name="OSRRefH22_5x_0" localSheetId="89">'492'!$H$58:$H$59</definedName>
    <definedName name="OSRRefH22_5x_0" localSheetId="96">'501'!$H$48</definedName>
    <definedName name="OSRRefH22_5x_0" localSheetId="39">'Div 2'!$H$49</definedName>
    <definedName name="OSRRefH22_5x_0" localSheetId="47">'Div 3'!$H$193:$H$196</definedName>
    <definedName name="OSRRefH22_5x_0" localSheetId="73">'Div 4'!$H$64:$H$67</definedName>
    <definedName name="OSRRefH22_5x_0" localSheetId="95">'Div 5'!$H$48</definedName>
    <definedName name="OSRRefH22_5x_0" localSheetId="63">'Div 6'!$H$88</definedName>
    <definedName name="OSRRefH22_5x_0" localSheetId="2">Summary!$H$225:$H$228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'204'!$H$50</definedName>
    <definedName name="OSRRefH22_6x_0" localSheetId="45">'205'!$H$50</definedName>
    <definedName name="OSRRefH22_6x_0" localSheetId="46">'206'!$H$49</definedName>
    <definedName name="OSRRefH22_6x_0" localSheetId="48">'300'!$H$192:$H$193</definedName>
    <definedName name="OSRRefH22_6x_0" localSheetId="49">'300 &amp; 317'!$H$217:$H$218</definedName>
    <definedName name="OSRRefH22_6x_0" localSheetId="50">'301'!$H$53:$H$54</definedName>
    <definedName name="OSRRefH22_6x_0" localSheetId="51">'306'!$H$49</definedName>
    <definedName name="OSRRefH22_6x_0" localSheetId="53">'307'!$H$100</definedName>
    <definedName name="OSRRefH22_6x_0" localSheetId="55">'308'!$H$92:$H$93</definedName>
    <definedName name="OSRRefH22_6x_0" localSheetId="66">'309'!$H$56</definedName>
    <definedName name="OSRRefH22_6x_0" localSheetId="65">'310'!$H$64</definedName>
    <definedName name="OSRRefH22_6x_0" localSheetId="74">'310 &amp; 491'!$H$73</definedName>
    <definedName name="OSRRefH22_6x_0" localSheetId="56">'311'!$H$92:$H$93</definedName>
    <definedName name="OSRRefH22_6x_0" localSheetId="67">'313'!$H$58</definedName>
    <definedName name="OSRRefH22_6x_0" localSheetId="54">'314'!$H$87</definedName>
    <definedName name="OSRRefH22_6x_0" localSheetId="59">'315'!$H$88</definedName>
    <definedName name="OSRRefH22_6x_0" localSheetId="61">'316'!$H$62</definedName>
    <definedName name="OSRRefH22_6x_0" localSheetId="64">'317'!$H$90</definedName>
    <definedName name="OSRRefH22_6x_0" localSheetId="62">'320'!$H$57</definedName>
    <definedName name="OSRRefH22_6x_0" localSheetId="68">'321'!$H$54</definedName>
    <definedName name="OSRRefH22_6x_0" localSheetId="69">'322'!$H$56</definedName>
    <definedName name="OSRRefH22_6x_0" localSheetId="70">'325'!$H$57</definedName>
    <definedName name="OSRRefH22_6x_0" localSheetId="71">'326'!$H$83</definedName>
    <definedName name="OSRRefH22_6x_0" localSheetId="52">'330'!$H$109</definedName>
    <definedName name="OSRRefH22_6x_0" localSheetId="58">'331'!$H$101</definedName>
    <definedName name="OSRRefH22_6x_0" localSheetId="60">'332'!$H$70</definedName>
    <definedName name="OSRRefH22_6x_0" localSheetId="76">'405'!$H$57</definedName>
    <definedName name="OSRRefH22_6x_0" localSheetId="77">'406'!$H$57</definedName>
    <definedName name="OSRRefH22_6x_0" localSheetId="78">'411'!$H$53</definedName>
    <definedName name="OSRRefH22_6x_0" localSheetId="79">'412'!$H$57</definedName>
    <definedName name="OSRRefH22_6x_0" localSheetId="80">'413'!$H$56</definedName>
    <definedName name="OSRRefH22_6x_0" localSheetId="81">'414'!$H$57</definedName>
    <definedName name="OSRRefH22_6x_0" localSheetId="82">'415'!$H$57</definedName>
    <definedName name="OSRRefH22_6x_0" localSheetId="83">'418'!$H$58</definedName>
    <definedName name="OSRRefH22_6x_0" localSheetId="86">'424'!$H$54</definedName>
    <definedName name="OSRRefH22_6x_0" localSheetId="87">'425'!$H$57</definedName>
    <definedName name="OSRRefH22_6x_0" localSheetId="90">'430'!$H$49</definedName>
    <definedName name="OSRRefH22_6x_0" localSheetId="91">'433'!$H$57</definedName>
    <definedName name="OSRRefH22_6x_0" localSheetId="92">'435'!$H$55:$H$57</definedName>
    <definedName name="OSRRefH22_6x_0" localSheetId="93">'444'!$H$57</definedName>
    <definedName name="OSRRefH22_6x_0" localSheetId="94">'450'!$H$58</definedName>
    <definedName name="OSRRefH22_6x_0" localSheetId="75">'491'!$H$67</definedName>
    <definedName name="OSRRefH22_6x_0" localSheetId="89">'492'!$H$61</definedName>
    <definedName name="OSRRefH22_6x_0" localSheetId="96">'501'!$H$50</definedName>
    <definedName name="OSRRefH22_6x_0" localSheetId="39">'Div 2'!$H$51:$H$52</definedName>
    <definedName name="OSRRefH22_6x_0" localSheetId="47">'Div 3'!$H$198:$H$199</definedName>
    <definedName name="OSRRefH22_6x_0" localSheetId="73">'Div 4'!$H$69:$H$70</definedName>
    <definedName name="OSRRefH22_6x_0" localSheetId="95">'Div 5'!$H$50</definedName>
    <definedName name="OSRRefH22_6x_0" localSheetId="63">'Div 6'!$H$90</definedName>
    <definedName name="OSRRefH22_6x_0" localSheetId="2">Summary!$H$230:$H$231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'204'!$H$52:$H$55</definedName>
    <definedName name="OSRRefH22_7x_0" localSheetId="45">'205'!$H$52:$H$53</definedName>
    <definedName name="OSRRefH22_7x_0" localSheetId="46">'206'!$H$51:$H$52</definedName>
    <definedName name="OSRRefH22_7x_0" localSheetId="48">'300'!$H$195:$H$196</definedName>
    <definedName name="OSRRefH22_7x_0" localSheetId="49">'300 &amp; 317'!$H$220:$H$221</definedName>
    <definedName name="OSRRefH22_7x_0" localSheetId="50">'301'!$H$56:$H$57</definedName>
    <definedName name="OSRRefH22_7x_0" localSheetId="51">'306'!$H$51:$H$52</definedName>
    <definedName name="OSRRefH22_7x_0" localSheetId="53">'307'!$H$102</definedName>
    <definedName name="OSRRefH22_7x_0" localSheetId="55">'308'!$H$95</definedName>
    <definedName name="OSRRefH22_7x_0" localSheetId="66">'309'!$H$58</definedName>
    <definedName name="OSRRefH22_7x_0" localSheetId="65">'310'!$H$66</definedName>
    <definedName name="OSRRefH22_7x_0" localSheetId="74">'310 &amp; 491'!$H$75</definedName>
    <definedName name="OSRRefH22_7x_0" localSheetId="56">'311'!$H$95</definedName>
    <definedName name="OSRRefH22_7x_0" localSheetId="67">'313'!$H$60</definedName>
    <definedName name="OSRRefH22_7x_0" localSheetId="54">'314'!$H$89</definedName>
    <definedName name="OSRRefH22_7x_0" localSheetId="59">'315'!$H$90</definedName>
    <definedName name="OSRRefH22_7x_0" localSheetId="61">'316'!$H$64</definedName>
    <definedName name="OSRRefH22_7x_0" localSheetId="64">'317'!$H$92</definedName>
    <definedName name="OSRRefH22_7x_0" localSheetId="62">'320'!$H$59:$H$60</definedName>
    <definedName name="OSRRefH22_7x_0" localSheetId="68">'321'!$H$56</definedName>
    <definedName name="OSRRefH22_7x_0" localSheetId="69">'322'!$H$58</definedName>
    <definedName name="OSRRefH22_7x_0" localSheetId="70">'325'!$H$59</definedName>
    <definedName name="OSRRefH22_7x_0" localSheetId="71">'326'!$H$85</definedName>
    <definedName name="OSRRefH22_7x_0" localSheetId="52">'330'!$H$111</definedName>
    <definedName name="OSRRefH22_7x_0" localSheetId="58">'331'!$H$103</definedName>
    <definedName name="OSRRefH22_7x_0" localSheetId="60">'332'!$H$72:$H$73</definedName>
    <definedName name="OSRRefH22_7x_0" localSheetId="76">'405'!$H$59</definedName>
    <definedName name="OSRRefH22_7x_0" localSheetId="77">'406'!$H$59</definedName>
    <definedName name="OSRRefH22_7x_0" localSheetId="78">'411'!$H$55</definedName>
    <definedName name="OSRRefH22_7x_0" localSheetId="79">'412'!$H$59</definedName>
    <definedName name="OSRRefH22_7x_0" localSheetId="80">'413'!$H$58:$H$60</definedName>
    <definedName name="OSRRefH22_7x_0" localSheetId="81">'414'!$H$59</definedName>
    <definedName name="OSRRefH22_7x_0" localSheetId="82">'415'!$H$59</definedName>
    <definedName name="OSRRefH22_7x_0" localSheetId="83">'418'!$H$60</definedName>
    <definedName name="OSRRefH22_7x_0" localSheetId="86">'424'!$H$56:$H$57</definedName>
    <definedName name="OSRRefH22_7x_0" localSheetId="87">'425'!$H$59</definedName>
    <definedName name="OSRRefH22_7x_0" localSheetId="90">'430'!$H$51:$H$53</definedName>
    <definedName name="OSRRefH22_7x_0" localSheetId="91">'433'!$H$59</definedName>
    <definedName name="OSRRefH22_7x_0" localSheetId="92">'435'!$H$59</definedName>
    <definedName name="OSRRefH22_7x_0" localSheetId="93">'444'!$H$59</definedName>
    <definedName name="OSRRefH22_7x_0" localSheetId="94">'450'!$H$60</definedName>
    <definedName name="OSRRefH22_7x_0" localSheetId="75">'491'!$H$69</definedName>
    <definedName name="OSRRefH22_7x_0" localSheetId="89">'492'!$H$63</definedName>
    <definedName name="OSRRefH22_7x_0" localSheetId="96">'501'!$H$52</definedName>
    <definedName name="OSRRefH22_7x_0" localSheetId="39">'Div 2'!$H$54</definedName>
    <definedName name="OSRRefH22_7x_0" localSheetId="47">'Div 3'!$H$201:$H$202</definedName>
    <definedName name="OSRRefH22_7x_0" localSheetId="73">'Div 4'!$H$72</definedName>
    <definedName name="OSRRefH22_7x_0" localSheetId="95">'Div 5'!$H$52</definedName>
    <definedName name="OSRRefH22_7x_0" localSheetId="63">'Div 6'!$H$92</definedName>
    <definedName name="OSRRefH22_7x_0" localSheetId="2">Summary!$H$233:$H$235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'204'!$H$57</definedName>
    <definedName name="OSRRefH22_8x_0" localSheetId="45">'205'!$H$55</definedName>
    <definedName name="OSRRefH22_8x_0" localSheetId="46">'206'!$H$54</definedName>
    <definedName name="OSRRefH22_8x_0" localSheetId="48">'300'!$H$198</definedName>
    <definedName name="OSRRefH22_8x_0" localSheetId="49">'300 &amp; 317'!$H$223</definedName>
    <definedName name="OSRRefH22_8x_0" localSheetId="50">'301'!$H$59</definedName>
    <definedName name="OSRRefH22_8x_0" localSheetId="51">'306'!$H$54:$H$56</definedName>
    <definedName name="OSRRefH22_8x_0" localSheetId="53">'307'!$H$104:$H$105</definedName>
    <definedName name="OSRRefH22_8x_0" localSheetId="55">'308'!$H$97</definedName>
    <definedName name="OSRRefH22_8x_0" localSheetId="66">'309'!$H$60:$H$61</definedName>
    <definedName name="OSRRefH22_8x_0" localSheetId="65">'310'!$H$68</definedName>
    <definedName name="OSRRefH22_8x_0" localSheetId="74">'310 &amp; 491'!$H$77</definedName>
    <definedName name="OSRRefH22_8x_0" localSheetId="56">'311'!$H$97</definedName>
    <definedName name="OSRRefH22_8x_0" localSheetId="67">'313'!$H$62</definedName>
    <definedName name="OSRRefH22_8x_0" localSheetId="59">'315'!$H$92</definedName>
    <definedName name="OSRRefH22_8x_0" localSheetId="61">'316'!$H$66</definedName>
    <definedName name="OSRRefH22_8x_0" localSheetId="64">'317'!$H$94:$H$95</definedName>
    <definedName name="OSRRefH22_8x_0" localSheetId="62">'320'!$H$62</definedName>
    <definedName name="OSRRefH22_8x_0" localSheetId="68">'321'!$H$58</definedName>
    <definedName name="OSRRefH22_8x_0" localSheetId="69">'322'!$H$60</definedName>
    <definedName name="OSRRefH22_8x_0" localSheetId="70">'325'!$H$61</definedName>
    <definedName name="OSRRefH22_8x_0" localSheetId="71">'326'!$H$87</definedName>
    <definedName name="OSRRefH22_8x_0" localSheetId="52">'330'!$H$113:$H$114</definedName>
    <definedName name="OSRRefH22_8x_0" localSheetId="58">'331'!$H$105:$H$106</definedName>
    <definedName name="OSRRefH22_8x_0" localSheetId="60">'332'!$H$75</definedName>
    <definedName name="OSRRefH22_8x_0" localSheetId="76">'405'!$H$61</definedName>
    <definedName name="OSRRefH22_8x_0" localSheetId="77">'406'!$H$61:$H$63</definedName>
    <definedName name="OSRRefH22_8x_0" localSheetId="78">'411'!$H$57</definedName>
    <definedName name="OSRRefH22_8x_0" localSheetId="79">'412'!$H$61:$H$62</definedName>
    <definedName name="OSRRefH22_8x_0" localSheetId="80">'413'!$H$62</definedName>
    <definedName name="OSRRefH22_8x_0" localSheetId="81">'414'!$H$61</definedName>
    <definedName name="OSRRefH22_8x_0" localSheetId="82">'415'!$H$61</definedName>
    <definedName name="OSRRefH22_8x_0" localSheetId="83">'418'!$H$62:$H$63</definedName>
    <definedName name="OSRRefH22_8x_0" localSheetId="86">'424'!$H$59:$H$60</definedName>
    <definedName name="OSRRefH22_8x_0" localSheetId="87">'425'!$H$61</definedName>
    <definedName name="OSRRefH22_8x_0" localSheetId="90">'430'!$H$55</definedName>
    <definedName name="OSRRefH22_8x_0" localSheetId="91">'433'!$H$61</definedName>
    <definedName name="OSRRefH22_8x_0" localSheetId="93">'444'!$H$61</definedName>
    <definedName name="OSRRefH22_8x_0" localSheetId="94">'450'!$H$62</definedName>
    <definedName name="OSRRefH22_8x_0" localSheetId="75">'491'!$H$71</definedName>
    <definedName name="OSRRefH22_8x_0" localSheetId="89">'492'!$H$65</definedName>
    <definedName name="OSRRefH22_8x_0" localSheetId="96">'501'!$H$54</definedName>
    <definedName name="OSRRefH22_8x_0" localSheetId="39">'Div 2'!$H$56</definedName>
    <definedName name="OSRRefH22_8x_0" localSheetId="47">'Div 3'!$H$204</definedName>
    <definedName name="OSRRefH22_8x_0" localSheetId="73">'Div 4'!$H$74</definedName>
    <definedName name="OSRRefH22_8x_0" localSheetId="95">'Div 5'!$H$54</definedName>
    <definedName name="OSRRefH22_8x_0" localSheetId="63">'Div 6'!$H$94:$H$95</definedName>
    <definedName name="OSRRefH22_8x_0" localSheetId="2">Summary!$H$237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'204'!$H$59</definedName>
    <definedName name="OSRRefH22_9x_0" localSheetId="45">'205'!$H$57</definedName>
    <definedName name="OSRRefH22_9x_0" localSheetId="46">'206'!$H$56</definedName>
    <definedName name="OSRRefH22_9x_0" localSheetId="48">'300'!$H$200</definedName>
    <definedName name="OSRRefH22_9x_0" localSheetId="49">'300 &amp; 317'!$H$225</definedName>
    <definedName name="OSRRefH22_9x_0" localSheetId="50">'301'!$H$61</definedName>
    <definedName name="OSRRefH22_9x_0" localSheetId="51">'306'!$H$58</definedName>
    <definedName name="OSRRefH22_9x_0" localSheetId="53">'307'!$H$107:$H$108</definedName>
    <definedName name="OSRRefH22_9x_0" localSheetId="55">'308'!$H$99:$H$100</definedName>
    <definedName name="OSRRefH22_9x_0" localSheetId="66">'309'!$H$63:$H$64</definedName>
    <definedName name="OSRRefH22_9x_0" localSheetId="65">'310'!$H$70</definedName>
    <definedName name="OSRRefH22_9x_0" localSheetId="74">'310 &amp; 491'!$H$79</definedName>
    <definedName name="OSRRefH22_9x_0" localSheetId="56">'311'!$H$99:$H$100</definedName>
    <definedName name="OSRRefH22_9x_0" localSheetId="67">'313'!$H$64</definedName>
    <definedName name="OSRRefH22_9x_0" localSheetId="59">'315'!$H$94</definedName>
    <definedName name="OSRRefH22_9x_0" localSheetId="61">'316'!$H$68</definedName>
    <definedName name="OSRRefH22_9x_0" localSheetId="64">'317'!$H$97:$H$98</definedName>
    <definedName name="OSRRefH22_9x_0" localSheetId="68">'321'!$H$60:$H$62</definedName>
    <definedName name="OSRRefH22_9x_0" localSheetId="69">'322'!$H$62:$H$64</definedName>
    <definedName name="OSRRefH22_9x_0" localSheetId="70">'325'!$H$63</definedName>
    <definedName name="OSRRefH22_9x_0" localSheetId="71">'326'!$H$89</definedName>
    <definedName name="OSRRefH22_9x_0" localSheetId="52">'330'!$H$116:$H$117</definedName>
    <definedName name="OSRRefH22_9x_0" localSheetId="58">'331'!$H$108</definedName>
    <definedName name="OSRRefH22_9x_0" localSheetId="60">'332'!$H$77</definedName>
    <definedName name="OSRRefH22_9x_0" localSheetId="76">'405'!$H$63</definedName>
    <definedName name="OSRRefH22_9x_0" localSheetId="77">'406'!$H$65:$H$67</definedName>
    <definedName name="OSRRefH22_9x_0" localSheetId="78">'411'!$H$59</definedName>
    <definedName name="OSRRefH22_9x_0" localSheetId="79">'412'!$H$64</definedName>
    <definedName name="OSRRefH22_9x_0" localSheetId="80">'413'!$H$64:$H$69</definedName>
    <definedName name="OSRRefH22_9x_0" localSheetId="81">'414'!$H$63:$H$64</definedName>
    <definedName name="OSRRefH22_9x_0" localSheetId="82">'415'!$H$63</definedName>
    <definedName name="OSRRefH22_9x_0" localSheetId="83">'418'!$H$65:$H$67</definedName>
    <definedName name="OSRRefH22_9x_0" localSheetId="86">'424'!$H$62</definedName>
    <definedName name="OSRRefH22_9x_0" localSheetId="87">'425'!$H$63:$H$65</definedName>
    <definedName name="OSRRefH22_9x_0" localSheetId="90">'430'!$H$57</definedName>
    <definedName name="OSRRefH22_9x_0" localSheetId="91">'433'!$H$63</definedName>
    <definedName name="OSRRefH22_9x_0" localSheetId="93">'444'!$H$63</definedName>
    <definedName name="OSRRefH22_9x_0" localSheetId="94">'450'!$H$64</definedName>
    <definedName name="OSRRefH22_9x_0" localSheetId="75">'491'!$H$73:$H$74</definedName>
    <definedName name="OSRRefH22_9x_0" localSheetId="89">'492'!$H$67</definedName>
    <definedName name="OSRRefH22_9x_0" localSheetId="96">'501'!$H$56</definedName>
    <definedName name="OSRRefH22_9x_0" localSheetId="39">'Div 2'!$H$58</definedName>
    <definedName name="OSRRefH22_9x_0" localSheetId="47">'Div 3'!$H$206</definedName>
    <definedName name="OSRRefH22_9x_0" localSheetId="73">'Div 4'!$H$76</definedName>
    <definedName name="OSRRefH22_9x_0" localSheetId="95">'Div 5'!$H$56</definedName>
    <definedName name="OSRRefH22_9x_0" localSheetId="63">'Div 6'!$H$97:$H$98</definedName>
    <definedName name="OSRRefH22_9x_0" localSheetId="2">Summary!$H$239</definedName>
    <definedName name="OSRRefH22x_0" localSheetId="40">'200'!$H$20,'200'!$H$22,'200'!$H$24,'200'!$H$26:$H$27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'202'!$H$20:$H$28,'202'!$H$30:$H$39,'202'!$H$41,'202'!$H$43,'202'!$H$45,'202'!$H$47,'202'!$H$49,'202'!$H$51,'202'!$H$53,'202'!$H$55:$H$57,'202'!$H$59,'202'!$H$61:$H$62,'202'!$H$64,'202'!$H$66,'202'!$H$68:$H$69,'202'!$H$71,'202'!$H$73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'204'!$H$20:$H$29,'204'!$H$31:$H$40,'204'!$H$42,'204'!$H$44,'204'!$H$46,'204'!$H$48,'204'!$H$50,'204'!$H$52:$H$55,'204'!$H$57,'204'!$H$59,'204'!$H$61:$H$62,'204'!$H$64,'204'!$H$66:$H$67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$158:$H$167,'300'!$H$169:$H$178,'300'!$H$180,'300'!$H$182:$H$183,'300'!$H$185,'300'!$H$187:$H$190,'300'!$H$192:$H$193,'300'!$H$195:$H$196,'300'!$H$198,'300'!$H$200,'300'!$H$202:$H$203,'300'!$H$205,'300'!$H$207,'300'!$H$209,'300'!$H$211,'300'!$H$213,'300'!$H$215:$H$217,'300'!$H$219:$H$222,'300'!$H$224:$H$227,'300'!$H$229:$H$230,'300'!$H$232:$H$238,'300'!$H$240:$H$241,'300'!$H$243,'300'!$H$245:$H$247,'300'!$H$249</definedName>
    <definedName name="OSRRefH22x_0" localSheetId="49">'300 &amp; 317'!$H$183:$H$192,'300 &amp; 317'!$H$194:$H$203,'300 &amp; 317'!$H$205,'300 &amp; 317'!$H$207:$H$208,'300 &amp; 317'!$H$210,'300 &amp; 317'!$H$212:$H$215,'300 &amp; 317'!$H$217:$H$218,'300 &amp; 317'!$H$220:$H$221,'300 &amp; 317'!$H$223,'300 &amp; 317'!$H$225,'300 &amp; 317'!$H$227:$H$228,'300 &amp; 317'!$H$230,'300 &amp; 317'!$H$232,'300 &amp; 317'!$H$234,'300 &amp; 317'!$H$236,'300 &amp; 317'!$H$238,'300 &amp; 317'!$H$240:$H$242,'300 &amp; 317'!$H$244:$H$247,'300 &amp; 317'!$H$249:$H$252,'300 &amp; 317'!$H$254:$H$255,'300 &amp; 317'!$H$257:$H$263,'300 &amp; 317'!$H$265:$H$266,'300 &amp; 317'!$H$268,'300 &amp; 317'!$H$270:$H$272,'300 &amp; 317'!$H$274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$75,'301'!$H$77:$H$79,'301'!$H$81:$H$82,'301'!$H$84:$H$89,'301'!$H$91,'301'!$H$93,'301'!$H$95:$H$96,'301'!$H$98</definedName>
    <definedName name="OSRRefH22x_0" localSheetId="51">'306'!$H$20:$H$28,'306'!$H$30:$H$39,'306'!$H$41,'306'!$H$43,'306'!$H$45,'306'!$H$47,'306'!$H$49,'306'!$H$51:$H$52,'306'!$H$54:$H$56,'306'!$H$58,'306'!$H$60</definedName>
    <definedName name="OSRRefH22x_0" localSheetId="53">'307'!$H$70:$H$78,'307'!$H$80:$H$89,'307'!$H$91,'307'!$H$93,'307'!$H$95:$H$96,'307'!$H$98,'307'!$H$100,'307'!$H$102,'307'!$H$104:$H$105,'307'!$H$107:$H$108,'307'!$H$110:$H$111,'307'!$H$113,'307'!$H$115</definedName>
    <definedName name="OSRRefH22x_0" localSheetId="55">'308'!$H$61:$H$70,'308'!$H$72:$H$81,'308'!$H$83,'308'!$H$85:$H$86,'308'!$H$88,'308'!$H$90,'308'!$H$92:$H$93,'308'!$H$95,'308'!$H$97,'308'!$H$99:$H$100,'308'!$H$102,'308'!$H$104:$H$106,'308'!$H$108:$H$109,'308'!$H$111,'308'!$H$113:$H$114</definedName>
    <definedName name="OSRRefH22x_0" localSheetId="66">'309'!$H$26:$H$34,'309'!$H$36:$H$45,'309'!$H$47,'309'!$H$49,'309'!$H$51,'309'!$H$53:$H$54,'309'!$H$56,'309'!$H$58,'309'!$H$60:$H$61,'309'!$H$63:$H$64,'309'!$H$66:$H$68,'309'!$H$70,'309'!$H$72</definedName>
    <definedName name="OSRRefH22x_0" localSheetId="65">'310'!$H$33:$H$41,'310'!$H$43:$H$52,'310'!$H$54,'310'!$H$56,'310'!$H$58,'310'!$H$60:$H$62,'310'!$H$64,'310'!$H$66,'310'!$H$68,'310'!$H$70,'310'!$H$72,'310'!$H$74,'310'!$H$76,'310'!$H$78,'310'!$H$80,'310'!$H$82:$H$84,'310'!$H$86:$H$87,'310'!$H$89:$H$93,'310'!$H$95,'310'!$H$97:$H$104,'310'!$H$106,'310'!$H$108,'310'!$H$110,'310'!$H$112</definedName>
    <definedName name="OSRRefH22x_0" localSheetId="74">'310 &amp; 491'!$H$40:$H$49,'310 &amp; 491'!$H$51:$H$60,'310 &amp; 491'!$H$62,'310 &amp; 491'!$H$64,'310 &amp; 491'!$H$66,'310 &amp; 491'!$H$68:$H$71,'310 &amp; 491'!$H$73,'310 &amp; 491'!$H$75,'310 &amp; 491'!$H$77,'310 &amp; 491'!$H$79,'310 &amp; 491'!$H$81,'310 &amp; 491'!$H$83:$H$84,'310 &amp; 491'!$H$86,'310 &amp; 491'!$H$88,'310 &amp; 491'!$H$90,'310 &amp; 491'!$H$92,'310 &amp; 491'!$H$94,'310 &amp; 491'!$H$96:$H$99,'310 &amp; 491'!$H$101:$H$103,'310 &amp; 491'!$H$105:$H$110,'310 &amp; 491'!$H$112,'310 &amp; 491'!$H$114:$H$123,'310 &amp; 491'!$H$125:$H$126,'310 &amp; 491'!$H$128,'310 &amp; 491'!$H$130:$H$132,'310 &amp; 491'!$H$134</definedName>
    <definedName name="OSRRefH22x_0" localSheetId="56">'311'!$H$61:$H$70,'311'!$H$72:$H$81,'311'!$H$83,'311'!$H$85:$H$86,'311'!$H$88,'311'!$H$90,'311'!$H$92:$H$93,'311'!$H$95,'311'!$H$97,'311'!$H$99:$H$100,'311'!$H$102,'311'!$H$104:$H$106,'311'!$H$108:$H$109,'311'!$H$111,'311'!$H$113:$H$114</definedName>
    <definedName name="OSRRefH22x_0" localSheetId="67">'313'!$H$29:$H$37,'313'!$H$39:$H$48,'313'!$H$50,'313'!$H$52,'313'!$H$54,'313'!$H$56,'313'!$H$58,'313'!$H$60,'313'!$H$62,'313'!$H$64,'313'!$H$66:$H$68,'313'!$H$70,'313'!$H$72:$H$76,'313'!$H$78,'313'!$H$80</definedName>
    <definedName name="OSRRefH22x_0" localSheetId="54">'314'!$H$58:$H$65,'314'!$H$67:$H$76,'314'!$H$78,'314'!$H$80:$H$81,'314'!$H$83,'314'!$H$85,'314'!$H$87,'314'!$H$89</definedName>
    <definedName name="OSRRefH22x_0" localSheetId="59">'315'!$H$57:$H$65,'315'!$H$67:$H$76,'315'!$H$78,'315'!$H$80:$H$81,'315'!$H$83,'315'!$H$85:$H$86,'315'!$H$88,'315'!$H$90,'315'!$H$92,'315'!$H$94,'315'!$H$96:$H$98,'315'!$H$100:$H$101,'315'!$H$103:$H$106,'315'!$H$108,'315'!$H$110,'315'!$H$112:$H$113</definedName>
    <definedName name="OSRRefH22x_0" localSheetId="61">'316'!$H$33:$H$41,'316'!$H$43:$H$52,'316'!$H$54,'316'!$H$56,'316'!$H$58,'316'!$H$60,'316'!$H$62,'316'!$H$64,'316'!$H$66,'316'!$H$68,'316'!$H$70:$H$71,'316'!$H$73:$H$76,'316'!$H$78:$H$79,'316'!$H$81</definedName>
    <definedName name="OSRRefH22x_0" localSheetId="64">'317'!$H$60:$H$69,'317'!$H$71:$H$80,'317'!$H$82,'317'!$H$84,'317'!$H$86,'317'!$H$88,'317'!$H$90,'317'!$H$92,'317'!$H$94:$H$95,'317'!$H$97:$H$98,'317'!$H$100</definedName>
    <definedName name="OSRRefH22x_0" localSheetId="62">'320'!$H$28:$H$35,'320'!$H$37:$H$46,'320'!$H$48,'320'!$H$50,'320'!$H$52:$H$53,'320'!$H$55,'320'!$H$57,'320'!$H$59:$H$60,'320'!$H$62</definedName>
    <definedName name="OSRRefH22x_0" localSheetId="68">'321'!$H$26:$H$33,'321'!$H$35:$H$44,'321'!$H$46,'321'!$H$48,'321'!$H$50,'321'!$H$52,'321'!$H$54,'321'!$H$56,'321'!$H$58,'321'!$H$60:$H$62,'321'!$H$64:$H$65,'321'!$H$67:$H$69,'321'!$H$71:$H$73,'321'!$H$75,'321'!$H$77</definedName>
    <definedName name="OSRRefH22x_0" localSheetId="69">'322'!$H$26:$H$34,'322'!$H$36:$H$45,'322'!$H$47,'322'!$H$49,'322'!$H$51,'322'!$H$53:$H$54,'322'!$H$56,'322'!$H$58,'322'!$H$60,'322'!$H$62:$H$64,'322'!$H$66:$H$68,'322'!$H$70:$H$74,'322'!$H$76,'322'!$H$78</definedName>
    <definedName name="OSRRefH22x_0" localSheetId="70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71">'326'!$H$53:$H$61,'326'!$H$63:$H$72,'326'!$H$74,'326'!$H$76:$H$77,'326'!$H$79,'326'!$H$81,'326'!$H$83,'326'!$H$85,'326'!$H$87,'326'!$H$89,'326'!$H$91,'326'!$H$93,'326'!$H$95,'326'!$H$97:$H$98,'326'!$H$100:$H$102,'326'!$H$104:$H$105,'326'!$H$107:$H$111,'326'!$H$113:$H$114,'326'!$H$116,'326'!$H$118,'326'!$H$120</definedName>
    <definedName name="OSRRefH22x_0" localSheetId="72">'327'!$H$24,'327'!$H$26,'327'!$H$28</definedName>
    <definedName name="OSRRefH22x_0" localSheetId="52">'330'!$H$79:$H$87,'330'!$H$89:$H$98,'330'!$H$100,'330'!$H$102,'330'!$H$104:$H$105,'330'!$H$107,'330'!$H$109,'330'!$H$111,'330'!$H$113:$H$114,'330'!$H$116:$H$117,'330'!$H$119,'330'!$H$121:$H$122,'330'!$H$124,'330'!$H$126</definedName>
    <definedName name="OSRRefH22x_0" localSheetId="58">'331'!$H$70:$H$78,'331'!$H$80:$H$89,'331'!$H$91,'331'!$H$93:$H$94,'331'!$H$96,'331'!$H$98:$H$99,'331'!$H$101,'331'!$H$103,'331'!$H$105:$H$106,'331'!$H$108,'331'!$H$110,'331'!$H$112,'331'!$H$114,'331'!$H$116,'331'!$H$118:$H$119,'331'!$H$121:$H$123,'331'!$H$125:$H$127,'331'!$H$129:$H$130,'331'!$H$132:$H$136,'331'!$H$138:$H$139,'331'!$H$141,'331'!$H$143:$H$144,'331'!$H$146</definedName>
    <definedName name="OSRRefH22x_0" localSheetId="60">'332'!$H$41:$H$49,'332'!$H$51:$H$60,'332'!$H$62,'332'!$H$64,'332'!$H$66,'332'!$H$68,'332'!$H$70,'332'!$H$72:$H$73,'332'!$H$75,'332'!$H$77,'332'!$H$79,'332'!$H$81:$H$82,'332'!$H$84:$H$88,'332'!$H$90:$H$91,'332'!$H$93</definedName>
    <definedName name="OSRRefH22x_0" localSheetId="76">'405'!$H$26:$H$34,'405'!$H$36:$H$45,'405'!$H$47,'405'!$H$49,'405'!$H$51,'405'!$H$53:$H$55,'405'!$H$57,'405'!$H$59,'405'!$H$61,'405'!$H$63,'405'!$H$65:$H$67,'405'!$H$69,'405'!$H$71:$H$73,'405'!$H$75,'405'!$H$77:$H$85,'405'!$H$87,'405'!$H$89,'405'!$H$91</definedName>
    <definedName name="OSRRefH22x_0" localSheetId="77">'406'!$H$27:$H$35,'406'!$H$37:$H$46,'406'!$H$48,'406'!$H$50,'406'!$H$52,'406'!$H$54:$H$55,'406'!$H$57,'406'!$H$59,'406'!$H$61:$H$63,'406'!$H$65:$H$67,'406'!$H$69:$H$74,'406'!$H$76:$H$77,'406'!$H$79,'406'!$H$81</definedName>
    <definedName name="OSRRefH22x_0" localSheetId="78">'411'!$H$20:$H$29,'411'!$H$31:$H$40,'411'!$H$42,'411'!$H$44:$H$47,'411'!$H$49,'411'!$H$51,'411'!$H$53,'411'!$H$55,'411'!$H$57,'411'!$H$59,'411'!$H$61:$H$63,'411'!$H$65:$H$69,'411'!$H$71:$H$77,'411'!$H$79,'411'!$H$81,'411'!$H$83:$H$85,'411'!$H$87</definedName>
    <definedName name="OSRRefH22x_0" localSheetId="79">'412'!$H$26:$H$34,'412'!$H$36:$H$45,'412'!$H$47,'412'!$H$49,'412'!$H$51,'412'!$H$53:$H$55,'412'!$H$57,'412'!$H$59,'412'!$H$61:$H$62,'412'!$H$64,'412'!$H$66:$H$68,'412'!$H$70:$H$75,'412'!$H$77,'412'!$H$79</definedName>
    <definedName name="OSRRefH22x_0" localSheetId="80">'413'!$H$27:$H$35,'413'!$H$37:$H$46,'413'!$H$48,'413'!$H$50,'413'!$H$52,'413'!$H$54,'413'!$H$56,'413'!$H$58:$H$60,'413'!$H$62,'413'!$H$64:$H$69,'413'!$H$71:$H$72,'413'!$H$74</definedName>
    <definedName name="OSRRefH22x_0" localSheetId="81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2">'415'!$H$26:$H$34,'415'!$H$36:$H$45,'415'!$H$47,'415'!$H$49,'415'!$H$51,'415'!$H$53:$H$55,'415'!$H$57,'415'!$H$59,'415'!$H$61,'415'!$H$63,'415'!$H$65,'415'!$H$67:$H$69,'415'!$H$71:$H$75,'415'!$H$77,'415'!$H$79:$H$86,'415'!$H$88,'415'!$H$90,'415'!$H$92:$H$93,'415'!$H$95</definedName>
    <definedName name="OSRRefH22x_0" localSheetId="83">'418'!$H$27:$H$35,'418'!$H$37:$H$46,'418'!$H$48,'418'!$H$50,'418'!$H$52,'418'!$H$54:$H$56,'418'!$H$58,'418'!$H$60,'418'!$H$62:$H$63,'418'!$H$65:$H$67,'418'!$H$69:$H$71,'418'!$H$73,'418'!$H$75:$H$81,'418'!$H$83,'418'!$H$85,'418'!$H$87</definedName>
    <definedName name="OSRRefH22x_0" localSheetId="84">'420'!$H$22:$H$28,'420'!$H$30:$H$33,'420'!$H$35,'420'!$H$37</definedName>
    <definedName name="OSRRefH22x_0" localSheetId="85">'423'!$H$21:$H$29,'423'!$H$31:$H$40,'423'!$H$42,'423'!$H$44,'423'!$H$46,'423'!$H$48</definedName>
    <definedName name="OSRRefH22x_0" localSheetId="86">'424'!$H$26:$H$33,'424'!$H$35:$H$44,'424'!$H$46,'424'!$H$48,'424'!$H$50,'424'!$H$52,'424'!$H$54,'424'!$H$56:$H$57,'424'!$H$59:$H$60,'424'!$H$62,'424'!$H$64:$H$67,'424'!$H$69:$H$70</definedName>
    <definedName name="OSRRefH22x_0" localSheetId="87">'425'!$H$27:$H$35,'425'!$H$37:$H$46,'425'!$H$48,'425'!$H$50,'425'!$H$52,'425'!$H$54:$H$55,'425'!$H$57,'425'!$H$59,'425'!$H$61,'425'!$H$63:$H$65,'425'!$H$67:$H$68,'425'!$H$70:$H$71,'425'!$H$73:$H$78,'425'!$H$80:$H$81,'425'!$H$83,'425'!$H$85</definedName>
    <definedName name="OSRRefH22x_0" localSheetId="90">'430'!$H$20:$H$28,'430'!$H$30:$H$39,'430'!$H$41,'430'!$H$43,'430'!$H$45,'430'!$H$47,'430'!$H$49,'430'!$H$51:$H$53,'430'!$H$55,'430'!$H$57,'430'!$H$59</definedName>
    <definedName name="OSRRefH22x_0" localSheetId="91">'433'!$H$27:$H$36,'433'!$H$38:$H$47,'433'!$H$49,'433'!$H$51,'433'!$H$53,'433'!$H$55,'433'!$H$57,'433'!$H$59,'433'!$H$61,'433'!$H$63,'433'!$H$65:$H$66,'433'!$H$68:$H$71,'433'!$H$73:$H$79,'433'!$H$81,'433'!$H$83,'433'!$H$85:$H$86</definedName>
    <definedName name="OSRRefH22x_0" localSheetId="92">'435'!$H$27:$H$34,'435'!$H$36:$H$45,'435'!$H$47,'435'!$H$49,'435'!$H$51,'435'!$H$53,'435'!$H$55:$H$57,'435'!$H$59</definedName>
    <definedName name="OSRRefH22x_0" localSheetId="93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4">'450'!$H$27:$H$36,'450'!$H$38:$H$47,'450'!$H$49,'450'!$H$51:$H$52,'450'!$H$54,'450'!$H$56,'450'!$H$58,'450'!$H$60,'450'!$H$62,'450'!$H$64,'450'!$H$66,'450'!$H$68:$H$70,'450'!$H$72:$H$74,'450'!$H$76:$H$81,'450'!$H$83,'450'!$H$85,'450'!$H$87:$H$88</definedName>
    <definedName name="OSRRefH22x_0" localSheetId="88">'455'!$H$20:$H$27,'455'!$H$29:$H$38</definedName>
    <definedName name="OSRRefH22x_0" localSheetId="75">'491'!$H$34:$H$43,'491'!$H$45:$H$54,'491'!$H$56,'491'!$H$58,'491'!$H$60,'491'!$H$62:$H$65,'491'!$H$67,'491'!$H$69,'491'!$H$71,'491'!$H$73:$H$74,'491'!$H$76,'491'!$H$78,'491'!$H$80,'491'!$H$82,'491'!$H$84:$H$87,'491'!$H$89:$H$91,'491'!$H$93:$H$97,'491'!$H$99,'491'!$H$101:$H$110,'491'!$H$112:$H$113,'491'!$H$115,'491'!$H$117:$H$119,'491'!$H$121</definedName>
    <definedName name="OSRRefH22x_0" localSheetId="89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6">'501'!$H$21:$H$29,'501'!$H$31:$H$40,'501'!$H$42,'501'!$H$44,'501'!$H$46,'501'!$H$48,'501'!$H$50,'501'!$H$52,'501'!$H$54,'501'!$H$56,'501'!$H$58:$H$59,'501'!$H$61:$H$63,'501'!$H$65</definedName>
    <definedName name="OSRRefH22x_0" localSheetId="39">'Div 2'!$H$20:$H$30,'Div 2'!$H$32:$H$41,'Div 2'!$H$43,'Div 2'!$H$45,'Div 2'!$H$47,'Div 2'!$H$49,'Div 2'!$H$51:$H$52,'Div 2'!$H$54,'Div 2'!$H$56,'Div 2'!$H$58,'Div 2'!$H$60,'Div 2'!$H$62,'Div 2'!$H$64:$H$66,'Div 2'!$H$68:$H$71,'Div 2'!$H$73:$H$76,'Div 2'!$H$78:$H$79,'Div 2'!$H$81:$H$82,'Div 2'!$H$84:$H$87,'Div 2'!$H$89:$H$90,'Div 2'!$H$92,'Div 2'!$H$94:$H$95</definedName>
    <definedName name="OSRRefH22x_0" localSheetId="47">'Div 3'!$H$164:$H$173,'Div 3'!$H$175:$H$184,'Div 3'!$H$186,'Div 3'!$H$188:$H$189,'Div 3'!$H$191,'Div 3'!$H$193:$H$196,'Div 3'!$H$198:$H$199,'Div 3'!$H$201:$H$202,'Div 3'!$H$204,'Div 3'!$H$206,'Div 3'!$H$208:$H$209,'Div 3'!$H$211,'Div 3'!$H$213,'Div 3'!$H$215,'Div 3'!$H$217,'Div 3'!$H$219,'Div 3'!$H$221,'Div 3'!$H$223,'Div 3'!$H$225:$H$227,'Div 3'!$H$229:$H$232,'Div 3'!$H$234:$H$239,'Div 3'!$H$241:$H$242,'Div 3'!$H$244:$H$251,'Div 3'!$H$253:$H$254,'Div 3'!$H$256,'Div 3'!$H$258:$H$260,'Div 3'!$H$262</definedName>
    <definedName name="OSRRefH22x_0" localSheetId="73">'Div 4'!$H$35:$H$44,'Div 4'!$H$46:$H$55,'Div 4'!$H$57,'Div 4'!$H$59:$H$60,'Div 4'!$H$62,'Div 4'!$H$64:$H$67,'Div 4'!$H$69:$H$70,'Div 4'!$H$72,'Div 4'!$H$74,'Div 4'!$H$76,'Div 4'!$H$78:$H$79,'Div 4'!$H$81,'Div 4'!$H$83,'Div 4'!$H$85,'Div 4'!$H$87,'Div 4'!$H$89,'Div 4'!$H$91:$H$94,'Div 4'!$H$96:$H$98,'Div 4'!$H$100:$H$104,'Div 4'!$H$106,'Div 4'!$H$108:$H$117,'Div 4'!$H$119:$H$120,'Div 4'!$H$122,'Div 4'!$H$124:$H$126,'Div 4'!$H$128</definedName>
    <definedName name="OSRRefH22x_0" localSheetId="95">'Div 5'!$H$21:$H$29,'Div 5'!$H$31:$H$40,'Div 5'!$H$42,'Div 5'!$H$44,'Div 5'!$H$46,'Div 5'!$H$48,'Div 5'!$H$50,'Div 5'!$H$52,'Div 5'!$H$54,'Div 5'!$H$56,'Div 5'!$H$58:$H$59,'Div 5'!$H$61:$H$63,'Div 5'!$H$65</definedName>
    <definedName name="OSRRefH22x_0" localSheetId="63">'Div 6'!$H$60:$H$69,'Div 6'!$H$71:$H$80,'Div 6'!$H$82,'Div 6'!$H$84,'Div 6'!$H$86,'Div 6'!$H$88,'Div 6'!$H$90,'Div 6'!$H$92,'Div 6'!$H$94:$H$95,'Div 6'!$H$97:$H$98,'Div 6'!$H$100</definedName>
    <definedName name="OSRRefH22x_0" localSheetId="2">Summary!$H$196:$H$205,Summary!$H$207:$H$216,Summary!$H$218,Summary!$H$220:$H$221,Summary!$H$223,Summary!$H$225:$H$228,Summary!$H$230:$H$231,Summary!$H$233:$H$235,Summary!$H$237,Summary!$H$239,Summary!$H$241:$H$242,Summary!$H$244:$H$245,Summary!$H$247,Summary!$H$249,Summary!$H$251,Summary!$H$253,Summary!$H$255,Summary!$H$257,Summary!$H$259:$H$262,Summary!$H$264:$H$267,Summary!$H$269:$H$274,Summary!$H$276:$H$277,Summary!$H$279:$H$288,Summary!$H$290:$H$291,Summary!$H$293,Summary!$H$295:$H$297,Summary!$H$299</definedName>
    <definedName name="OSRRefH25x_0" localSheetId="48">'300'!$H$252:$H$259</definedName>
    <definedName name="OSRRefH25x_0" localSheetId="49">'300 &amp; 317'!$H$277:$H$286</definedName>
    <definedName name="OSRRefH25x_0" localSheetId="50">'301'!$H$101:$H$103</definedName>
    <definedName name="OSRRefH25x_0" localSheetId="55">'308'!$H$117:$H$120</definedName>
    <definedName name="OSRRefH25x_0" localSheetId="74">'310 &amp; 491'!$H$137:$H$140</definedName>
    <definedName name="OSRRefH25x_0" localSheetId="56">'311'!$H$117:$H$120</definedName>
    <definedName name="OSRRefH25x_0" localSheetId="59">'315'!$H$116:$H$118</definedName>
    <definedName name="OSRRefH25x_0" localSheetId="61">'316'!$H$84:$H$85</definedName>
    <definedName name="OSRRefH25x_0" localSheetId="64">'317'!$H$103:$H$105</definedName>
    <definedName name="OSRRefH25x_0" localSheetId="62">'320'!$H$65:$H$69</definedName>
    <definedName name="OSRRefH25x_0" localSheetId="58">'331'!$H$149:$H$151</definedName>
    <definedName name="OSRRefH25x_0" localSheetId="60">'332'!$H$96:$H$102</definedName>
    <definedName name="OSRRefH25x_0" localSheetId="78">'411'!$H$90:$H$91</definedName>
    <definedName name="OSRRefH25x_0" localSheetId="80">'413'!$H$77</definedName>
    <definedName name="OSRRefH25x_0" localSheetId="85">'423'!$H$51</definedName>
    <definedName name="OSRRefH25x_0" localSheetId="86">'424'!$H$73</definedName>
    <definedName name="OSRRefH25x_0" localSheetId="87">'425'!$H$88</definedName>
    <definedName name="OSRRefH25x_0" localSheetId="88">'455'!$H$41:$H$44</definedName>
    <definedName name="OSRRefH25x_0" localSheetId="75">'491'!$H$124:$H$127</definedName>
    <definedName name="OSRRefH25x_0" localSheetId="96">'501'!$H$68</definedName>
    <definedName name="OSRRefH25x_0" localSheetId="47">'Div 3'!$H$265:$H$272</definedName>
    <definedName name="OSRRefH25x_0" localSheetId="73">'Div 4'!$H$131:$H$134</definedName>
    <definedName name="OSRRefH25x_0" localSheetId="95">'Div 5'!$H$68</definedName>
    <definedName name="OSRRefH25x_0" localSheetId="63">'Div 6'!$H$103:$H$105</definedName>
    <definedName name="OSRRefH25x_0" localSheetId="2">Summary!$H$302:$H$312</definedName>
    <definedName name="OSRRefP13x_0" localSheetId="48">'300'!$P$13:$P$101</definedName>
    <definedName name="OSRRefP13x_0" localSheetId="49">'300 &amp; 317'!$P$13:$P$119</definedName>
    <definedName name="OSRRefP13x_0" localSheetId="53">'307'!$P$13:$P$42</definedName>
    <definedName name="OSRRefP13x_0" localSheetId="55">'308'!$P$13:$P$39</definedName>
    <definedName name="OSRRefP13x_0" localSheetId="66">'309'!$P$13:$P$15</definedName>
    <definedName name="OSRRefP13x_0" localSheetId="65">'310'!$P$13:$P$22</definedName>
    <definedName name="OSRRefP13x_0" localSheetId="74">'310 &amp; 491'!$P$13:$P$29</definedName>
    <definedName name="OSRRefP13x_0" localSheetId="56">'311'!$P$13:$P$39</definedName>
    <definedName name="OSRRefP13x_0" localSheetId="67">'313'!$P$13:$P$18</definedName>
    <definedName name="OSRRefP13x_0" localSheetId="54">'314'!$P$13:$P$34</definedName>
    <definedName name="OSRRefP13x_0" localSheetId="59">'315'!$P$13:$P$33</definedName>
    <definedName name="OSRRefP13x_0" localSheetId="61">'316'!$P$13:$P$25</definedName>
    <definedName name="OSRRefP13x_0" localSheetId="64">'317'!$P$13:$P$38</definedName>
    <definedName name="OSRRefP13x_0" localSheetId="62">'320'!$P$13:$P$15</definedName>
    <definedName name="OSRRefP13x_0" localSheetId="68">'321'!$P$13:$P$15</definedName>
    <definedName name="OSRRefP13x_0" localSheetId="69">'322'!$P$13:$P$15</definedName>
    <definedName name="OSRRefP13x_0" localSheetId="57">'324'!$P$13:$P$15</definedName>
    <definedName name="OSRRefP13x_0" localSheetId="70">'325'!$P$13:$P$15</definedName>
    <definedName name="OSRRefP13x_0" localSheetId="71">'326'!$P$13:$P$31</definedName>
    <definedName name="OSRRefP13x_0" localSheetId="72">'327'!$P$13:$P$14</definedName>
    <definedName name="OSRRefP13x_0" localSheetId="52">'330'!$P$13:$P$47</definedName>
    <definedName name="OSRRefP13x_0" localSheetId="58">'331'!$P$13:$P$40</definedName>
    <definedName name="OSRRefP13x_0" localSheetId="60">'332'!$P$13:$P$28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0">'413'!$P$13:$P$16</definedName>
    <definedName name="OSRRefP13x_0" localSheetId="81">'414'!$P$13:$P$16</definedName>
    <definedName name="OSRRefP13x_0" localSheetId="82">'415'!$P$13:$P$15</definedName>
    <definedName name="OSRRefP13x_0" localSheetId="83">'418'!$P$13:$P$16</definedName>
    <definedName name="OSRRefP13x_0" localSheetId="84">'420'!$P$13:$P$14</definedName>
    <definedName name="OSRRefP13x_0" localSheetId="86">'424'!$P$13:$P$15</definedName>
    <definedName name="OSRRefP13x_0" localSheetId="87">'425'!$P$13:$P$16</definedName>
    <definedName name="OSRRefP13x_0" localSheetId="91">'433'!$P$13:$P$16</definedName>
    <definedName name="OSRRefP13x_0" localSheetId="92">'435'!$P$13:$P$16</definedName>
    <definedName name="OSRRefP13x_0" localSheetId="93">'444'!$P$13:$P$16</definedName>
    <definedName name="OSRRefP13x_0" localSheetId="94">'450'!$P$13:$P$16</definedName>
    <definedName name="OSRRefP13x_0" localSheetId="75">'491'!$P$13:$P$23</definedName>
    <definedName name="OSRRefP13x_0" localSheetId="89">'492'!$P$13:$P$18</definedName>
    <definedName name="OSRRefP13x_0" localSheetId="96">'501'!$P$13</definedName>
    <definedName name="OSRRefP13x_0" localSheetId="47">'Div 3'!$P$13:$P$105</definedName>
    <definedName name="OSRRefP13x_0" localSheetId="73">'Div 4'!$P$13:$P$24</definedName>
    <definedName name="OSRRefP13x_0" localSheetId="95">'Div 5'!$P$13</definedName>
    <definedName name="OSRRefP13x_0" localSheetId="63">'Div 6'!$P$13:$P$38</definedName>
    <definedName name="OSRRefP13x_0" localSheetId="2">Summary!$P$13:$P$130</definedName>
    <definedName name="OSRRefP16x_0" localSheetId="48">'300'!$P$104:$P$152</definedName>
    <definedName name="OSRRefP16x_0" localSheetId="49">'300 &amp; 317'!$P$122:$P$177</definedName>
    <definedName name="OSRRefP16x_0" localSheetId="53">'307'!$P$45:$P$64</definedName>
    <definedName name="OSRRefP16x_0" localSheetId="55">'308'!$P$42:$P$55</definedName>
    <definedName name="OSRRefP16x_0" localSheetId="66">'309'!$P$18:$P$20</definedName>
    <definedName name="OSRRefP16x_0" localSheetId="65">'310'!$P$25:$P$27</definedName>
    <definedName name="OSRRefP16x_0" localSheetId="74">'310 &amp; 491'!$P$32:$P$34</definedName>
    <definedName name="OSRRefP16x_0" localSheetId="56">'311'!$P$42:$P$55</definedName>
    <definedName name="OSRRefP16x_0" localSheetId="67">'313'!$P$21:$P$23</definedName>
    <definedName name="OSRRefP16x_0" localSheetId="54">'314'!$P$37:$P$52</definedName>
    <definedName name="OSRRefP16x_0" localSheetId="59">'315'!$P$36:$P$51</definedName>
    <definedName name="OSRRefP16x_0" localSheetId="64">'317'!$P$41:$P$54</definedName>
    <definedName name="OSRRefP16x_0" localSheetId="62">'320'!$P$18:$P$22</definedName>
    <definedName name="OSRRefP16x_0" localSheetId="68">'321'!$P$18:$P$20</definedName>
    <definedName name="OSRRefP16x_0" localSheetId="69">'322'!$P$18:$P$20</definedName>
    <definedName name="OSRRefP16x_0" localSheetId="57">'324'!$P$18:$P$20</definedName>
    <definedName name="OSRRefP16x_0" localSheetId="70">'325'!$P$18:$P$20</definedName>
    <definedName name="OSRRefP16x_0" localSheetId="71">'326'!$P$34:$P$47</definedName>
    <definedName name="OSRRefP16x_0" localSheetId="72">'327'!$P$17:$P$18</definedName>
    <definedName name="OSRRefP16x_0" localSheetId="52">'330'!$P$50:$P$73</definedName>
    <definedName name="OSRRefP16x_0" localSheetId="58">'331'!$P$43:$P$64</definedName>
    <definedName name="OSRRefP16x_0" localSheetId="60">'332'!$P$31:$P$35</definedName>
    <definedName name="OSRRefP16x_0" localSheetId="76">'405'!$P$18:$P$20</definedName>
    <definedName name="OSRRefP16x_0" localSheetId="77">'406'!$P$19:$P$21</definedName>
    <definedName name="OSRRefP16x_0" localSheetId="79">'412'!$P$19:$P$20</definedName>
    <definedName name="OSRRefP16x_0" localSheetId="80">'413'!$P$19:$P$21</definedName>
    <definedName name="OSRRefP16x_0" localSheetId="81">'414'!$P$19:$P$21</definedName>
    <definedName name="OSRRefP16x_0" localSheetId="82">'415'!$P$18:$P$20</definedName>
    <definedName name="OSRRefP16x_0" localSheetId="83">'418'!$P$19:$P$21</definedName>
    <definedName name="OSRRefP16x_0" localSheetId="85">'423'!$P$15</definedName>
    <definedName name="OSRRefP16x_0" localSheetId="86">'424'!$P$18:$P$20</definedName>
    <definedName name="OSRRefP16x_0" localSheetId="87">'425'!$P$19:$P$21</definedName>
    <definedName name="OSRRefP16x_0" localSheetId="91">'433'!$P$19:$P$21</definedName>
    <definedName name="OSRRefP16x_0" localSheetId="92">'435'!$P$19:$P$21</definedName>
    <definedName name="OSRRefP16x_0" localSheetId="93">'444'!$P$19:$P$21</definedName>
    <definedName name="OSRRefP16x_0" localSheetId="94">'450'!$P$19:$P$21</definedName>
    <definedName name="OSRRefP16x_0" localSheetId="75">'491'!$P$26:$P$28</definedName>
    <definedName name="OSRRefP16x_0" localSheetId="89">'492'!$P$21:$P$23</definedName>
    <definedName name="OSRRefP16x_0" localSheetId="47">'Div 3'!$P$108:$P$158</definedName>
    <definedName name="OSRRefP16x_0" localSheetId="73">'Div 4'!$P$27:$P$29</definedName>
    <definedName name="OSRRefP16x_0" localSheetId="63">'Div 6'!$P$41:$P$54</definedName>
    <definedName name="OSRRefP16x_0" localSheetId="2">Summary!$P$133:$P$190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'300'!$P$158:$P$167</definedName>
    <definedName name="OSRRefP22_0x_0" localSheetId="49">'300 &amp; 317'!$P$183:$P$192</definedName>
    <definedName name="OSRRefP22_0x_0" localSheetId="50">'301'!$P$20:$P$28</definedName>
    <definedName name="OSRRefP22_0x_0" localSheetId="51">'306'!$P$20:$P$28</definedName>
    <definedName name="OSRRefP22_0x_0" localSheetId="53">'307'!$P$70:$P$78</definedName>
    <definedName name="OSRRefP22_0x_0" localSheetId="55">'308'!$P$61:$P$70</definedName>
    <definedName name="OSRRefP22_0x_0" localSheetId="66">'309'!$P$26:$P$34</definedName>
    <definedName name="OSRRefP22_0x_0" localSheetId="65">'310'!$P$33:$P$41</definedName>
    <definedName name="OSRRefP22_0x_0" localSheetId="74">'310 &amp; 491'!$P$40:$P$49</definedName>
    <definedName name="OSRRefP22_0x_0" localSheetId="56">'311'!$P$61:$P$70</definedName>
    <definedName name="OSRRefP22_0x_0" localSheetId="67">'313'!$P$29:$P$37</definedName>
    <definedName name="OSRRefP22_0x_0" localSheetId="54">'314'!$P$58:$P$65</definedName>
    <definedName name="OSRRefP22_0x_0" localSheetId="59">'315'!$P$57:$P$65</definedName>
    <definedName name="OSRRefP22_0x_0" localSheetId="61">'316'!$P$33:$P$41</definedName>
    <definedName name="OSRRefP22_0x_0" localSheetId="64">'317'!$P$60:$P$69</definedName>
    <definedName name="OSRRefP22_0x_0" localSheetId="62">'320'!$P$28:$P$35</definedName>
    <definedName name="OSRRefP22_0x_0" localSheetId="68">'321'!$P$26:$P$33</definedName>
    <definedName name="OSRRefP22_0x_0" localSheetId="69">'322'!$P$26:$P$34</definedName>
    <definedName name="OSRRefP22_0x_0" localSheetId="70">'325'!$P$26:$P$34</definedName>
    <definedName name="OSRRefP22_0x_0" localSheetId="71">'326'!$P$53:$P$61</definedName>
    <definedName name="OSRRefP22_0x_0" localSheetId="72">'327'!$P$24</definedName>
    <definedName name="OSRRefP22_0x_0" localSheetId="52">'330'!$P$79:$P$87</definedName>
    <definedName name="OSRRefP22_0x_0" localSheetId="58">'331'!$P$70:$P$78</definedName>
    <definedName name="OSRRefP22_0x_0" localSheetId="60">'332'!$P$41:$P$49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'412'!$P$26:$P$34</definedName>
    <definedName name="OSRRefP22_0x_0" localSheetId="80">'413'!$P$27:$P$35</definedName>
    <definedName name="OSRRefP22_0x_0" localSheetId="81">'414'!$P$27:$P$35</definedName>
    <definedName name="OSRRefP22_0x_0" localSheetId="82">'415'!$P$26:$P$34</definedName>
    <definedName name="OSRRefP22_0x_0" localSheetId="83">'418'!$P$27:$P$35</definedName>
    <definedName name="OSRRefP22_0x_0" localSheetId="84">'420'!$P$22:$P$28</definedName>
    <definedName name="OSRRefP22_0x_0" localSheetId="85">'423'!$P$21:$P$29</definedName>
    <definedName name="OSRRefP22_0x_0" localSheetId="86">'424'!$P$26:$P$33</definedName>
    <definedName name="OSRRefP22_0x_0" localSheetId="87">'425'!$P$27:$P$35</definedName>
    <definedName name="OSRRefP22_0x_0" localSheetId="90">'430'!$P$20:$P$28</definedName>
    <definedName name="OSRRefP22_0x_0" localSheetId="91">'433'!$P$27:$P$36</definedName>
    <definedName name="OSRRefP22_0x_0" localSheetId="92">'435'!$P$27:$P$34</definedName>
    <definedName name="OSRRefP22_0x_0" localSheetId="93">'444'!$P$27:$P$36</definedName>
    <definedName name="OSRRefP22_0x_0" localSheetId="94">'450'!$P$27:$P$36</definedName>
    <definedName name="OSRRefP22_0x_0" localSheetId="88">'455'!$P$20:$P$27</definedName>
    <definedName name="OSRRefP22_0x_0" localSheetId="75">'491'!$P$34:$P$43</definedName>
    <definedName name="OSRRefP22_0x_0" localSheetId="89">'492'!$P$29:$P$38</definedName>
    <definedName name="OSRRefP22_0x_0" localSheetId="96">'501'!$P$21:$P$29</definedName>
    <definedName name="OSRRefP22_0x_0" localSheetId="39">'Div 2'!$P$20:$P$30</definedName>
    <definedName name="OSRRefP22_0x_0" localSheetId="47">'Div 3'!$P$164:$P$173</definedName>
    <definedName name="OSRRefP22_0x_0" localSheetId="73">'Div 4'!$P$35:$P$44</definedName>
    <definedName name="OSRRefP22_0x_0" localSheetId="95">'Div 5'!$P$21:$P$29</definedName>
    <definedName name="OSRRefP22_0x_0" localSheetId="63">'Div 6'!$P$60:$P$69</definedName>
    <definedName name="OSRRefP22_0x_0" localSheetId="2">Summary!$P$196:$P$205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'204'!$P$61:$P$62</definedName>
    <definedName name="OSRRefP22_10x_0" localSheetId="46">'206'!$P$58</definedName>
    <definedName name="OSRRefP22_10x_0" localSheetId="48">'300'!$P$202:$P$203</definedName>
    <definedName name="OSRRefP22_10x_0" localSheetId="49">'300 &amp; 317'!$P$227:$P$228</definedName>
    <definedName name="OSRRefP22_10x_0" localSheetId="50">'301'!$P$63</definedName>
    <definedName name="OSRRefP22_10x_0" localSheetId="51">'306'!$P$60</definedName>
    <definedName name="OSRRefP22_10x_0" localSheetId="53">'307'!$P$110:$P$111</definedName>
    <definedName name="OSRRefP22_10x_0" localSheetId="55">'308'!$P$102</definedName>
    <definedName name="OSRRefP22_10x_0" localSheetId="66">'309'!$P$66:$P$68</definedName>
    <definedName name="OSRRefP22_10x_0" localSheetId="65">'310'!$P$72</definedName>
    <definedName name="OSRRefP22_10x_0" localSheetId="74">'310 &amp; 491'!$P$81</definedName>
    <definedName name="OSRRefP22_10x_0" localSheetId="56">'311'!$P$102</definedName>
    <definedName name="OSRRefP22_10x_0" localSheetId="67">'313'!$P$66:$P$68</definedName>
    <definedName name="OSRRefP22_10x_0" localSheetId="59">'315'!$P$96:$P$98</definedName>
    <definedName name="OSRRefP22_10x_0" localSheetId="61">'316'!$P$70:$P$71</definedName>
    <definedName name="OSRRefP22_10x_0" localSheetId="64">'317'!$P$100</definedName>
    <definedName name="OSRRefP22_10x_0" localSheetId="68">'321'!$P$64:$P$65</definedName>
    <definedName name="OSRRefP22_10x_0" localSheetId="69">'322'!$P$66:$P$68</definedName>
    <definedName name="OSRRefP22_10x_0" localSheetId="70">'325'!$P$65</definedName>
    <definedName name="OSRRefP22_10x_0" localSheetId="71">'326'!$P$91</definedName>
    <definedName name="OSRRefP22_10x_0" localSheetId="52">'330'!$P$119</definedName>
    <definedName name="OSRRefP22_10x_0" localSheetId="58">'331'!$P$110</definedName>
    <definedName name="OSRRefP22_10x_0" localSheetId="60">'332'!$P$79</definedName>
    <definedName name="OSRRefP22_10x_0" localSheetId="76">'405'!$P$65:$P$67</definedName>
    <definedName name="OSRRefP22_10x_0" localSheetId="77">'406'!$P$69:$P$74</definedName>
    <definedName name="OSRRefP22_10x_0" localSheetId="78">'411'!$P$61:$P$63</definedName>
    <definedName name="OSRRefP22_10x_0" localSheetId="79">'412'!$P$66:$P$68</definedName>
    <definedName name="OSRRefP22_10x_0" localSheetId="80">'413'!$P$71:$P$72</definedName>
    <definedName name="OSRRefP22_10x_0" localSheetId="81">'414'!$P$66</definedName>
    <definedName name="OSRRefP22_10x_0" localSheetId="82">'415'!$P$65</definedName>
    <definedName name="OSRRefP22_10x_0" localSheetId="83">'418'!$P$69:$P$71</definedName>
    <definedName name="OSRRefP22_10x_0" localSheetId="86">'424'!$P$64:$P$67</definedName>
    <definedName name="OSRRefP22_10x_0" localSheetId="87">'425'!$P$67:$P$68</definedName>
    <definedName name="OSRRefP22_10x_0" localSheetId="90">'430'!$P$59</definedName>
    <definedName name="OSRRefP22_10x_0" localSheetId="91">'433'!$P$65:$P$66</definedName>
    <definedName name="OSRRefP22_10x_0" localSheetId="93">'444'!$P$65</definedName>
    <definedName name="OSRRefP22_10x_0" localSheetId="94">'450'!$P$66</definedName>
    <definedName name="OSRRefP22_10x_0" localSheetId="75">'491'!$P$76</definedName>
    <definedName name="OSRRefP22_10x_0" localSheetId="89">'492'!$P$69</definedName>
    <definedName name="OSRRefP22_10x_0" localSheetId="96">'501'!$P$58:$P$59</definedName>
    <definedName name="OSRRefP22_10x_0" localSheetId="39">'Div 2'!$P$60</definedName>
    <definedName name="OSRRefP22_10x_0" localSheetId="47">'Div 3'!$P$208:$P$209</definedName>
    <definedName name="OSRRefP22_10x_0" localSheetId="73">'Div 4'!$P$78:$P$79</definedName>
    <definedName name="OSRRefP22_10x_0" localSheetId="95">'Div 5'!$P$58:$P$59</definedName>
    <definedName name="OSRRefP22_10x_0" localSheetId="63">'Div 6'!$P$100</definedName>
    <definedName name="OSRRefP22_10x_0" localSheetId="2">Summary!$P$241:$P$242</definedName>
    <definedName name="OSRRefP22_11x_0" localSheetId="41">'201'!$P$62:$P$64</definedName>
    <definedName name="OSRRefP22_11x_0" localSheetId="42">'202'!$P$61:$P$62</definedName>
    <definedName name="OSRRefP22_11x_0" localSheetId="43">'203'!$P$62</definedName>
    <definedName name="OSRRefP22_11x_0" localSheetId="44">'204'!$P$64</definedName>
    <definedName name="OSRRefP22_11x_0" localSheetId="48">'300'!$P$205</definedName>
    <definedName name="OSRRefP22_11x_0" localSheetId="49">'300 &amp; 317'!$P$230</definedName>
    <definedName name="OSRRefP22_11x_0" localSheetId="50">'301'!$P$65</definedName>
    <definedName name="OSRRefP22_11x_0" localSheetId="53">'307'!$P$113</definedName>
    <definedName name="OSRRefP22_11x_0" localSheetId="55">'308'!$P$104:$P$106</definedName>
    <definedName name="OSRRefP22_11x_0" localSheetId="66">'309'!$P$70</definedName>
    <definedName name="OSRRefP22_11x_0" localSheetId="65">'310'!$P$74</definedName>
    <definedName name="OSRRefP22_11x_0" localSheetId="74">'310 &amp; 491'!$P$83:$P$84</definedName>
    <definedName name="OSRRefP22_11x_0" localSheetId="56">'311'!$P$104:$P$106</definedName>
    <definedName name="OSRRefP22_11x_0" localSheetId="67">'313'!$P$70</definedName>
    <definedName name="OSRRefP22_11x_0" localSheetId="59">'315'!$P$100:$P$101</definedName>
    <definedName name="OSRRefP22_11x_0" localSheetId="61">'316'!$P$73:$P$76</definedName>
    <definedName name="OSRRefP22_11x_0" localSheetId="68">'321'!$P$67:$P$69</definedName>
    <definedName name="OSRRefP22_11x_0" localSheetId="69">'322'!$P$70:$P$74</definedName>
    <definedName name="OSRRefP22_11x_0" localSheetId="70">'325'!$P$67:$P$69</definedName>
    <definedName name="OSRRefP22_11x_0" localSheetId="71">'326'!$P$93</definedName>
    <definedName name="OSRRefP22_11x_0" localSheetId="52">'330'!$P$121:$P$122</definedName>
    <definedName name="OSRRefP22_11x_0" localSheetId="58">'331'!$P$112</definedName>
    <definedName name="OSRRefP22_11x_0" localSheetId="60">'332'!$P$81:$P$82</definedName>
    <definedName name="OSRRefP22_11x_0" localSheetId="76">'405'!$P$69</definedName>
    <definedName name="OSRRefP22_11x_0" localSheetId="77">'406'!$P$76:$P$77</definedName>
    <definedName name="OSRRefP22_11x_0" localSheetId="78">'411'!$P$65:$P$69</definedName>
    <definedName name="OSRRefP22_11x_0" localSheetId="79">'412'!$P$70:$P$75</definedName>
    <definedName name="OSRRefP22_11x_0" localSheetId="80">'413'!$P$74</definedName>
    <definedName name="OSRRefP22_11x_0" localSheetId="81">'414'!$P$68</definedName>
    <definedName name="OSRRefP22_11x_0" localSheetId="82">'415'!$P$67:$P$69</definedName>
    <definedName name="OSRRefP22_11x_0" localSheetId="83">'418'!$P$73</definedName>
    <definedName name="OSRRefP22_11x_0" localSheetId="86">'424'!$P$69:$P$70</definedName>
    <definedName name="OSRRefP22_11x_0" localSheetId="87">'425'!$P$70:$P$71</definedName>
    <definedName name="OSRRefP22_11x_0" localSheetId="91">'433'!$P$68:$P$71</definedName>
    <definedName name="OSRRefP22_11x_0" localSheetId="93">'444'!$P$67:$P$69</definedName>
    <definedName name="OSRRefP22_11x_0" localSheetId="94">'450'!$P$68:$P$70</definedName>
    <definedName name="OSRRefP22_11x_0" localSheetId="75">'491'!$P$78</definedName>
    <definedName name="OSRRefP22_11x_0" localSheetId="89">'492'!$P$71</definedName>
    <definedName name="OSRRefP22_11x_0" localSheetId="96">'501'!$P$61:$P$63</definedName>
    <definedName name="OSRRefP22_11x_0" localSheetId="39">'Div 2'!$P$62</definedName>
    <definedName name="OSRRefP22_11x_0" localSheetId="47">'Div 3'!$P$211</definedName>
    <definedName name="OSRRefP22_11x_0" localSheetId="73">'Div 4'!$P$81</definedName>
    <definedName name="OSRRefP22_11x_0" localSheetId="95">'Div 5'!$P$61:$P$63</definedName>
    <definedName name="OSRRefP22_11x_0" localSheetId="2">Summary!$P$244:$P$245</definedName>
    <definedName name="OSRRefP22_12x_0" localSheetId="41">'201'!$P$66</definedName>
    <definedName name="OSRRefP22_12x_0" localSheetId="42">'202'!$P$64</definedName>
    <definedName name="OSRRefP22_12x_0" localSheetId="43">'203'!$P$64:$P$66</definedName>
    <definedName name="OSRRefP22_12x_0" localSheetId="44">'204'!$P$66:$P$67</definedName>
    <definedName name="OSRRefP22_12x_0" localSheetId="48">'300'!$P$207</definedName>
    <definedName name="OSRRefP22_12x_0" localSheetId="49">'300 &amp; 317'!$P$232</definedName>
    <definedName name="OSRRefP22_12x_0" localSheetId="50">'301'!$P$67</definedName>
    <definedName name="OSRRefP22_12x_0" localSheetId="53">'307'!$P$115</definedName>
    <definedName name="OSRRefP22_12x_0" localSheetId="55">'308'!$P$108:$P$109</definedName>
    <definedName name="OSRRefP22_12x_0" localSheetId="66">'309'!$P$72</definedName>
    <definedName name="OSRRefP22_12x_0" localSheetId="65">'310'!$P$76</definedName>
    <definedName name="OSRRefP22_12x_0" localSheetId="74">'310 &amp; 491'!$P$86</definedName>
    <definedName name="OSRRefP22_12x_0" localSheetId="56">'311'!$P$108:$P$109</definedName>
    <definedName name="OSRRefP22_12x_0" localSheetId="67">'313'!$P$72:$P$76</definedName>
    <definedName name="OSRRefP22_12x_0" localSheetId="59">'315'!$P$103:$P$106</definedName>
    <definedName name="OSRRefP22_12x_0" localSheetId="61">'316'!$P$78:$P$79</definedName>
    <definedName name="OSRRefP22_12x_0" localSheetId="68">'321'!$P$71:$P$73</definedName>
    <definedName name="OSRRefP22_12x_0" localSheetId="69">'322'!$P$76</definedName>
    <definedName name="OSRRefP22_12x_0" localSheetId="70">'325'!$P$71:$P$74</definedName>
    <definedName name="OSRRefP22_12x_0" localSheetId="71">'326'!$P$95</definedName>
    <definedName name="OSRRefP22_12x_0" localSheetId="52">'330'!$P$124</definedName>
    <definedName name="OSRRefP22_12x_0" localSheetId="58">'331'!$P$114</definedName>
    <definedName name="OSRRefP22_12x_0" localSheetId="60">'332'!$P$84:$P$88</definedName>
    <definedName name="OSRRefP22_12x_0" localSheetId="76">'405'!$P$71:$P$73</definedName>
    <definedName name="OSRRefP22_12x_0" localSheetId="77">'406'!$P$79</definedName>
    <definedName name="OSRRefP22_12x_0" localSheetId="78">'411'!$P$71:$P$77</definedName>
    <definedName name="OSRRefP22_12x_0" localSheetId="79">'412'!$P$77</definedName>
    <definedName name="OSRRefP22_12x_0" localSheetId="81">'414'!$P$70</definedName>
    <definedName name="OSRRefP22_12x_0" localSheetId="82">'415'!$P$71:$P$75</definedName>
    <definedName name="OSRRefP22_12x_0" localSheetId="83">'418'!$P$75:$P$81</definedName>
    <definedName name="OSRRefP22_12x_0" localSheetId="87">'425'!$P$73:$P$78</definedName>
    <definedName name="OSRRefP22_12x_0" localSheetId="91">'433'!$P$73:$P$79</definedName>
    <definedName name="OSRRefP22_12x_0" localSheetId="93">'444'!$P$71:$P$74</definedName>
    <definedName name="OSRRefP22_12x_0" localSheetId="94">'450'!$P$72:$P$74</definedName>
    <definedName name="OSRRefP22_12x_0" localSheetId="75">'491'!$P$80</definedName>
    <definedName name="OSRRefP22_12x_0" localSheetId="89">'492'!$P$73:$P$76</definedName>
    <definedName name="OSRRefP22_12x_0" localSheetId="96">'501'!$P$65</definedName>
    <definedName name="OSRRefP22_12x_0" localSheetId="39">'Div 2'!$P$64:$P$66</definedName>
    <definedName name="OSRRefP22_12x_0" localSheetId="47">'Div 3'!$P$213</definedName>
    <definedName name="OSRRefP22_12x_0" localSheetId="73">'Div 4'!$P$83</definedName>
    <definedName name="OSRRefP22_12x_0" localSheetId="95">'Div 5'!$P$65</definedName>
    <definedName name="OSRRefP22_12x_0" localSheetId="2">Summary!$P$247</definedName>
    <definedName name="OSRRefP22_13x_0" localSheetId="41">'201'!$P$68:$P$70</definedName>
    <definedName name="OSRRefP22_13x_0" localSheetId="42">'202'!$P$66</definedName>
    <definedName name="OSRRefP22_13x_0" localSheetId="43">'203'!$P$68</definedName>
    <definedName name="OSRRefP22_13x_0" localSheetId="48">'300'!$P$209</definedName>
    <definedName name="OSRRefP22_13x_0" localSheetId="49">'300 &amp; 317'!$P$234</definedName>
    <definedName name="OSRRefP22_13x_0" localSheetId="50">'301'!$P$69</definedName>
    <definedName name="OSRRefP22_13x_0" localSheetId="55">'308'!$P$111</definedName>
    <definedName name="OSRRefP22_13x_0" localSheetId="65">'310'!$P$78</definedName>
    <definedName name="OSRRefP22_13x_0" localSheetId="74">'310 &amp; 491'!$P$88</definedName>
    <definedName name="OSRRefP22_13x_0" localSheetId="56">'311'!$P$111</definedName>
    <definedName name="OSRRefP22_13x_0" localSheetId="67">'313'!$P$78</definedName>
    <definedName name="OSRRefP22_13x_0" localSheetId="59">'315'!$P$108</definedName>
    <definedName name="OSRRefP22_13x_0" localSheetId="61">'316'!$P$81</definedName>
    <definedName name="OSRRefP22_13x_0" localSheetId="68">'321'!$P$75</definedName>
    <definedName name="OSRRefP22_13x_0" localSheetId="69">'322'!$P$78</definedName>
    <definedName name="OSRRefP22_13x_0" localSheetId="70">'325'!$P$76</definedName>
    <definedName name="OSRRefP22_13x_0" localSheetId="71">'326'!$P$97:$P$98</definedName>
    <definedName name="OSRRefP22_13x_0" localSheetId="52">'330'!$P$126</definedName>
    <definedName name="OSRRefP22_13x_0" localSheetId="58">'331'!$P$116</definedName>
    <definedName name="OSRRefP22_13x_0" localSheetId="60">'332'!$P$90:$P$91</definedName>
    <definedName name="OSRRefP22_13x_0" localSheetId="76">'405'!$P$75</definedName>
    <definedName name="OSRRefP22_13x_0" localSheetId="77">'406'!$P$81</definedName>
    <definedName name="OSRRefP22_13x_0" localSheetId="78">'411'!$P$79</definedName>
    <definedName name="OSRRefP22_13x_0" localSheetId="79">'412'!$P$79</definedName>
    <definedName name="OSRRefP22_13x_0" localSheetId="81">'414'!$P$72:$P$78</definedName>
    <definedName name="OSRRefP22_13x_0" localSheetId="82">'415'!$P$77</definedName>
    <definedName name="OSRRefP22_13x_0" localSheetId="83">'418'!$P$83</definedName>
    <definedName name="OSRRefP22_13x_0" localSheetId="87">'425'!$P$80:$P$81</definedName>
    <definedName name="OSRRefP22_13x_0" localSheetId="91">'433'!$P$81</definedName>
    <definedName name="OSRRefP22_13x_0" localSheetId="93">'444'!$P$76:$P$83</definedName>
    <definedName name="OSRRefP22_13x_0" localSheetId="94">'450'!$P$76:$P$81</definedName>
    <definedName name="OSRRefP22_13x_0" localSheetId="75">'491'!$P$82</definedName>
    <definedName name="OSRRefP22_13x_0" localSheetId="89">'492'!$P$78:$P$81</definedName>
    <definedName name="OSRRefP22_13x_0" localSheetId="39">'Div 2'!$P$68:$P$71</definedName>
    <definedName name="OSRRefP22_13x_0" localSheetId="47">'Div 3'!$P$215</definedName>
    <definedName name="OSRRefP22_13x_0" localSheetId="73">'Div 4'!$P$85</definedName>
    <definedName name="OSRRefP22_13x_0" localSheetId="2">Summary!$P$249</definedName>
    <definedName name="OSRRefP22_14x_0" localSheetId="41">'201'!$P$72</definedName>
    <definedName name="OSRRefP22_14x_0" localSheetId="42">'202'!$P$68:$P$69</definedName>
    <definedName name="OSRRefP22_14x_0" localSheetId="43">'203'!$P$70</definedName>
    <definedName name="OSRRefP22_14x_0" localSheetId="48">'300'!$P$211</definedName>
    <definedName name="OSRRefP22_14x_0" localSheetId="49">'300 &amp; 317'!$P$236</definedName>
    <definedName name="OSRRefP22_14x_0" localSheetId="50">'301'!$P$71</definedName>
    <definedName name="OSRRefP22_14x_0" localSheetId="55">'308'!$P$113:$P$114</definedName>
    <definedName name="OSRRefP22_14x_0" localSheetId="65">'310'!$P$80</definedName>
    <definedName name="OSRRefP22_14x_0" localSheetId="74">'310 &amp; 491'!$P$90</definedName>
    <definedName name="OSRRefP22_14x_0" localSheetId="56">'311'!$P$113:$P$114</definedName>
    <definedName name="OSRRefP22_14x_0" localSheetId="67">'313'!$P$80</definedName>
    <definedName name="OSRRefP22_14x_0" localSheetId="59">'315'!$P$110</definedName>
    <definedName name="OSRRefP22_14x_0" localSheetId="68">'321'!$P$77</definedName>
    <definedName name="OSRRefP22_14x_0" localSheetId="70">'325'!$P$78:$P$84</definedName>
    <definedName name="OSRRefP22_14x_0" localSheetId="71">'326'!$P$100:$P$102</definedName>
    <definedName name="OSRRefP22_14x_0" localSheetId="58">'331'!$P$118:$P$119</definedName>
    <definedName name="OSRRefP22_14x_0" localSheetId="60">'332'!$P$93</definedName>
    <definedName name="OSRRefP22_14x_0" localSheetId="76">'405'!$P$77:$P$85</definedName>
    <definedName name="OSRRefP22_14x_0" localSheetId="78">'411'!$P$81</definedName>
    <definedName name="OSRRefP22_14x_0" localSheetId="81">'414'!$P$80</definedName>
    <definedName name="OSRRefP22_14x_0" localSheetId="82">'415'!$P$79:$P$86</definedName>
    <definedName name="OSRRefP22_14x_0" localSheetId="83">'418'!$P$85</definedName>
    <definedName name="OSRRefP22_14x_0" localSheetId="87">'425'!$P$83</definedName>
    <definedName name="OSRRefP22_14x_0" localSheetId="91">'433'!$P$83</definedName>
    <definedName name="OSRRefP22_14x_0" localSheetId="93">'444'!$P$85</definedName>
    <definedName name="OSRRefP22_14x_0" localSheetId="94">'450'!$P$83</definedName>
    <definedName name="OSRRefP22_14x_0" localSheetId="75">'491'!$P$84:$P$87</definedName>
    <definedName name="OSRRefP22_14x_0" localSheetId="89">'492'!$P$83:$P$91</definedName>
    <definedName name="OSRRefP22_14x_0" localSheetId="39">'Div 2'!$P$73:$P$76</definedName>
    <definedName name="OSRRefP22_14x_0" localSheetId="47">'Div 3'!$P$217</definedName>
    <definedName name="OSRRefP22_14x_0" localSheetId="73">'Div 4'!$P$87</definedName>
    <definedName name="OSRRefP22_14x_0" localSheetId="2">Summary!$P$251</definedName>
    <definedName name="OSRRefP22_15x_0" localSheetId="41">'201'!$P$74</definedName>
    <definedName name="OSRRefP22_15x_0" localSheetId="42">'202'!$P$71</definedName>
    <definedName name="OSRRefP22_15x_0" localSheetId="43">'203'!$P$72</definedName>
    <definedName name="OSRRefP22_15x_0" localSheetId="48">'300'!$P$213</definedName>
    <definedName name="OSRRefP22_15x_0" localSheetId="49">'300 &amp; 317'!$P$238</definedName>
    <definedName name="OSRRefP22_15x_0" localSheetId="50">'301'!$P$73:$P$75</definedName>
    <definedName name="OSRRefP22_15x_0" localSheetId="65">'310'!$P$82:$P$84</definedName>
    <definedName name="OSRRefP22_15x_0" localSheetId="74">'310 &amp; 491'!$P$92</definedName>
    <definedName name="OSRRefP22_15x_0" localSheetId="59">'315'!$P$112:$P$113</definedName>
    <definedName name="OSRRefP22_15x_0" localSheetId="70">'325'!$P$86</definedName>
    <definedName name="OSRRefP22_15x_0" localSheetId="71">'326'!$P$104:$P$105</definedName>
    <definedName name="OSRRefP22_15x_0" localSheetId="58">'331'!$P$121:$P$123</definedName>
    <definedName name="OSRRefP22_15x_0" localSheetId="76">'405'!$P$87</definedName>
    <definedName name="OSRRefP22_15x_0" localSheetId="78">'411'!$P$83:$P$85</definedName>
    <definedName name="OSRRefP22_15x_0" localSheetId="81">'414'!$P$82</definedName>
    <definedName name="OSRRefP22_15x_0" localSheetId="82">'415'!$P$88</definedName>
    <definedName name="OSRRefP22_15x_0" localSheetId="83">'418'!$P$87</definedName>
    <definedName name="OSRRefP22_15x_0" localSheetId="87">'425'!$P$85</definedName>
    <definedName name="OSRRefP22_15x_0" localSheetId="91">'433'!$P$85:$P$86</definedName>
    <definedName name="OSRRefP22_15x_0" localSheetId="93">'444'!$P$87</definedName>
    <definedName name="OSRRefP22_15x_0" localSheetId="94">'450'!$P$85</definedName>
    <definedName name="OSRRefP22_15x_0" localSheetId="75">'491'!$P$89:$P$91</definedName>
    <definedName name="OSRRefP22_15x_0" localSheetId="89">'492'!$P$93</definedName>
    <definedName name="OSRRefP22_15x_0" localSheetId="39">'Div 2'!$P$78:$P$79</definedName>
    <definedName name="OSRRefP22_15x_0" localSheetId="47">'Div 3'!$P$219</definedName>
    <definedName name="OSRRefP22_15x_0" localSheetId="73">'Div 4'!$P$89</definedName>
    <definedName name="OSRRefP22_15x_0" localSheetId="2">Summary!$P$253</definedName>
    <definedName name="OSRRefP22_16x_0" localSheetId="41">'201'!$P$76:$P$77</definedName>
    <definedName name="OSRRefP22_16x_0" localSheetId="42">'202'!$P$73</definedName>
    <definedName name="OSRRefP22_16x_0" localSheetId="48">'300'!$P$215:$P$217</definedName>
    <definedName name="OSRRefP22_16x_0" localSheetId="49">'300 &amp; 317'!$P$240:$P$242</definedName>
    <definedName name="OSRRefP22_16x_0" localSheetId="50">'301'!$P$77:$P$79</definedName>
    <definedName name="OSRRefP22_16x_0" localSheetId="65">'310'!$P$86:$P$87</definedName>
    <definedName name="OSRRefP22_16x_0" localSheetId="74">'310 &amp; 491'!$P$94</definedName>
    <definedName name="OSRRefP22_16x_0" localSheetId="70">'325'!$P$88</definedName>
    <definedName name="OSRRefP22_16x_0" localSheetId="71">'326'!$P$107:$P$111</definedName>
    <definedName name="OSRRefP22_16x_0" localSheetId="58">'331'!$P$125:$P$127</definedName>
    <definedName name="OSRRefP22_16x_0" localSheetId="76">'405'!$P$89</definedName>
    <definedName name="OSRRefP22_16x_0" localSheetId="78">'411'!$P$87</definedName>
    <definedName name="OSRRefP22_16x_0" localSheetId="82">'415'!$P$90</definedName>
    <definedName name="OSRRefP22_16x_0" localSheetId="93">'444'!$P$89</definedName>
    <definedName name="OSRRefP22_16x_0" localSheetId="94">'450'!$P$87:$P$88</definedName>
    <definedName name="OSRRefP22_16x_0" localSheetId="75">'491'!$P$93:$P$97</definedName>
    <definedName name="OSRRefP22_16x_0" localSheetId="89">'492'!$P$95</definedName>
    <definedName name="OSRRefP22_16x_0" localSheetId="39">'Div 2'!$P$81:$P$82</definedName>
    <definedName name="OSRRefP22_16x_0" localSheetId="47">'Div 3'!$P$221</definedName>
    <definedName name="OSRRefP22_16x_0" localSheetId="73">'Div 4'!$P$91:$P$94</definedName>
    <definedName name="OSRRefP22_16x_0" localSheetId="2">Summary!$P$255</definedName>
    <definedName name="OSRRefP22_17x_0" localSheetId="48">'300'!$P$219:$P$222</definedName>
    <definedName name="OSRRefP22_17x_0" localSheetId="49">'300 &amp; 317'!$P$244:$P$247</definedName>
    <definedName name="OSRRefP22_17x_0" localSheetId="50">'301'!$P$81:$P$82</definedName>
    <definedName name="OSRRefP22_17x_0" localSheetId="65">'310'!$P$89:$P$93</definedName>
    <definedName name="OSRRefP22_17x_0" localSheetId="74">'310 &amp; 491'!$P$96:$P$99</definedName>
    <definedName name="OSRRefP22_17x_0" localSheetId="70">'325'!$P$90</definedName>
    <definedName name="OSRRefP22_17x_0" localSheetId="71">'326'!$P$113:$P$114</definedName>
    <definedName name="OSRRefP22_17x_0" localSheetId="58">'331'!$P$129:$P$130</definedName>
    <definedName name="OSRRefP22_17x_0" localSheetId="76">'405'!$P$91</definedName>
    <definedName name="OSRRefP22_17x_0" localSheetId="82">'415'!$P$92:$P$93</definedName>
    <definedName name="OSRRefP22_17x_0" localSheetId="75">'491'!$P$99</definedName>
    <definedName name="OSRRefP22_17x_0" localSheetId="89">'492'!$P$97:$P$98</definedName>
    <definedName name="OSRRefP22_17x_0" localSheetId="39">'Div 2'!$P$84:$P$87</definedName>
    <definedName name="OSRRefP22_17x_0" localSheetId="47">'Div 3'!$P$223</definedName>
    <definedName name="OSRRefP22_17x_0" localSheetId="73">'Div 4'!$P$96:$P$98</definedName>
    <definedName name="OSRRefP22_17x_0" localSheetId="2">Summary!$P$257</definedName>
    <definedName name="OSRRefP22_18x_0" localSheetId="48">'300'!$P$224:$P$227</definedName>
    <definedName name="OSRRefP22_18x_0" localSheetId="49">'300 &amp; 317'!$P$249:$P$252</definedName>
    <definedName name="OSRRefP22_18x_0" localSheetId="50">'301'!$P$84:$P$89</definedName>
    <definedName name="OSRRefP22_18x_0" localSheetId="65">'310'!$P$95</definedName>
    <definedName name="OSRRefP22_18x_0" localSheetId="74">'310 &amp; 491'!$P$101:$P$103</definedName>
    <definedName name="OSRRefP22_18x_0" localSheetId="70">'325'!$P$92</definedName>
    <definedName name="OSRRefP22_18x_0" localSheetId="71">'326'!$P$116</definedName>
    <definedName name="OSRRefP22_18x_0" localSheetId="58">'331'!$P$132:$P$136</definedName>
    <definedName name="OSRRefP22_18x_0" localSheetId="82">'415'!$P$95</definedName>
    <definedName name="OSRRefP22_18x_0" localSheetId="75">'491'!$P$101:$P$110</definedName>
    <definedName name="OSRRefP22_18x_0" localSheetId="39">'Div 2'!$P$89:$P$90</definedName>
    <definedName name="OSRRefP22_18x_0" localSheetId="47">'Div 3'!$P$225:$P$227</definedName>
    <definedName name="OSRRefP22_18x_0" localSheetId="73">'Div 4'!$P$100:$P$104</definedName>
    <definedName name="OSRRefP22_18x_0" localSheetId="2">Summary!$P$259:$P$262</definedName>
    <definedName name="OSRRefP22_19x_0" localSheetId="48">'300'!$P$229:$P$230</definedName>
    <definedName name="OSRRefP22_19x_0" localSheetId="49">'300 &amp; 317'!$P$254:$P$255</definedName>
    <definedName name="OSRRefP22_19x_0" localSheetId="50">'301'!$P$91</definedName>
    <definedName name="OSRRefP22_19x_0" localSheetId="65">'310'!$P$97:$P$104</definedName>
    <definedName name="OSRRefP22_19x_0" localSheetId="74">'310 &amp; 491'!$P$105:$P$110</definedName>
    <definedName name="OSRRefP22_19x_0" localSheetId="71">'326'!$P$118</definedName>
    <definedName name="OSRRefP22_19x_0" localSheetId="58">'331'!$P$138:$P$139</definedName>
    <definedName name="OSRRefP22_19x_0" localSheetId="75">'491'!$P$112:$P$113</definedName>
    <definedName name="OSRRefP22_19x_0" localSheetId="39">'Div 2'!$P$92</definedName>
    <definedName name="OSRRefP22_19x_0" localSheetId="47">'Div 3'!$P$229:$P$232</definedName>
    <definedName name="OSRRefP22_19x_0" localSheetId="73">'Div 4'!$P$106</definedName>
    <definedName name="OSRRefP22_19x_0" localSheetId="2">Summary!$P$264:$P$267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'300'!$P$169:$P$178</definedName>
    <definedName name="OSRRefP22_1x_0" localSheetId="49">'300 &amp; 317'!$P$194:$P$203</definedName>
    <definedName name="OSRRefP22_1x_0" localSheetId="50">'301'!$P$30:$P$39</definedName>
    <definedName name="OSRRefP22_1x_0" localSheetId="51">'306'!$P$30:$P$39</definedName>
    <definedName name="OSRRefP22_1x_0" localSheetId="53">'307'!$P$80:$P$89</definedName>
    <definedName name="OSRRefP22_1x_0" localSheetId="55">'308'!$P$72:$P$81</definedName>
    <definedName name="OSRRefP22_1x_0" localSheetId="66">'309'!$P$36:$P$45</definedName>
    <definedName name="OSRRefP22_1x_0" localSheetId="65">'310'!$P$43:$P$52</definedName>
    <definedName name="OSRRefP22_1x_0" localSheetId="74">'310 &amp; 491'!$P$51:$P$60</definedName>
    <definedName name="OSRRefP22_1x_0" localSheetId="56">'311'!$P$72:$P$81</definedName>
    <definedName name="OSRRefP22_1x_0" localSheetId="67">'313'!$P$39:$P$48</definedName>
    <definedName name="OSRRefP22_1x_0" localSheetId="54">'314'!$P$67:$P$76</definedName>
    <definedName name="OSRRefP22_1x_0" localSheetId="59">'315'!$P$67:$P$76</definedName>
    <definedName name="OSRRefP22_1x_0" localSheetId="61">'316'!$P$43:$P$52</definedName>
    <definedName name="OSRRefP22_1x_0" localSheetId="64">'317'!$P$71:$P$80</definedName>
    <definedName name="OSRRefP22_1x_0" localSheetId="62">'320'!$P$37:$P$46</definedName>
    <definedName name="OSRRefP22_1x_0" localSheetId="68">'321'!$P$35:$P$44</definedName>
    <definedName name="OSRRefP22_1x_0" localSheetId="69">'322'!$P$36:$P$45</definedName>
    <definedName name="OSRRefP22_1x_0" localSheetId="70">'325'!$P$36:$P$45</definedName>
    <definedName name="OSRRefP22_1x_0" localSheetId="71">'326'!$P$63:$P$72</definedName>
    <definedName name="OSRRefP22_1x_0" localSheetId="72">'327'!$P$26</definedName>
    <definedName name="OSRRefP22_1x_0" localSheetId="52">'330'!$P$89:$P$98</definedName>
    <definedName name="OSRRefP22_1x_0" localSheetId="58">'331'!$P$80:$P$89</definedName>
    <definedName name="OSRRefP22_1x_0" localSheetId="60">'332'!$P$51:$P$60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'412'!$P$36:$P$45</definedName>
    <definedName name="OSRRefP22_1x_0" localSheetId="80">'413'!$P$37:$P$46</definedName>
    <definedName name="OSRRefP22_1x_0" localSheetId="81">'414'!$P$37:$P$46</definedName>
    <definedName name="OSRRefP22_1x_0" localSheetId="82">'415'!$P$36:$P$45</definedName>
    <definedName name="OSRRefP22_1x_0" localSheetId="83">'418'!$P$37:$P$46</definedName>
    <definedName name="OSRRefP22_1x_0" localSheetId="84">'420'!$P$30:$P$33</definedName>
    <definedName name="OSRRefP22_1x_0" localSheetId="85">'423'!$P$31:$P$40</definedName>
    <definedName name="OSRRefP22_1x_0" localSheetId="86">'424'!$P$35:$P$44</definedName>
    <definedName name="OSRRefP22_1x_0" localSheetId="87">'425'!$P$37:$P$46</definedName>
    <definedName name="OSRRefP22_1x_0" localSheetId="90">'430'!$P$30:$P$39</definedName>
    <definedName name="OSRRefP22_1x_0" localSheetId="91">'433'!$P$38:$P$47</definedName>
    <definedName name="OSRRefP22_1x_0" localSheetId="92">'435'!$P$36:$P$45</definedName>
    <definedName name="OSRRefP22_1x_0" localSheetId="93">'444'!$P$38:$P$47</definedName>
    <definedName name="OSRRefP22_1x_0" localSheetId="94">'450'!$P$38:$P$47</definedName>
    <definedName name="OSRRefP22_1x_0" localSheetId="88">'455'!$P$29:$P$38</definedName>
    <definedName name="OSRRefP22_1x_0" localSheetId="75">'491'!$P$45:$P$54</definedName>
    <definedName name="OSRRefP22_1x_0" localSheetId="89">'492'!$P$40:$P$49</definedName>
    <definedName name="OSRRefP22_1x_0" localSheetId="96">'501'!$P$31:$P$40</definedName>
    <definedName name="OSRRefP22_1x_0" localSheetId="39">'Div 2'!$P$32:$P$41</definedName>
    <definedName name="OSRRefP22_1x_0" localSheetId="47">'Div 3'!$P$175:$P$184</definedName>
    <definedName name="OSRRefP22_1x_0" localSheetId="73">'Div 4'!$P$46:$P$55</definedName>
    <definedName name="OSRRefP22_1x_0" localSheetId="95">'Div 5'!$P$31:$P$40</definedName>
    <definedName name="OSRRefP22_1x_0" localSheetId="63">'Div 6'!$P$71:$P$80</definedName>
    <definedName name="OSRRefP22_1x_0" localSheetId="2">Summary!$P$207:$P$216</definedName>
    <definedName name="OSRRefP22_20x_0" localSheetId="48">'300'!$P$232:$P$238</definedName>
    <definedName name="OSRRefP22_20x_0" localSheetId="49">'300 &amp; 317'!$P$257:$P$263</definedName>
    <definedName name="OSRRefP22_20x_0" localSheetId="50">'301'!$P$93</definedName>
    <definedName name="OSRRefP22_20x_0" localSheetId="65">'310'!$P$106</definedName>
    <definedName name="OSRRefP22_20x_0" localSheetId="74">'310 &amp; 491'!$P$112</definedName>
    <definedName name="OSRRefP22_20x_0" localSheetId="71">'326'!$P$120</definedName>
    <definedName name="OSRRefP22_20x_0" localSheetId="58">'331'!$P$141</definedName>
    <definedName name="OSRRefP22_20x_0" localSheetId="75">'491'!$P$115</definedName>
    <definedName name="OSRRefP22_20x_0" localSheetId="39">'Div 2'!$P$94:$P$95</definedName>
    <definedName name="OSRRefP22_20x_0" localSheetId="47">'Div 3'!$P$234:$P$239</definedName>
    <definedName name="OSRRefP22_20x_0" localSheetId="73">'Div 4'!$P$108:$P$117</definedName>
    <definedName name="OSRRefP22_20x_0" localSheetId="2">Summary!$P$269:$P$274</definedName>
    <definedName name="OSRRefP22_21x_0" localSheetId="48">'300'!$P$240:$P$241</definedName>
    <definedName name="OSRRefP22_21x_0" localSheetId="49">'300 &amp; 317'!$P$265:$P$266</definedName>
    <definedName name="OSRRefP22_21x_0" localSheetId="50">'301'!$P$95:$P$96</definedName>
    <definedName name="OSRRefP22_21x_0" localSheetId="65">'310'!$P$108</definedName>
    <definedName name="OSRRefP22_21x_0" localSheetId="74">'310 &amp; 491'!$P$114:$P$123</definedName>
    <definedName name="OSRRefP22_21x_0" localSheetId="58">'331'!$P$143:$P$144</definedName>
    <definedName name="OSRRefP22_21x_0" localSheetId="75">'491'!$P$117:$P$119</definedName>
    <definedName name="OSRRefP22_21x_0" localSheetId="47">'Div 3'!$P$241:$P$242</definedName>
    <definedName name="OSRRefP22_21x_0" localSheetId="73">'Div 4'!$P$119:$P$120</definedName>
    <definedName name="OSRRefP22_21x_0" localSheetId="2">Summary!$P$276:$P$277</definedName>
    <definedName name="OSRRefP22_22x_0" localSheetId="48">'300'!$P$243</definedName>
    <definedName name="OSRRefP22_22x_0" localSheetId="49">'300 &amp; 317'!$P$268</definedName>
    <definedName name="OSRRefP22_22x_0" localSheetId="50">'301'!$P$98</definedName>
    <definedName name="OSRRefP22_22x_0" localSheetId="65">'310'!$P$110</definedName>
    <definedName name="OSRRefP22_22x_0" localSheetId="74">'310 &amp; 491'!$P$125:$P$126</definedName>
    <definedName name="OSRRefP22_22x_0" localSheetId="58">'331'!$P$146</definedName>
    <definedName name="OSRRefP22_22x_0" localSheetId="75">'491'!$P$121</definedName>
    <definedName name="OSRRefP22_22x_0" localSheetId="47">'Div 3'!$P$244:$P$251</definedName>
    <definedName name="OSRRefP22_22x_0" localSheetId="73">'Div 4'!$P$122</definedName>
    <definedName name="OSRRefP22_22x_0" localSheetId="2">Summary!$P$279:$P$288</definedName>
    <definedName name="OSRRefP22_23x_0" localSheetId="48">'300'!$P$245:$P$247</definedName>
    <definedName name="OSRRefP22_23x_0" localSheetId="49">'300 &amp; 317'!$P$270:$P$272</definedName>
    <definedName name="OSRRefP22_23x_0" localSheetId="65">'310'!$P$112</definedName>
    <definedName name="OSRRefP22_23x_0" localSheetId="74">'310 &amp; 491'!$P$128</definedName>
    <definedName name="OSRRefP22_23x_0" localSheetId="47">'Div 3'!$P$253:$P$254</definedName>
    <definedName name="OSRRefP22_23x_0" localSheetId="73">'Div 4'!$P$124:$P$126</definedName>
    <definedName name="OSRRefP22_23x_0" localSheetId="2">Summary!$P$290:$P$291</definedName>
    <definedName name="OSRRefP22_24x_0" localSheetId="48">'300'!$P$249</definedName>
    <definedName name="OSRRefP22_24x_0" localSheetId="49">'300 &amp; 317'!$P$274</definedName>
    <definedName name="OSRRefP22_24x_0" localSheetId="74">'310 &amp; 491'!$P$130:$P$132</definedName>
    <definedName name="OSRRefP22_24x_0" localSheetId="47">'Div 3'!$P$256</definedName>
    <definedName name="OSRRefP22_24x_0" localSheetId="73">'Div 4'!$P$128</definedName>
    <definedName name="OSRRefP22_24x_0" localSheetId="2">Summary!$P$293</definedName>
    <definedName name="OSRRefP22_25x_0" localSheetId="74">'310 &amp; 491'!$P$134</definedName>
    <definedName name="OSRRefP22_25x_0" localSheetId="47">'Div 3'!$P$258:$P$260</definedName>
    <definedName name="OSRRefP22_25x_0" localSheetId="2">Summary!$P$295:$P$297</definedName>
    <definedName name="OSRRefP22_26x_0" localSheetId="47">'Div 3'!$P$262</definedName>
    <definedName name="OSRRefP22_26x_0" localSheetId="2">Summary!$P$299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'300'!$P$180</definedName>
    <definedName name="OSRRefP22_2x_0" localSheetId="49">'300 &amp; 317'!$P$205</definedName>
    <definedName name="OSRRefP22_2x_0" localSheetId="50">'301'!$P$41</definedName>
    <definedName name="OSRRefP22_2x_0" localSheetId="51">'306'!$P$41</definedName>
    <definedName name="OSRRefP22_2x_0" localSheetId="53">'307'!$P$91</definedName>
    <definedName name="OSRRefP22_2x_0" localSheetId="55">'308'!$P$83</definedName>
    <definedName name="OSRRefP22_2x_0" localSheetId="66">'309'!$P$47</definedName>
    <definedName name="OSRRefP22_2x_0" localSheetId="65">'310'!$P$54</definedName>
    <definedName name="OSRRefP22_2x_0" localSheetId="74">'310 &amp; 491'!$P$62</definedName>
    <definedName name="OSRRefP22_2x_0" localSheetId="56">'311'!$P$83</definedName>
    <definedName name="OSRRefP22_2x_0" localSheetId="67">'313'!$P$50</definedName>
    <definedName name="OSRRefP22_2x_0" localSheetId="54">'314'!$P$78</definedName>
    <definedName name="OSRRefP22_2x_0" localSheetId="59">'315'!$P$78</definedName>
    <definedName name="OSRRefP22_2x_0" localSheetId="61">'316'!$P$54</definedName>
    <definedName name="OSRRefP22_2x_0" localSheetId="64">'317'!$P$82</definedName>
    <definedName name="OSRRefP22_2x_0" localSheetId="62">'320'!$P$48</definedName>
    <definedName name="OSRRefP22_2x_0" localSheetId="68">'321'!$P$46</definedName>
    <definedName name="OSRRefP22_2x_0" localSheetId="69">'322'!$P$47</definedName>
    <definedName name="OSRRefP22_2x_0" localSheetId="70">'325'!$P$47</definedName>
    <definedName name="OSRRefP22_2x_0" localSheetId="71">'326'!$P$74</definedName>
    <definedName name="OSRRefP22_2x_0" localSheetId="72">'327'!$P$28</definedName>
    <definedName name="OSRRefP22_2x_0" localSheetId="52">'330'!$P$100</definedName>
    <definedName name="OSRRefP22_2x_0" localSheetId="58">'331'!$P$91</definedName>
    <definedName name="OSRRefP22_2x_0" localSheetId="60">'332'!$P$62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'412'!$P$47</definedName>
    <definedName name="OSRRefP22_2x_0" localSheetId="80">'413'!$P$48</definedName>
    <definedName name="OSRRefP22_2x_0" localSheetId="81">'414'!$P$48</definedName>
    <definedName name="OSRRefP22_2x_0" localSheetId="82">'415'!$P$47</definedName>
    <definedName name="OSRRefP22_2x_0" localSheetId="83">'418'!$P$48</definedName>
    <definedName name="OSRRefP22_2x_0" localSheetId="84">'420'!$P$35</definedName>
    <definedName name="OSRRefP22_2x_0" localSheetId="85">'423'!$P$42</definedName>
    <definedName name="OSRRefP22_2x_0" localSheetId="86">'424'!$P$46</definedName>
    <definedName name="OSRRefP22_2x_0" localSheetId="87">'425'!$P$48</definedName>
    <definedName name="OSRRefP22_2x_0" localSheetId="90">'430'!$P$41</definedName>
    <definedName name="OSRRefP22_2x_0" localSheetId="91">'433'!$P$49</definedName>
    <definedName name="OSRRefP22_2x_0" localSheetId="92">'435'!$P$47</definedName>
    <definedName name="OSRRefP22_2x_0" localSheetId="93">'444'!$P$49</definedName>
    <definedName name="OSRRefP22_2x_0" localSheetId="94">'450'!$P$49</definedName>
    <definedName name="OSRRefP22_2x_0" localSheetId="75">'491'!$P$56</definedName>
    <definedName name="OSRRefP22_2x_0" localSheetId="89">'492'!$P$51</definedName>
    <definedName name="OSRRefP22_2x_0" localSheetId="96">'501'!$P$42</definedName>
    <definedName name="OSRRefP22_2x_0" localSheetId="39">'Div 2'!$P$43</definedName>
    <definedName name="OSRRefP22_2x_0" localSheetId="47">'Div 3'!$P$186</definedName>
    <definedName name="OSRRefP22_2x_0" localSheetId="73">'Div 4'!$P$57</definedName>
    <definedName name="OSRRefP22_2x_0" localSheetId="95">'Div 5'!$P$42</definedName>
    <definedName name="OSRRefP22_2x_0" localSheetId="63">'Div 6'!$P$82</definedName>
    <definedName name="OSRRefP22_2x_0" localSheetId="2">Summary!$P$218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</definedName>
    <definedName name="OSRRefP22_3x_0" localSheetId="45">'205'!$P$43</definedName>
    <definedName name="OSRRefP22_3x_0" localSheetId="46">'206'!$P$43</definedName>
    <definedName name="OSRRefP22_3x_0" localSheetId="48">'300'!$P$182:$P$183</definedName>
    <definedName name="OSRRefP22_3x_0" localSheetId="49">'300 &amp; 317'!$P$207:$P$208</definedName>
    <definedName name="OSRRefP22_3x_0" localSheetId="50">'301'!$P$43:$P$44</definedName>
    <definedName name="OSRRefP22_3x_0" localSheetId="51">'306'!$P$43</definedName>
    <definedName name="OSRRefP22_3x_0" localSheetId="53">'307'!$P$93</definedName>
    <definedName name="OSRRefP22_3x_0" localSheetId="55">'308'!$P$85:$P$86</definedName>
    <definedName name="OSRRefP22_3x_0" localSheetId="66">'309'!$P$49</definedName>
    <definedName name="OSRRefP22_3x_0" localSheetId="65">'310'!$P$56</definedName>
    <definedName name="OSRRefP22_3x_0" localSheetId="74">'310 &amp; 491'!$P$64</definedName>
    <definedName name="OSRRefP22_3x_0" localSheetId="56">'311'!$P$85:$P$86</definedName>
    <definedName name="OSRRefP22_3x_0" localSheetId="67">'313'!$P$52</definedName>
    <definedName name="OSRRefP22_3x_0" localSheetId="54">'314'!$P$80:$P$81</definedName>
    <definedName name="OSRRefP22_3x_0" localSheetId="59">'315'!$P$80:$P$81</definedName>
    <definedName name="OSRRefP22_3x_0" localSheetId="61">'316'!$P$56</definedName>
    <definedName name="OSRRefP22_3x_0" localSheetId="64">'317'!$P$84</definedName>
    <definedName name="OSRRefP22_3x_0" localSheetId="62">'320'!$P$50</definedName>
    <definedName name="OSRRefP22_3x_0" localSheetId="68">'321'!$P$48</definedName>
    <definedName name="OSRRefP22_3x_0" localSheetId="69">'322'!$P$49</definedName>
    <definedName name="OSRRefP22_3x_0" localSheetId="70">'325'!$P$49</definedName>
    <definedName name="OSRRefP22_3x_0" localSheetId="71">'326'!$P$76:$P$77</definedName>
    <definedName name="OSRRefP22_3x_0" localSheetId="52">'330'!$P$102</definedName>
    <definedName name="OSRRefP22_3x_0" localSheetId="58">'331'!$P$93:$P$94</definedName>
    <definedName name="OSRRefP22_3x_0" localSheetId="60">'332'!$P$64</definedName>
    <definedName name="OSRRefP22_3x_0" localSheetId="76">'405'!$P$49</definedName>
    <definedName name="OSRRefP22_3x_0" localSheetId="77">'406'!$P$50</definedName>
    <definedName name="OSRRefP22_3x_0" localSheetId="78">'411'!$P$44:$P$47</definedName>
    <definedName name="OSRRefP22_3x_0" localSheetId="79">'412'!$P$49</definedName>
    <definedName name="OSRRefP22_3x_0" localSheetId="80">'413'!$P$50</definedName>
    <definedName name="OSRRefP22_3x_0" localSheetId="81">'414'!$P$50</definedName>
    <definedName name="OSRRefP22_3x_0" localSheetId="82">'415'!$P$49</definedName>
    <definedName name="OSRRefP22_3x_0" localSheetId="83">'418'!$P$50</definedName>
    <definedName name="OSRRefP22_3x_0" localSheetId="84">'420'!$P$37</definedName>
    <definedName name="OSRRefP22_3x_0" localSheetId="85">'423'!$P$44</definedName>
    <definedName name="OSRRefP22_3x_0" localSheetId="86">'424'!$P$48</definedName>
    <definedName name="OSRRefP22_3x_0" localSheetId="87">'425'!$P$50</definedName>
    <definedName name="OSRRefP22_3x_0" localSheetId="90">'430'!$P$43</definedName>
    <definedName name="OSRRefP22_3x_0" localSheetId="91">'433'!$P$51</definedName>
    <definedName name="OSRRefP22_3x_0" localSheetId="92">'435'!$P$49</definedName>
    <definedName name="OSRRefP22_3x_0" localSheetId="93">'444'!$P$51</definedName>
    <definedName name="OSRRefP22_3x_0" localSheetId="94">'450'!$P$51:$P$52</definedName>
    <definedName name="OSRRefP22_3x_0" localSheetId="75">'491'!$P$58</definedName>
    <definedName name="OSRRefP22_3x_0" localSheetId="89">'492'!$P$53:$P$54</definedName>
    <definedName name="OSRRefP22_3x_0" localSheetId="96">'501'!$P$44</definedName>
    <definedName name="OSRRefP22_3x_0" localSheetId="39">'Div 2'!$P$45</definedName>
    <definedName name="OSRRefP22_3x_0" localSheetId="47">'Div 3'!$P$188:$P$189</definedName>
    <definedName name="OSRRefP22_3x_0" localSheetId="73">'Div 4'!$P$59:$P$60</definedName>
    <definedName name="OSRRefP22_3x_0" localSheetId="95">'Div 5'!$P$44</definedName>
    <definedName name="OSRRefP22_3x_0" localSheetId="63">'Div 6'!$P$84</definedName>
    <definedName name="OSRRefP22_3x_0" localSheetId="2">Summary!$P$220:$P$221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</definedName>
    <definedName name="OSRRefP22_4x_0" localSheetId="46">'206'!$P$45</definedName>
    <definedName name="OSRRefP22_4x_0" localSheetId="48">'300'!$P$185</definedName>
    <definedName name="OSRRefP22_4x_0" localSheetId="49">'300 &amp; 317'!$P$210</definedName>
    <definedName name="OSRRefP22_4x_0" localSheetId="50">'301'!$P$46</definedName>
    <definedName name="OSRRefP22_4x_0" localSheetId="51">'306'!$P$45</definedName>
    <definedName name="OSRRefP22_4x_0" localSheetId="53">'307'!$P$95:$P$96</definedName>
    <definedName name="OSRRefP22_4x_0" localSheetId="55">'308'!$P$88</definedName>
    <definedName name="OSRRefP22_4x_0" localSheetId="66">'309'!$P$51</definedName>
    <definedName name="OSRRefP22_4x_0" localSheetId="65">'310'!$P$58</definedName>
    <definedName name="OSRRefP22_4x_0" localSheetId="74">'310 &amp; 491'!$P$66</definedName>
    <definedName name="OSRRefP22_4x_0" localSheetId="56">'311'!$P$88</definedName>
    <definedName name="OSRRefP22_4x_0" localSheetId="67">'313'!$P$54</definedName>
    <definedName name="OSRRefP22_4x_0" localSheetId="54">'314'!$P$83</definedName>
    <definedName name="OSRRefP22_4x_0" localSheetId="59">'315'!$P$83</definedName>
    <definedName name="OSRRefP22_4x_0" localSheetId="61">'316'!$P$58</definedName>
    <definedName name="OSRRefP22_4x_0" localSheetId="64">'317'!$P$86</definedName>
    <definedName name="OSRRefP22_4x_0" localSheetId="62">'320'!$P$52:$P$53</definedName>
    <definedName name="OSRRefP22_4x_0" localSheetId="68">'321'!$P$50</definedName>
    <definedName name="OSRRefP22_4x_0" localSheetId="69">'322'!$P$51</definedName>
    <definedName name="OSRRefP22_4x_0" localSheetId="70">'325'!$P$51</definedName>
    <definedName name="OSRRefP22_4x_0" localSheetId="71">'326'!$P$79</definedName>
    <definedName name="OSRRefP22_4x_0" localSheetId="52">'330'!$P$104:$P$105</definedName>
    <definedName name="OSRRefP22_4x_0" localSheetId="58">'331'!$P$96</definedName>
    <definedName name="OSRRefP22_4x_0" localSheetId="60">'332'!$P$66</definedName>
    <definedName name="OSRRefP22_4x_0" localSheetId="76">'405'!$P$51</definedName>
    <definedName name="OSRRefP22_4x_0" localSheetId="77">'406'!$P$52</definedName>
    <definedName name="OSRRefP22_4x_0" localSheetId="78">'411'!$P$49</definedName>
    <definedName name="OSRRefP22_4x_0" localSheetId="79">'412'!$P$51</definedName>
    <definedName name="OSRRefP22_4x_0" localSheetId="80">'413'!$P$52</definedName>
    <definedName name="OSRRefP22_4x_0" localSheetId="81">'414'!$P$52</definedName>
    <definedName name="OSRRefP22_4x_0" localSheetId="82">'415'!$P$51</definedName>
    <definedName name="OSRRefP22_4x_0" localSheetId="83">'418'!$P$52</definedName>
    <definedName name="OSRRefP22_4x_0" localSheetId="85">'423'!$P$46</definedName>
    <definedName name="OSRRefP22_4x_0" localSheetId="86">'424'!$P$50</definedName>
    <definedName name="OSRRefP22_4x_0" localSheetId="87">'425'!$P$52</definedName>
    <definedName name="OSRRefP22_4x_0" localSheetId="90">'430'!$P$45</definedName>
    <definedName name="OSRRefP22_4x_0" localSheetId="91">'433'!$P$53</definedName>
    <definedName name="OSRRefP22_4x_0" localSheetId="92">'435'!$P$51</definedName>
    <definedName name="OSRRefP22_4x_0" localSheetId="93">'444'!$P$53</definedName>
    <definedName name="OSRRefP22_4x_0" localSheetId="94">'450'!$P$54</definedName>
    <definedName name="OSRRefP22_4x_0" localSheetId="75">'491'!$P$60</definedName>
    <definedName name="OSRRefP22_4x_0" localSheetId="89">'492'!$P$56</definedName>
    <definedName name="OSRRefP22_4x_0" localSheetId="96">'501'!$P$46</definedName>
    <definedName name="OSRRefP22_4x_0" localSheetId="39">'Div 2'!$P$47</definedName>
    <definedName name="OSRRefP22_4x_0" localSheetId="47">'Div 3'!$P$191</definedName>
    <definedName name="OSRRefP22_4x_0" localSheetId="73">'Div 4'!$P$62</definedName>
    <definedName name="OSRRefP22_4x_0" localSheetId="95">'Div 5'!$P$46</definedName>
    <definedName name="OSRRefP22_4x_0" localSheetId="63">'Div 6'!$P$86</definedName>
    <definedName name="OSRRefP22_4x_0" localSheetId="2">Summary!$P$223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'204'!$P$48</definedName>
    <definedName name="OSRRefP22_5x_0" localSheetId="45">'205'!$P$47:$P$48</definedName>
    <definedName name="OSRRefP22_5x_0" localSheetId="46">'206'!$P$47</definedName>
    <definedName name="OSRRefP22_5x_0" localSheetId="48">'300'!$P$187:$P$190</definedName>
    <definedName name="OSRRefP22_5x_0" localSheetId="49">'300 &amp; 317'!$P$212:$P$215</definedName>
    <definedName name="OSRRefP22_5x_0" localSheetId="50">'301'!$P$48:$P$51</definedName>
    <definedName name="OSRRefP22_5x_0" localSheetId="51">'306'!$P$47</definedName>
    <definedName name="OSRRefP22_5x_0" localSheetId="53">'307'!$P$98</definedName>
    <definedName name="OSRRefP22_5x_0" localSheetId="55">'308'!$P$90</definedName>
    <definedName name="OSRRefP22_5x_0" localSheetId="66">'309'!$P$53:$P$54</definedName>
    <definedName name="OSRRefP22_5x_0" localSheetId="65">'310'!$P$60:$P$62</definedName>
    <definedName name="OSRRefP22_5x_0" localSheetId="74">'310 &amp; 491'!$P$68:$P$71</definedName>
    <definedName name="OSRRefP22_5x_0" localSheetId="56">'311'!$P$90</definedName>
    <definedName name="OSRRefP22_5x_0" localSheetId="67">'313'!$P$56</definedName>
    <definedName name="OSRRefP22_5x_0" localSheetId="54">'314'!$P$85</definedName>
    <definedName name="OSRRefP22_5x_0" localSheetId="59">'315'!$P$85:$P$86</definedName>
    <definedName name="OSRRefP22_5x_0" localSheetId="61">'316'!$P$60</definedName>
    <definedName name="OSRRefP22_5x_0" localSheetId="64">'317'!$P$88</definedName>
    <definedName name="OSRRefP22_5x_0" localSheetId="62">'320'!$P$55</definedName>
    <definedName name="OSRRefP22_5x_0" localSheetId="68">'321'!$P$52</definedName>
    <definedName name="OSRRefP22_5x_0" localSheetId="69">'322'!$P$53:$P$54</definedName>
    <definedName name="OSRRefP22_5x_0" localSheetId="70">'325'!$P$53:$P$55</definedName>
    <definedName name="OSRRefP22_5x_0" localSheetId="71">'326'!$P$81</definedName>
    <definedName name="OSRRefP22_5x_0" localSheetId="52">'330'!$P$107</definedName>
    <definedName name="OSRRefP22_5x_0" localSheetId="58">'331'!$P$98:$P$99</definedName>
    <definedName name="OSRRefP22_5x_0" localSheetId="60">'332'!$P$68</definedName>
    <definedName name="OSRRefP22_5x_0" localSheetId="76">'405'!$P$53:$P$55</definedName>
    <definedName name="OSRRefP22_5x_0" localSheetId="77">'406'!$P$54:$P$55</definedName>
    <definedName name="OSRRefP22_5x_0" localSheetId="78">'411'!$P$51</definedName>
    <definedName name="OSRRefP22_5x_0" localSheetId="79">'412'!$P$53:$P$55</definedName>
    <definedName name="OSRRefP22_5x_0" localSheetId="80">'413'!$P$54</definedName>
    <definedName name="OSRRefP22_5x_0" localSheetId="81">'414'!$P$54:$P$55</definedName>
    <definedName name="OSRRefP22_5x_0" localSheetId="82">'415'!$P$53:$P$55</definedName>
    <definedName name="OSRRefP22_5x_0" localSheetId="83">'418'!$P$54:$P$56</definedName>
    <definedName name="OSRRefP22_5x_0" localSheetId="85">'423'!$P$48</definedName>
    <definedName name="OSRRefP22_5x_0" localSheetId="86">'424'!$P$52</definedName>
    <definedName name="OSRRefP22_5x_0" localSheetId="87">'425'!$P$54:$P$55</definedName>
    <definedName name="OSRRefP22_5x_0" localSheetId="90">'430'!$P$47</definedName>
    <definedName name="OSRRefP22_5x_0" localSheetId="91">'433'!$P$55</definedName>
    <definedName name="OSRRefP22_5x_0" localSheetId="92">'435'!$P$53</definedName>
    <definedName name="OSRRefP22_5x_0" localSheetId="93">'444'!$P$55</definedName>
    <definedName name="OSRRefP22_5x_0" localSheetId="94">'450'!$P$56</definedName>
    <definedName name="OSRRefP22_5x_0" localSheetId="75">'491'!$P$62:$P$65</definedName>
    <definedName name="OSRRefP22_5x_0" localSheetId="89">'492'!$P$58:$P$59</definedName>
    <definedName name="OSRRefP22_5x_0" localSheetId="96">'501'!$P$48</definedName>
    <definedName name="OSRRefP22_5x_0" localSheetId="39">'Div 2'!$P$49</definedName>
    <definedName name="OSRRefP22_5x_0" localSheetId="47">'Div 3'!$P$193:$P$196</definedName>
    <definedName name="OSRRefP22_5x_0" localSheetId="73">'Div 4'!$P$64:$P$67</definedName>
    <definedName name="OSRRefP22_5x_0" localSheetId="95">'Div 5'!$P$48</definedName>
    <definedName name="OSRRefP22_5x_0" localSheetId="63">'Div 6'!$P$88</definedName>
    <definedName name="OSRRefP22_5x_0" localSheetId="2">Summary!$P$225:$P$228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'204'!$P$50</definedName>
    <definedName name="OSRRefP22_6x_0" localSheetId="45">'205'!$P$50</definedName>
    <definedName name="OSRRefP22_6x_0" localSheetId="46">'206'!$P$49</definedName>
    <definedName name="OSRRefP22_6x_0" localSheetId="48">'300'!$P$192:$P$193</definedName>
    <definedName name="OSRRefP22_6x_0" localSheetId="49">'300 &amp; 317'!$P$217:$P$218</definedName>
    <definedName name="OSRRefP22_6x_0" localSheetId="50">'301'!$P$53:$P$54</definedName>
    <definedName name="OSRRefP22_6x_0" localSheetId="51">'306'!$P$49</definedName>
    <definedName name="OSRRefP22_6x_0" localSheetId="53">'307'!$P$100</definedName>
    <definedName name="OSRRefP22_6x_0" localSheetId="55">'308'!$P$92:$P$93</definedName>
    <definedName name="OSRRefP22_6x_0" localSheetId="66">'309'!$P$56</definedName>
    <definedName name="OSRRefP22_6x_0" localSheetId="65">'310'!$P$64</definedName>
    <definedName name="OSRRefP22_6x_0" localSheetId="74">'310 &amp; 491'!$P$73</definedName>
    <definedName name="OSRRefP22_6x_0" localSheetId="56">'311'!$P$92:$P$93</definedName>
    <definedName name="OSRRefP22_6x_0" localSheetId="67">'313'!$P$58</definedName>
    <definedName name="OSRRefP22_6x_0" localSheetId="54">'314'!$P$87</definedName>
    <definedName name="OSRRefP22_6x_0" localSheetId="59">'315'!$P$88</definedName>
    <definedName name="OSRRefP22_6x_0" localSheetId="61">'316'!$P$62</definedName>
    <definedName name="OSRRefP22_6x_0" localSheetId="64">'317'!$P$90</definedName>
    <definedName name="OSRRefP22_6x_0" localSheetId="62">'320'!$P$57</definedName>
    <definedName name="OSRRefP22_6x_0" localSheetId="68">'321'!$P$54</definedName>
    <definedName name="OSRRefP22_6x_0" localSheetId="69">'322'!$P$56</definedName>
    <definedName name="OSRRefP22_6x_0" localSheetId="70">'325'!$P$57</definedName>
    <definedName name="OSRRefP22_6x_0" localSheetId="71">'326'!$P$83</definedName>
    <definedName name="OSRRefP22_6x_0" localSheetId="52">'330'!$P$109</definedName>
    <definedName name="OSRRefP22_6x_0" localSheetId="58">'331'!$P$101</definedName>
    <definedName name="OSRRefP22_6x_0" localSheetId="60">'332'!$P$70</definedName>
    <definedName name="OSRRefP22_6x_0" localSheetId="76">'405'!$P$57</definedName>
    <definedName name="OSRRefP22_6x_0" localSheetId="77">'406'!$P$57</definedName>
    <definedName name="OSRRefP22_6x_0" localSheetId="78">'411'!$P$53</definedName>
    <definedName name="OSRRefP22_6x_0" localSheetId="79">'412'!$P$57</definedName>
    <definedName name="OSRRefP22_6x_0" localSheetId="80">'413'!$P$56</definedName>
    <definedName name="OSRRefP22_6x_0" localSheetId="81">'414'!$P$57</definedName>
    <definedName name="OSRRefP22_6x_0" localSheetId="82">'415'!$P$57</definedName>
    <definedName name="OSRRefP22_6x_0" localSheetId="83">'418'!$P$58</definedName>
    <definedName name="OSRRefP22_6x_0" localSheetId="86">'424'!$P$54</definedName>
    <definedName name="OSRRefP22_6x_0" localSheetId="87">'425'!$P$57</definedName>
    <definedName name="OSRRefP22_6x_0" localSheetId="90">'430'!$P$49</definedName>
    <definedName name="OSRRefP22_6x_0" localSheetId="91">'433'!$P$57</definedName>
    <definedName name="OSRRefP22_6x_0" localSheetId="92">'435'!$P$55:$P$57</definedName>
    <definedName name="OSRRefP22_6x_0" localSheetId="93">'444'!$P$57</definedName>
    <definedName name="OSRRefP22_6x_0" localSheetId="94">'450'!$P$58</definedName>
    <definedName name="OSRRefP22_6x_0" localSheetId="75">'491'!$P$67</definedName>
    <definedName name="OSRRefP22_6x_0" localSheetId="89">'492'!$P$61</definedName>
    <definedName name="OSRRefP22_6x_0" localSheetId="96">'501'!$P$50</definedName>
    <definedName name="OSRRefP22_6x_0" localSheetId="39">'Div 2'!$P$51:$P$52</definedName>
    <definedName name="OSRRefP22_6x_0" localSheetId="47">'Div 3'!$P$198:$P$199</definedName>
    <definedName name="OSRRefP22_6x_0" localSheetId="73">'Div 4'!$P$69:$P$70</definedName>
    <definedName name="OSRRefP22_6x_0" localSheetId="95">'Div 5'!$P$50</definedName>
    <definedName name="OSRRefP22_6x_0" localSheetId="63">'Div 6'!$P$90</definedName>
    <definedName name="OSRRefP22_6x_0" localSheetId="2">Summary!$P$230:$P$231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'204'!$P$52:$P$55</definedName>
    <definedName name="OSRRefP22_7x_0" localSheetId="45">'205'!$P$52:$P$53</definedName>
    <definedName name="OSRRefP22_7x_0" localSheetId="46">'206'!$P$51:$P$52</definedName>
    <definedName name="OSRRefP22_7x_0" localSheetId="48">'300'!$P$195:$P$196</definedName>
    <definedName name="OSRRefP22_7x_0" localSheetId="49">'300 &amp; 317'!$P$220:$P$221</definedName>
    <definedName name="OSRRefP22_7x_0" localSheetId="50">'301'!$P$56:$P$57</definedName>
    <definedName name="OSRRefP22_7x_0" localSheetId="51">'306'!$P$51:$P$52</definedName>
    <definedName name="OSRRefP22_7x_0" localSheetId="53">'307'!$P$102</definedName>
    <definedName name="OSRRefP22_7x_0" localSheetId="55">'308'!$P$95</definedName>
    <definedName name="OSRRefP22_7x_0" localSheetId="66">'309'!$P$58</definedName>
    <definedName name="OSRRefP22_7x_0" localSheetId="65">'310'!$P$66</definedName>
    <definedName name="OSRRefP22_7x_0" localSheetId="74">'310 &amp; 491'!$P$75</definedName>
    <definedName name="OSRRefP22_7x_0" localSheetId="56">'311'!$P$95</definedName>
    <definedName name="OSRRefP22_7x_0" localSheetId="67">'313'!$P$60</definedName>
    <definedName name="OSRRefP22_7x_0" localSheetId="54">'314'!$P$89</definedName>
    <definedName name="OSRRefP22_7x_0" localSheetId="59">'315'!$P$90</definedName>
    <definedName name="OSRRefP22_7x_0" localSheetId="61">'316'!$P$64</definedName>
    <definedName name="OSRRefP22_7x_0" localSheetId="64">'317'!$P$92</definedName>
    <definedName name="OSRRefP22_7x_0" localSheetId="62">'320'!$P$59:$P$60</definedName>
    <definedName name="OSRRefP22_7x_0" localSheetId="68">'321'!$P$56</definedName>
    <definedName name="OSRRefP22_7x_0" localSheetId="69">'322'!$P$58</definedName>
    <definedName name="OSRRefP22_7x_0" localSheetId="70">'325'!$P$59</definedName>
    <definedName name="OSRRefP22_7x_0" localSheetId="71">'326'!$P$85</definedName>
    <definedName name="OSRRefP22_7x_0" localSheetId="52">'330'!$P$111</definedName>
    <definedName name="OSRRefP22_7x_0" localSheetId="58">'331'!$P$103</definedName>
    <definedName name="OSRRefP22_7x_0" localSheetId="60">'332'!$P$72:$P$73</definedName>
    <definedName name="OSRRefP22_7x_0" localSheetId="76">'405'!$P$59</definedName>
    <definedName name="OSRRefP22_7x_0" localSheetId="77">'406'!$P$59</definedName>
    <definedName name="OSRRefP22_7x_0" localSheetId="78">'411'!$P$55</definedName>
    <definedName name="OSRRefP22_7x_0" localSheetId="79">'412'!$P$59</definedName>
    <definedName name="OSRRefP22_7x_0" localSheetId="80">'413'!$P$58:$P$60</definedName>
    <definedName name="OSRRefP22_7x_0" localSheetId="81">'414'!$P$59</definedName>
    <definedName name="OSRRefP22_7x_0" localSheetId="82">'415'!$P$59</definedName>
    <definedName name="OSRRefP22_7x_0" localSheetId="83">'418'!$P$60</definedName>
    <definedName name="OSRRefP22_7x_0" localSheetId="86">'424'!$P$56:$P$57</definedName>
    <definedName name="OSRRefP22_7x_0" localSheetId="87">'425'!$P$59</definedName>
    <definedName name="OSRRefP22_7x_0" localSheetId="90">'430'!$P$51:$P$53</definedName>
    <definedName name="OSRRefP22_7x_0" localSheetId="91">'433'!$P$59</definedName>
    <definedName name="OSRRefP22_7x_0" localSheetId="92">'435'!$P$59</definedName>
    <definedName name="OSRRefP22_7x_0" localSheetId="93">'444'!$P$59</definedName>
    <definedName name="OSRRefP22_7x_0" localSheetId="94">'450'!$P$60</definedName>
    <definedName name="OSRRefP22_7x_0" localSheetId="75">'491'!$P$69</definedName>
    <definedName name="OSRRefP22_7x_0" localSheetId="89">'492'!$P$63</definedName>
    <definedName name="OSRRefP22_7x_0" localSheetId="96">'501'!$P$52</definedName>
    <definedName name="OSRRefP22_7x_0" localSheetId="39">'Div 2'!$P$54</definedName>
    <definedName name="OSRRefP22_7x_0" localSheetId="47">'Div 3'!$P$201:$P$202</definedName>
    <definedName name="OSRRefP22_7x_0" localSheetId="73">'Div 4'!$P$72</definedName>
    <definedName name="OSRRefP22_7x_0" localSheetId="95">'Div 5'!$P$52</definedName>
    <definedName name="OSRRefP22_7x_0" localSheetId="63">'Div 6'!$P$92</definedName>
    <definedName name="OSRRefP22_7x_0" localSheetId="2">Summary!$P$233:$P$235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'204'!$P$57</definedName>
    <definedName name="OSRRefP22_8x_0" localSheetId="45">'205'!$P$55</definedName>
    <definedName name="OSRRefP22_8x_0" localSheetId="46">'206'!$P$54</definedName>
    <definedName name="OSRRefP22_8x_0" localSheetId="48">'300'!$P$198</definedName>
    <definedName name="OSRRefP22_8x_0" localSheetId="49">'300 &amp; 317'!$P$223</definedName>
    <definedName name="OSRRefP22_8x_0" localSheetId="50">'301'!$P$59</definedName>
    <definedName name="OSRRefP22_8x_0" localSheetId="51">'306'!$P$54:$P$56</definedName>
    <definedName name="OSRRefP22_8x_0" localSheetId="53">'307'!$P$104:$P$105</definedName>
    <definedName name="OSRRefP22_8x_0" localSheetId="55">'308'!$P$97</definedName>
    <definedName name="OSRRefP22_8x_0" localSheetId="66">'309'!$P$60:$P$61</definedName>
    <definedName name="OSRRefP22_8x_0" localSheetId="65">'310'!$P$68</definedName>
    <definedName name="OSRRefP22_8x_0" localSheetId="74">'310 &amp; 491'!$P$77</definedName>
    <definedName name="OSRRefP22_8x_0" localSheetId="56">'311'!$P$97</definedName>
    <definedName name="OSRRefP22_8x_0" localSheetId="67">'313'!$P$62</definedName>
    <definedName name="OSRRefP22_8x_0" localSheetId="59">'315'!$P$92</definedName>
    <definedName name="OSRRefP22_8x_0" localSheetId="61">'316'!$P$66</definedName>
    <definedName name="OSRRefP22_8x_0" localSheetId="64">'317'!$P$94:$P$95</definedName>
    <definedName name="OSRRefP22_8x_0" localSheetId="62">'320'!$P$62</definedName>
    <definedName name="OSRRefP22_8x_0" localSheetId="68">'321'!$P$58</definedName>
    <definedName name="OSRRefP22_8x_0" localSheetId="69">'322'!$P$60</definedName>
    <definedName name="OSRRefP22_8x_0" localSheetId="70">'325'!$P$61</definedName>
    <definedName name="OSRRefP22_8x_0" localSheetId="71">'326'!$P$87</definedName>
    <definedName name="OSRRefP22_8x_0" localSheetId="52">'330'!$P$113:$P$114</definedName>
    <definedName name="OSRRefP22_8x_0" localSheetId="58">'331'!$P$105:$P$106</definedName>
    <definedName name="OSRRefP22_8x_0" localSheetId="60">'332'!$P$75</definedName>
    <definedName name="OSRRefP22_8x_0" localSheetId="76">'405'!$P$61</definedName>
    <definedName name="OSRRefP22_8x_0" localSheetId="77">'406'!$P$61:$P$63</definedName>
    <definedName name="OSRRefP22_8x_0" localSheetId="78">'411'!$P$57</definedName>
    <definedName name="OSRRefP22_8x_0" localSheetId="79">'412'!$P$61:$P$62</definedName>
    <definedName name="OSRRefP22_8x_0" localSheetId="80">'413'!$P$62</definedName>
    <definedName name="OSRRefP22_8x_0" localSheetId="81">'414'!$P$61</definedName>
    <definedName name="OSRRefP22_8x_0" localSheetId="82">'415'!$P$61</definedName>
    <definedName name="OSRRefP22_8x_0" localSheetId="83">'418'!$P$62:$P$63</definedName>
    <definedName name="OSRRefP22_8x_0" localSheetId="86">'424'!$P$59:$P$60</definedName>
    <definedName name="OSRRefP22_8x_0" localSheetId="87">'425'!$P$61</definedName>
    <definedName name="OSRRefP22_8x_0" localSheetId="90">'430'!$P$55</definedName>
    <definedName name="OSRRefP22_8x_0" localSheetId="91">'433'!$P$61</definedName>
    <definedName name="OSRRefP22_8x_0" localSheetId="93">'444'!$P$61</definedName>
    <definedName name="OSRRefP22_8x_0" localSheetId="94">'450'!$P$62</definedName>
    <definedName name="OSRRefP22_8x_0" localSheetId="75">'491'!$P$71</definedName>
    <definedName name="OSRRefP22_8x_0" localSheetId="89">'492'!$P$65</definedName>
    <definedName name="OSRRefP22_8x_0" localSheetId="96">'501'!$P$54</definedName>
    <definedName name="OSRRefP22_8x_0" localSheetId="39">'Div 2'!$P$56</definedName>
    <definedName name="OSRRefP22_8x_0" localSheetId="47">'Div 3'!$P$204</definedName>
    <definedName name="OSRRefP22_8x_0" localSheetId="73">'Div 4'!$P$74</definedName>
    <definedName name="OSRRefP22_8x_0" localSheetId="95">'Div 5'!$P$54</definedName>
    <definedName name="OSRRefP22_8x_0" localSheetId="63">'Div 6'!$P$94:$P$95</definedName>
    <definedName name="OSRRefP22_8x_0" localSheetId="2">Summary!$P$237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'204'!$P$59</definedName>
    <definedName name="OSRRefP22_9x_0" localSheetId="45">'205'!$P$57</definedName>
    <definedName name="OSRRefP22_9x_0" localSheetId="46">'206'!$P$56</definedName>
    <definedName name="OSRRefP22_9x_0" localSheetId="48">'300'!$P$200</definedName>
    <definedName name="OSRRefP22_9x_0" localSheetId="49">'300 &amp; 317'!$P$225</definedName>
    <definedName name="OSRRefP22_9x_0" localSheetId="50">'301'!$P$61</definedName>
    <definedName name="OSRRefP22_9x_0" localSheetId="51">'306'!$P$58</definedName>
    <definedName name="OSRRefP22_9x_0" localSheetId="53">'307'!$P$107:$P$108</definedName>
    <definedName name="OSRRefP22_9x_0" localSheetId="55">'308'!$P$99:$P$100</definedName>
    <definedName name="OSRRefP22_9x_0" localSheetId="66">'309'!$P$63:$P$64</definedName>
    <definedName name="OSRRefP22_9x_0" localSheetId="65">'310'!$P$70</definedName>
    <definedName name="OSRRefP22_9x_0" localSheetId="74">'310 &amp; 491'!$P$79</definedName>
    <definedName name="OSRRefP22_9x_0" localSheetId="56">'311'!$P$99:$P$100</definedName>
    <definedName name="OSRRefP22_9x_0" localSheetId="67">'313'!$P$64</definedName>
    <definedName name="OSRRefP22_9x_0" localSheetId="59">'315'!$P$94</definedName>
    <definedName name="OSRRefP22_9x_0" localSheetId="61">'316'!$P$68</definedName>
    <definedName name="OSRRefP22_9x_0" localSheetId="64">'317'!$P$97:$P$98</definedName>
    <definedName name="OSRRefP22_9x_0" localSheetId="68">'321'!$P$60:$P$62</definedName>
    <definedName name="OSRRefP22_9x_0" localSheetId="69">'322'!$P$62:$P$64</definedName>
    <definedName name="OSRRefP22_9x_0" localSheetId="70">'325'!$P$63</definedName>
    <definedName name="OSRRefP22_9x_0" localSheetId="71">'326'!$P$89</definedName>
    <definedName name="OSRRefP22_9x_0" localSheetId="52">'330'!$P$116:$P$117</definedName>
    <definedName name="OSRRefP22_9x_0" localSheetId="58">'331'!$P$108</definedName>
    <definedName name="OSRRefP22_9x_0" localSheetId="60">'332'!$P$77</definedName>
    <definedName name="OSRRefP22_9x_0" localSheetId="76">'405'!$P$63</definedName>
    <definedName name="OSRRefP22_9x_0" localSheetId="77">'406'!$P$65:$P$67</definedName>
    <definedName name="OSRRefP22_9x_0" localSheetId="78">'411'!$P$59</definedName>
    <definedName name="OSRRefP22_9x_0" localSheetId="79">'412'!$P$64</definedName>
    <definedName name="OSRRefP22_9x_0" localSheetId="80">'413'!$P$64:$P$69</definedName>
    <definedName name="OSRRefP22_9x_0" localSheetId="81">'414'!$P$63:$P$64</definedName>
    <definedName name="OSRRefP22_9x_0" localSheetId="82">'415'!$P$63</definedName>
    <definedName name="OSRRefP22_9x_0" localSheetId="83">'418'!$P$65:$P$67</definedName>
    <definedName name="OSRRefP22_9x_0" localSheetId="86">'424'!$P$62</definedName>
    <definedName name="OSRRefP22_9x_0" localSheetId="87">'425'!$P$63:$P$65</definedName>
    <definedName name="OSRRefP22_9x_0" localSheetId="90">'430'!$P$57</definedName>
    <definedName name="OSRRefP22_9x_0" localSheetId="91">'433'!$P$63</definedName>
    <definedName name="OSRRefP22_9x_0" localSheetId="93">'444'!$P$63</definedName>
    <definedName name="OSRRefP22_9x_0" localSheetId="94">'450'!$P$64</definedName>
    <definedName name="OSRRefP22_9x_0" localSheetId="75">'491'!$P$73:$P$74</definedName>
    <definedName name="OSRRefP22_9x_0" localSheetId="89">'492'!$P$67</definedName>
    <definedName name="OSRRefP22_9x_0" localSheetId="96">'501'!$P$56</definedName>
    <definedName name="OSRRefP22_9x_0" localSheetId="39">'Div 2'!$P$58</definedName>
    <definedName name="OSRRefP22_9x_0" localSheetId="47">'Div 3'!$P$206</definedName>
    <definedName name="OSRRefP22_9x_0" localSheetId="73">'Div 4'!$P$76</definedName>
    <definedName name="OSRRefP22_9x_0" localSheetId="95">'Div 5'!$P$56</definedName>
    <definedName name="OSRRefP22_9x_0" localSheetId="63">'Div 6'!$P$97:$P$98</definedName>
    <definedName name="OSRRefP22_9x_0" localSheetId="2">Summary!$P$239</definedName>
    <definedName name="OSRRefP22x_0" localSheetId="40">'200'!$P$20,'200'!$P$22,'200'!$P$24,'200'!$P$26:$P$27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'202'!$P$20:$P$28,'202'!$P$30:$P$39,'202'!$P$41,'202'!$P$43,'202'!$P$45,'202'!$P$47,'202'!$P$49,'202'!$P$51,'202'!$P$53,'202'!$P$55:$P$57,'202'!$P$59,'202'!$P$61:$P$62,'202'!$P$64,'202'!$P$66,'202'!$P$68:$P$69,'202'!$P$71,'202'!$P$73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'204'!$P$20:$P$29,'204'!$P$31:$P$40,'204'!$P$42,'204'!$P$44,'204'!$P$46,'204'!$P$48,'204'!$P$50,'204'!$P$52:$P$55,'204'!$P$57,'204'!$P$59,'204'!$P$61:$P$62,'204'!$P$64,'204'!$P$66:$P$67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$158:$P$167,'300'!$P$169:$P$178,'300'!$P$180,'300'!$P$182:$P$183,'300'!$P$185,'300'!$P$187:$P$190,'300'!$P$192:$P$193,'300'!$P$195:$P$196,'300'!$P$198,'300'!$P$200,'300'!$P$202:$P$203,'300'!$P$205,'300'!$P$207,'300'!$P$209,'300'!$P$211,'300'!$P$213,'300'!$P$215:$P$217,'300'!$P$219:$P$222,'300'!$P$224:$P$227,'300'!$P$229:$P$230,'300'!$P$232:$P$238,'300'!$P$240:$P$241,'300'!$P$243,'300'!$P$245:$P$247,'300'!$P$249</definedName>
    <definedName name="OSRRefP22x_0" localSheetId="49">'300 &amp; 317'!$P$183:$P$192,'300 &amp; 317'!$P$194:$P$203,'300 &amp; 317'!$P$205,'300 &amp; 317'!$P$207:$P$208,'300 &amp; 317'!$P$210,'300 &amp; 317'!$P$212:$P$215,'300 &amp; 317'!$P$217:$P$218,'300 &amp; 317'!$P$220:$P$221,'300 &amp; 317'!$P$223,'300 &amp; 317'!$P$225,'300 &amp; 317'!$P$227:$P$228,'300 &amp; 317'!$P$230,'300 &amp; 317'!$P$232,'300 &amp; 317'!$P$234,'300 &amp; 317'!$P$236,'300 &amp; 317'!$P$238,'300 &amp; 317'!$P$240:$P$242,'300 &amp; 317'!$P$244:$P$247,'300 &amp; 317'!$P$249:$P$252,'300 &amp; 317'!$P$254:$P$255,'300 &amp; 317'!$P$257:$P$263,'300 &amp; 317'!$P$265:$P$266,'300 &amp; 317'!$P$268,'300 &amp; 317'!$P$270:$P$272,'300 &amp; 317'!$P$274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$75,'301'!$P$77:$P$79,'301'!$P$81:$P$82,'301'!$P$84:$P$89,'301'!$P$91,'301'!$P$93,'301'!$P$95:$P$96,'301'!$P$98</definedName>
    <definedName name="OSRRefP22x_0" localSheetId="51">'306'!$P$20:$P$28,'306'!$P$30:$P$39,'306'!$P$41,'306'!$P$43,'306'!$P$45,'306'!$P$47,'306'!$P$49,'306'!$P$51:$P$52,'306'!$P$54:$P$56,'306'!$P$58,'306'!$P$60</definedName>
    <definedName name="OSRRefP22x_0" localSheetId="53">'307'!$P$70:$P$78,'307'!$P$80:$P$89,'307'!$P$91,'307'!$P$93,'307'!$P$95:$P$96,'307'!$P$98,'307'!$P$100,'307'!$P$102,'307'!$P$104:$P$105,'307'!$P$107:$P$108,'307'!$P$110:$P$111,'307'!$P$113,'307'!$P$115</definedName>
    <definedName name="OSRRefP22x_0" localSheetId="55">'308'!$P$61:$P$70,'308'!$P$72:$P$81,'308'!$P$83,'308'!$P$85:$P$86,'308'!$P$88,'308'!$P$90,'308'!$P$92:$P$93,'308'!$P$95,'308'!$P$97,'308'!$P$99:$P$100,'308'!$P$102,'308'!$P$104:$P$106,'308'!$P$108:$P$109,'308'!$P$111,'308'!$P$113:$P$114</definedName>
    <definedName name="OSRRefP22x_0" localSheetId="66">'309'!$P$26:$P$34,'309'!$P$36:$P$45,'309'!$P$47,'309'!$P$49,'309'!$P$51,'309'!$P$53:$P$54,'309'!$P$56,'309'!$P$58,'309'!$P$60:$P$61,'309'!$P$63:$P$64,'309'!$P$66:$P$68,'309'!$P$70,'309'!$P$72</definedName>
    <definedName name="OSRRefP22x_0" localSheetId="65">'310'!$P$33:$P$41,'310'!$P$43:$P$52,'310'!$P$54,'310'!$P$56,'310'!$P$58,'310'!$P$60:$P$62,'310'!$P$64,'310'!$P$66,'310'!$P$68,'310'!$P$70,'310'!$P$72,'310'!$P$74,'310'!$P$76,'310'!$P$78,'310'!$P$80,'310'!$P$82:$P$84,'310'!$P$86:$P$87,'310'!$P$89:$P$93,'310'!$P$95,'310'!$P$97:$P$104,'310'!$P$106,'310'!$P$108,'310'!$P$110,'310'!$P$112</definedName>
    <definedName name="OSRRefP22x_0" localSheetId="74">'310 &amp; 491'!$P$40:$P$49,'310 &amp; 491'!$P$51:$P$60,'310 &amp; 491'!$P$62,'310 &amp; 491'!$P$64,'310 &amp; 491'!$P$66,'310 &amp; 491'!$P$68:$P$71,'310 &amp; 491'!$P$73,'310 &amp; 491'!$P$75,'310 &amp; 491'!$P$77,'310 &amp; 491'!$P$79,'310 &amp; 491'!$P$81,'310 &amp; 491'!$P$83:$P$84,'310 &amp; 491'!$P$86,'310 &amp; 491'!$P$88,'310 &amp; 491'!$P$90,'310 &amp; 491'!$P$92,'310 &amp; 491'!$P$94,'310 &amp; 491'!$P$96:$P$99,'310 &amp; 491'!$P$101:$P$103,'310 &amp; 491'!$P$105:$P$110,'310 &amp; 491'!$P$112,'310 &amp; 491'!$P$114:$P$123,'310 &amp; 491'!$P$125:$P$126,'310 &amp; 491'!$P$128,'310 &amp; 491'!$P$130:$P$132,'310 &amp; 491'!$P$134</definedName>
    <definedName name="OSRRefP22x_0" localSheetId="56">'311'!$P$61:$P$70,'311'!$P$72:$P$81,'311'!$P$83,'311'!$P$85:$P$86,'311'!$P$88,'311'!$P$90,'311'!$P$92:$P$93,'311'!$P$95,'311'!$P$97,'311'!$P$99:$P$100,'311'!$P$102,'311'!$P$104:$P$106,'311'!$P$108:$P$109,'311'!$P$111,'311'!$P$113:$P$114</definedName>
    <definedName name="OSRRefP22x_0" localSheetId="67">'313'!$P$29:$P$37,'313'!$P$39:$P$48,'313'!$P$50,'313'!$P$52,'313'!$P$54,'313'!$P$56,'313'!$P$58,'313'!$P$60,'313'!$P$62,'313'!$P$64,'313'!$P$66:$P$68,'313'!$P$70,'313'!$P$72:$P$76,'313'!$P$78,'313'!$P$80</definedName>
    <definedName name="OSRRefP22x_0" localSheetId="54">'314'!$P$58:$P$65,'314'!$P$67:$P$76,'314'!$P$78,'314'!$P$80:$P$81,'314'!$P$83,'314'!$P$85,'314'!$P$87,'314'!$P$89</definedName>
    <definedName name="OSRRefP22x_0" localSheetId="59">'315'!$P$57:$P$65,'315'!$P$67:$P$76,'315'!$P$78,'315'!$P$80:$P$81,'315'!$P$83,'315'!$P$85:$P$86,'315'!$P$88,'315'!$P$90,'315'!$P$92,'315'!$P$94,'315'!$P$96:$P$98,'315'!$P$100:$P$101,'315'!$P$103:$P$106,'315'!$P$108,'315'!$P$110,'315'!$P$112:$P$113</definedName>
    <definedName name="OSRRefP22x_0" localSheetId="61">'316'!$P$33:$P$41,'316'!$P$43:$P$52,'316'!$P$54,'316'!$P$56,'316'!$P$58,'316'!$P$60,'316'!$P$62,'316'!$P$64,'316'!$P$66,'316'!$P$68,'316'!$P$70:$P$71,'316'!$P$73:$P$76,'316'!$P$78:$P$79,'316'!$P$81</definedName>
    <definedName name="OSRRefP22x_0" localSheetId="64">'317'!$P$60:$P$69,'317'!$P$71:$P$80,'317'!$P$82,'317'!$P$84,'317'!$P$86,'317'!$P$88,'317'!$P$90,'317'!$P$92,'317'!$P$94:$P$95,'317'!$P$97:$P$98,'317'!$P$100</definedName>
    <definedName name="OSRRefP22x_0" localSheetId="62">'320'!$P$28:$P$35,'320'!$P$37:$P$46,'320'!$P$48,'320'!$P$50,'320'!$P$52:$P$53,'320'!$P$55,'320'!$P$57,'320'!$P$59:$P$60,'320'!$P$62</definedName>
    <definedName name="OSRRefP22x_0" localSheetId="68">'321'!$P$26:$P$33,'321'!$P$35:$P$44,'321'!$P$46,'321'!$P$48,'321'!$P$50,'321'!$P$52,'321'!$P$54,'321'!$P$56,'321'!$P$58,'321'!$P$60:$P$62,'321'!$P$64:$P$65,'321'!$P$67:$P$69,'321'!$P$71:$P$73,'321'!$P$75,'321'!$P$77</definedName>
    <definedName name="OSRRefP22x_0" localSheetId="69">'322'!$P$26:$P$34,'322'!$P$36:$P$45,'322'!$P$47,'322'!$P$49,'322'!$P$51,'322'!$P$53:$P$54,'322'!$P$56,'322'!$P$58,'322'!$P$60,'322'!$P$62:$P$64,'322'!$P$66:$P$68,'322'!$P$70:$P$74,'322'!$P$76,'322'!$P$78</definedName>
    <definedName name="OSRRefP22x_0" localSheetId="70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71">'326'!$P$53:$P$61,'326'!$P$63:$P$72,'326'!$P$74,'326'!$P$76:$P$77,'326'!$P$79,'326'!$P$81,'326'!$P$83,'326'!$P$85,'326'!$P$87,'326'!$P$89,'326'!$P$91,'326'!$P$93,'326'!$P$95,'326'!$P$97:$P$98,'326'!$P$100:$P$102,'326'!$P$104:$P$105,'326'!$P$107:$P$111,'326'!$P$113:$P$114,'326'!$P$116,'326'!$P$118,'326'!$P$120</definedName>
    <definedName name="OSRRefP22x_0" localSheetId="72">'327'!$P$24,'327'!$P$26,'327'!$P$28</definedName>
    <definedName name="OSRRefP22x_0" localSheetId="52">'330'!$P$79:$P$87,'330'!$P$89:$P$98,'330'!$P$100,'330'!$P$102,'330'!$P$104:$P$105,'330'!$P$107,'330'!$P$109,'330'!$P$111,'330'!$P$113:$P$114,'330'!$P$116:$P$117,'330'!$P$119,'330'!$P$121:$P$122,'330'!$P$124,'330'!$P$126</definedName>
    <definedName name="OSRRefP22x_0" localSheetId="58">'331'!$P$70:$P$78,'331'!$P$80:$P$89,'331'!$P$91,'331'!$P$93:$P$94,'331'!$P$96,'331'!$P$98:$P$99,'331'!$P$101,'331'!$P$103,'331'!$P$105:$P$106,'331'!$P$108,'331'!$P$110,'331'!$P$112,'331'!$P$114,'331'!$P$116,'331'!$P$118:$P$119,'331'!$P$121:$P$123,'331'!$P$125:$P$127,'331'!$P$129:$P$130,'331'!$P$132:$P$136,'331'!$P$138:$P$139,'331'!$P$141,'331'!$P$143:$P$144,'331'!$P$146</definedName>
    <definedName name="OSRRefP22x_0" localSheetId="60">'332'!$P$41:$P$49,'332'!$P$51:$P$60,'332'!$P$62,'332'!$P$64,'332'!$P$66,'332'!$P$68,'332'!$P$70,'332'!$P$72:$P$73,'332'!$P$75,'332'!$P$77,'332'!$P$79,'332'!$P$81:$P$82,'332'!$P$84:$P$88,'332'!$P$90:$P$91,'332'!$P$93</definedName>
    <definedName name="OSRRefP22x_0" localSheetId="76">'405'!$P$26:$P$34,'405'!$P$36:$P$45,'405'!$P$47,'405'!$P$49,'405'!$P$51,'405'!$P$53:$P$55,'405'!$P$57,'405'!$P$59,'405'!$P$61,'405'!$P$63,'405'!$P$65:$P$67,'405'!$P$69,'405'!$P$71:$P$73,'405'!$P$75,'405'!$P$77:$P$85,'405'!$P$87,'405'!$P$89,'405'!$P$91</definedName>
    <definedName name="OSRRefP22x_0" localSheetId="77">'406'!$P$27:$P$35,'406'!$P$37:$P$46,'406'!$P$48,'406'!$P$50,'406'!$P$52,'406'!$P$54:$P$55,'406'!$P$57,'406'!$P$59,'406'!$P$61:$P$63,'406'!$P$65:$P$67,'406'!$P$69:$P$74,'406'!$P$76:$P$77,'406'!$P$79,'406'!$P$81</definedName>
    <definedName name="OSRRefP22x_0" localSheetId="78">'411'!$P$20:$P$29,'411'!$P$31:$P$40,'411'!$P$42,'411'!$P$44:$P$47,'411'!$P$49,'411'!$P$51,'411'!$P$53,'411'!$P$55,'411'!$P$57,'411'!$P$59,'411'!$P$61:$P$63,'411'!$P$65:$P$69,'411'!$P$71:$P$77,'411'!$P$79,'411'!$P$81,'411'!$P$83:$P$85,'411'!$P$87</definedName>
    <definedName name="OSRRefP22x_0" localSheetId="79">'412'!$P$26:$P$34,'412'!$P$36:$P$45,'412'!$P$47,'412'!$P$49,'412'!$P$51,'412'!$P$53:$P$55,'412'!$P$57,'412'!$P$59,'412'!$P$61:$P$62,'412'!$P$64,'412'!$P$66:$P$68,'412'!$P$70:$P$75,'412'!$P$77,'412'!$P$79</definedName>
    <definedName name="OSRRefP22x_0" localSheetId="80">'413'!$P$27:$P$35,'413'!$P$37:$P$46,'413'!$P$48,'413'!$P$50,'413'!$P$52,'413'!$P$54,'413'!$P$56,'413'!$P$58:$P$60,'413'!$P$62,'413'!$P$64:$P$69,'413'!$P$71:$P$72,'413'!$P$74</definedName>
    <definedName name="OSRRefP22x_0" localSheetId="81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2">'415'!$P$26:$P$34,'415'!$P$36:$P$45,'415'!$P$47,'415'!$P$49,'415'!$P$51,'415'!$P$53:$P$55,'415'!$P$57,'415'!$P$59,'415'!$P$61,'415'!$P$63,'415'!$P$65,'415'!$P$67:$P$69,'415'!$P$71:$P$75,'415'!$P$77,'415'!$P$79:$P$86,'415'!$P$88,'415'!$P$90,'415'!$P$92:$P$93,'415'!$P$95</definedName>
    <definedName name="OSRRefP22x_0" localSheetId="83">'418'!$P$27:$P$35,'418'!$P$37:$P$46,'418'!$P$48,'418'!$P$50,'418'!$P$52,'418'!$P$54:$P$56,'418'!$P$58,'418'!$P$60,'418'!$P$62:$P$63,'418'!$P$65:$P$67,'418'!$P$69:$P$71,'418'!$P$73,'418'!$P$75:$P$81,'418'!$P$83,'418'!$P$85,'418'!$P$87</definedName>
    <definedName name="OSRRefP22x_0" localSheetId="84">'420'!$P$22:$P$28,'420'!$P$30:$P$33,'420'!$P$35,'420'!$P$37</definedName>
    <definedName name="OSRRefP22x_0" localSheetId="85">'423'!$P$21:$P$29,'423'!$P$31:$P$40,'423'!$P$42,'423'!$P$44,'423'!$P$46,'423'!$P$48</definedName>
    <definedName name="OSRRefP22x_0" localSheetId="86">'424'!$P$26:$P$33,'424'!$P$35:$P$44,'424'!$P$46,'424'!$P$48,'424'!$P$50,'424'!$P$52,'424'!$P$54,'424'!$P$56:$P$57,'424'!$P$59:$P$60,'424'!$P$62,'424'!$P$64:$P$67,'424'!$P$69:$P$70</definedName>
    <definedName name="OSRRefP22x_0" localSheetId="87">'425'!$P$27:$P$35,'425'!$P$37:$P$46,'425'!$P$48,'425'!$P$50,'425'!$P$52,'425'!$P$54:$P$55,'425'!$P$57,'425'!$P$59,'425'!$P$61,'425'!$P$63:$P$65,'425'!$P$67:$P$68,'425'!$P$70:$P$71,'425'!$P$73:$P$78,'425'!$P$80:$P$81,'425'!$P$83,'425'!$P$85</definedName>
    <definedName name="OSRRefP22x_0" localSheetId="90">'430'!$P$20:$P$28,'430'!$P$30:$P$39,'430'!$P$41,'430'!$P$43,'430'!$P$45,'430'!$P$47,'430'!$P$49,'430'!$P$51:$P$53,'430'!$P$55,'430'!$P$57,'430'!$P$59</definedName>
    <definedName name="OSRRefP22x_0" localSheetId="91">'433'!$P$27:$P$36,'433'!$P$38:$P$47,'433'!$P$49,'433'!$P$51,'433'!$P$53,'433'!$P$55,'433'!$P$57,'433'!$P$59,'433'!$P$61,'433'!$P$63,'433'!$P$65:$P$66,'433'!$P$68:$P$71,'433'!$P$73:$P$79,'433'!$P$81,'433'!$P$83,'433'!$P$85:$P$86</definedName>
    <definedName name="OSRRefP22x_0" localSheetId="92">'435'!$P$27:$P$34,'435'!$P$36:$P$45,'435'!$P$47,'435'!$P$49,'435'!$P$51,'435'!$P$53,'435'!$P$55:$P$57,'435'!$P$59</definedName>
    <definedName name="OSRRefP22x_0" localSheetId="93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4">'450'!$P$27:$P$36,'450'!$P$38:$P$47,'450'!$P$49,'450'!$P$51:$P$52,'450'!$P$54,'450'!$P$56,'450'!$P$58,'450'!$P$60,'450'!$P$62,'450'!$P$64,'450'!$P$66,'450'!$P$68:$P$70,'450'!$P$72:$P$74,'450'!$P$76:$P$81,'450'!$P$83,'450'!$P$85,'450'!$P$87:$P$88</definedName>
    <definedName name="OSRRefP22x_0" localSheetId="88">'455'!$P$20:$P$27,'455'!$P$29:$P$38</definedName>
    <definedName name="OSRRefP22x_0" localSheetId="75">'491'!$P$34:$P$43,'491'!$P$45:$P$54,'491'!$P$56,'491'!$P$58,'491'!$P$60,'491'!$P$62:$P$65,'491'!$P$67,'491'!$P$69,'491'!$P$71,'491'!$P$73:$P$74,'491'!$P$76,'491'!$P$78,'491'!$P$80,'491'!$P$82,'491'!$P$84:$P$87,'491'!$P$89:$P$91,'491'!$P$93:$P$97,'491'!$P$99,'491'!$P$101:$P$110,'491'!$P$112:$P$113,'491'!$P$115,'491'!$P$117:$P$119,'491'!$P$121</definedName>
    <definedName name="OSRRefP22x_0" localSheetId="89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6">'501'!$P$21:$P$29,'501'!$P$31:$P$40,'501'!$P$42,'501'!$P$44,'501'!$P$46,'501'!$P$48,'501'!$P$50,'501'!$P$52,'501'!$P$54,'501'!$P$56,'501'!$P$58:$P$59,'501'!$P$61:$P$63,'501'!$P$65</definedName>
    <definedName name="OSRRefP22x_0" localSheetId="39">'Div 2'!$P$20:$P$30,'Div 2'!$P$32:$P$41,'Div 2'!$P$43,'Div 2'!$P$45,'Div 2'!$P$47,'Div 2'!$P$49,'Div 2'!$P$51:$P$52,'Div 2'!$P$54,'Div 2'!$P$56,'Div 2'!$P$58,'Div 2'!$P$60,'Div 2'!$P$62,'Div 2'!$P$64:$P$66,'Div 2'!$P$68:$P$71,'Div 2'!$P$73:$P$76,'Div 2'!$P$78:$P$79,'Div 2'!$P$81:$P$82,'Div 2'!$P$84:$P$87,'Div 2'!$P$89:$P$90,'Div 2'!$P$92,'Div 2'!$P$94:$P$95</definedName>
    <definedName name="OSRRefP22x_0" localSheetId="47">'Div 3'!$P$164:$P$173,'Div 3'!$P$175:$P$184,'Div 3'!$P$186,'Div 3'!$P$188:$P$189,'Div 3'!$P$191,'Div 3'!$P$193:$P$196,'Div 3'!$P$198:$P$199,'Div 3'!$P$201:$P$202,'Div 3'!$P$204,'Div 3'!$P$206,'Div 3'!$P$208:$P$209,'Div 3'!$P$211,'Div 3'!$P$213,'Div 3'!$P$215,'Div 3'!$P$217,'Div 3'!$P$219,'Div 3'!$P$221,'Div 3'!$P$223,'Div 3'!$P$225:$P$227,'Div 3'!$P$229:$P$232,'Div 3'!$P$234:$P$239,'Div 3'!$P$241:$P$242,'Div 3'!$P$244:$P$251,'Div 3'!$P$253:$P$254,'Div 3'!$P$256,'Div 3'!$P$258:$P$260,'Div 3'!$P$262</definedName>
    <definedName name="OSRRefP22x_0" localSheetId="73">'Div 4'!$P$35:$P$44,'Div 4'!$P$46:$P$55,'Div 4'!$P$57,'Div 4'!$P$59:$P$60,'Div 4'!$P$62,'Div 4'!$P$64:$P$67,'Div 4'!$P$69:$P$70,'Div 4'!$P$72,'Div 4'!$P$74,'Div 4'!$P$76,'Div 4'!$P$78:$P$79,'Div 4'!$P$81,'Div 4'!$P$83,'Div 4'!$P$85,'Div 4'!$P$87,'Div 4'!$P$89,'Div 4'!$P$91:$P$94,'Div 4'!$P$96:$P$98,'Div 4'!$P$100:$P$104,'Div 4'!$P$106,'Div 4'!$P$108:$P$117,'Div 4'!$P$119:$P$120,'Div 4'!$P$122,'Div 4'!$P$124:$P$126,'Div 4'!$P$128</definedName>
    <definedName name="OSRRefP22x_0" localSheetId="95">'Div 5'!$P$21:$P$29,'Div 5'!$P$31:$P$40,'Div 5'!$P$42,'Div 5'!$P$44,'Div 5'!$P$46,'Div 5'!$P$48,'Div 5'!$P$50,'Div 5'!$P$52,'Div 5'!$P$54,'Div 5'!$P$56,'Div 5'!$P$58:$P$59,'Div 5'!$P$61:$P$63,'Div 5'!$P$65</definedName>
    <definedName name="OSRRefP22x_0" localSheetId="63">'Div 6'!$P$60:$P$69,'Div 6'!$P$71:$P$80,'Div 6'!$P$82,'Div 6'!$P$84,'Div 6'!$P$86,'Div 6'!$P$88,'Div 6'!$P$90,'Div 6'!$P$92,'Div 6'!$P$94:$P$95,'Div 6'!$P$97:$P$98,'Div 6'!$P$100</definedName>
    <definedName name="OSRRefP22x_0" localSheetId="2">Summary!$P$196:$P$205,Summary!$P$207:$P$216,Summary!$P$218,Summary!$P$220:$P$221,Summary!$P$223,Summary!$P$225:$P$228,Summary!$P$230:$P$231,Summary!$P$233:$P$235,Summary!$P$237,Summary!$P$239,Summary!$P$241:$P$242,Summary!$P$244:$P$245,Summary!$P$247,Summary!$P$249,Summary!$P$251,Summary!$P$253,Summary!$P$255,Summary!$P$257,Summary!$P$259:$P$262,Summary!$P$264:$P$267,Summary!$P$269:$P$274,Summary!$P$276:$P$277,Summary!$P$279:$P$288,Summary!$P$290:$P$291,Summary!$P$293,Summary!$P$295:$P$297,Summary!$P$299</definedName>
    <definedName name="OSRRefP25x_0" localSheetId="48">'300'!$P$252:$P$259</definedName>
    <definedName name="OSRRefP25x_0" localSheetId="49">'300 &amp; 317'!$P$277:$P$286</definedName>
    <definedName name="OSRRefP25x_0" localSheetId="50">'301'!$P$101:$P$103</definedName>
    <definedName name="OSRRefP25x_0" localSheetId="55">'308'!$P$117:$P$120</definedName>
    <definedName name="OSRRefP25x_0" localSheetId="74">'310 &amp; 491'!$P$137:$P$140</definedName>
    <definedName name="OSRRefP25x_0" localSheetId="56">'311'!$P$117:$P$120</definedName>
    <definedName name="OSRRefP25x_0" localSheetId="59">'315'!$P$116:$P$118</definedName>
    <definedName name="OSRRefP25x_0" localSheetId="61">'316'!$P$84:$P$85</definedName>
    <definedName name="OSRRefP25x_0" localSheetId="64">'317'!$P$103:$P$105</definedName>
    <definedName name="OSRRefP25x_0" localSheetId="62">'320'!$P$65:$P$69</definedName>
    <definedName name="OSRRefP25x_0" localSheetId="58">'331'!$P$149:$P$151</definedName>
    <definedName name="OSRRefP25x_0" localSheetId="60">'332'!$P$96:$P$102</definedName>
    <definedName name="OSRRefP25x_0" localSheetId="78">'411'!$P$90:$P$91</definedName>
    <definedName name="OSRRefP25x_0" localSheetId="80">'413'!$P$77</definedName>
    <definedName name="OSRRefP25x_0" localSheetId="85">'423'!$P$51</definedName>
    <definedName name="OSRRefP25x_0" localSheetId="86">'424'!$P$73</definedName>
    <definedName name="OSRRefP25x_0" localSheetId="87">'425'!$P$88</definedName>
    <definedName name="OSRRefP25x_0" localSheetId="88">'455'!$P$41:$P$44</definedName>
    <definedName name="OSRRefP25x_0" localSheetId="75">'491'!$P$124:$P$127</definedName>
    <definedName name="OSRRefP25x_0" localSheetId="96">'501'!$P$68</definedName>
    <definedName name="OSRRefP25x_0" localSheetId="47">'Div 3'!$P$265:$P$272</definedName>
    <definedName name="OSRRefP25x_0" localSheetId="73">'Div 4'!$P$131:$P$134</definedName>
    <definedName name="OSRRefP25x_0" localSheetId="95">'Div 5'!$P$68</definedName>
    <definedName name="OSRRefP25x_0" localSheetId="63">'Div 6'!$P$103:$P$105</definedName>
    <definedName name="OSRRefP25x_0" localSheetId="2">Summary!$P$302:$P$312</definedName>
    <definedName name="OSRRefT13x_0" localSheetId="48">'300'!$T$13:$T$101</definedName>
    <definedName name="OSRRefT13x_0" localSheetId="49">'300 &amp; 317'!$T$13:$T$119</definedName>
    <definedName name="OSRRefT13x_0" localSheetId="53">'307'!$T$13:$T$42</definedName>
    <definedName name="OSRRefT13x_0" localSheetId="55">'308'!$T$13:$T$39</definedName>
    <definedName name="OSRRefT13x_0" localSheetId="66">'309'!$T$13:$T$15</definedName>
    <definedName name="OSRRefT13x_0" localSheetId="65">'310'!$T$13:$T$22</definedName>
    <definedName name="OSRRefT13x_0" localSheetId="74">'310 &amp; 491'!$T$13:$T$29</definedName>
    <definedName name="OSRRefT13x_0" localSheetId="56">'311'!$T$13:$T$39</definedName>
    <definedName name="OSRRefT13x_0" localSheetId="67">'313'!$T$13:$T$18</definedName>
    <definedName name="OSRRefT13x_0" localSheetId="54">'314'!$T$13:$T$34</definedName>
    <definedName name="OSRRefT13x_0" localSheetId="59">'315'!$T$13:$T$33</definedName>
    <definedName name="OSRRefT13x_0" localSheetId="61">'316'!$T$13:$T$25</definedName>
    <definedName name="OSRRefT13x_0" localSheetId="64">'317'!$T$13:$T$38</definedName>
    <definedName name="OSRRefT13x_0" localSheetId="62">'320'!$T$13:$T$15</definedName>
    <definedName name="OSRRefT13x_0" localSheetId="68">'321'!$T$13:$T$15</definedName>
    <definedName name="OSRRefT13x_0" localSheetId="69">'322'!$T$13:$T$15</definedName>
    <definedName name="OSRRefT13x_0" localSheetId="57">'324'!$T$13:$T$15</definedName>
    <definedName name="OSRRefT13x_0" localSheetId="70">'325'!$T$13:$T$15</definedName>
    <definedName name="OSRRefT13x_0" localSheetId="71">'326'!$T$13:$T$31</definedName>
    <definedName name="OSRRefT13x_0" localSheetId="72">'327'!$T$13:$T$14</definedName>
    <definedName name="OSRRefT13x_0" localSheetId="52">'330'!$T$13:$T$47</definedName>
    <definedName name="OSRRefT13x_0" localSheetId="58">'331'!$T$13:$T$40</definedName>
    <definedName name="OSRRefT13x_0" localSheetId="60">'332'!$T$13:$T$28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0">'413'!$T$13:$T$16</definedName>
    <definedName name="OSRRefT13x_0" localSheetId="81">'414'!$T$13:$T$16</definedName>
    <definedName name="OSRRefT13x_0" localSheetId="82">'415'!$T$13:$T$15</definedName>
    <definedName name="OSRRefT13x_0" localSheetId="83">'418'!$T$13:$T$16</definedName>
    <definedName name="OSRRefT13x_0" localSheetId="84">'420'!$T$13:$T$14</definedName>
    <definedName name="OSRRefT13x_0" localSheetId="86">'424'!$T$13:$T$15</definedName>
    <definedName name="OSRRefT13x_0" localSheetId="87">'425'!$T$13:$T$16</definedName>
    <definedName name="OSRRefT13x_0" localSheetId="91">'433'!$T$13:$T$16</definedName>
    <definedName name="OSRRefT13x_0" localSheetId="92">'435'!$T$13:$T$16</definedName>
    <definedName name="OSRRefT13x_0" localSheetId="93">'444'!$T$13:$T$16</definedName>
    <definedName name="OSRRefT13x_0" localSheetId="94">'450'!$T$13:$T$16</definedName>
    <definedName name="OSRRefT13x_0" localSheetId="75">'491'!$T$13:$T$23</definedName>
    <definedName name="OSRRefT13x_0" localSheetId="89">'492'!$T$13:$T$18</definedName>
    <definedName name="OSRRefT13x_0" localSheetId="96">'501'!$T$13</definedName>
    <definedName name="OSRRefT13x_0" localSheetId="47">'Div 3'!$T$13:$T$105</definedName>
    <definedName name="OSRRefT13x_0" localSheetId="73">'Div 4'!$T$13:$T$24</definedName>
    <definedName name="OSRRefT13x_0" localSheetId="95">'Div 5'!$T$13</definedName>
    <definedName name="OSRRefT13x_0" localSheetId="63">'Div 6'!$T$13:$T$38</definedName>
    <definedName name="OSRRefT13x_0" localSheetId="2">Summary!$T$13:$T$130</definedName>
    <definedName name="OSRRefT16x_0" localSheetId="48">'300'!$T$104:$T$152</definedName>
    <definedName name="OSRRefT16x_0" localSheetId="49">'300 &amp; 317'!$T$122:$T$177</definedName>
    <definedName name="OSRRefT16x_0" localSheetId="53">'307'!$T$45:$T$64</definedName>
    <definedName name="OSRRefT16x_0" localSheetId="55">'308'!$T$42:$T$55</definedName>
    <definedName name="OSRRefT16x_0" localSheetId="66">'309'!$T$18:$T$20</definedName>
    <definedName name="OSRRefT16x_0" localSheetId="65">'310'!$T$25:$T$27</definedName>
    <definedName name="OSRRefT16x_0" localSheetId="74">'310 &amp; 491'!$T$32:$T$34</definedName>
    <definedName name="OSRRefT16x_0" localSheetId="56">'311'!$T$42:$T$55</definedName>
    <definedName name="OSRRefT16x_0" localSheetId="67">'313'!$T$21:$T$23</definedName>
    <definedName name="OSRRefT16x_0" localSheetId="54">'314'!$T$37:$T$52</definedName>
    <definedName name="OSRRefT16x_0" localSheetId="59">'315'!$T$36:$T$51</definedName>
    <definedName name="OSRRefT16x_0" localSheetId="64">'317'!$T$41:$T$54</definedName>
    <definedName name="OSRRefT16x_0" localSheetId="62">'320'!$T$18:$T$22</definedName>
    <definedName name="OSRRefT16x_0" localSheetId="68">'321'!$T$18:$T$20</definedName>
    <definedName name="OSRRefT16x_0" localSheetId="69">'322'!$T$18:$T$20</definedName>
    <definedName name="OSRRefT16x_0" localSheetId="57">'324'!$T$18:$T$20</definedName>
    <definedName name="OSRRefT16x_0" localSheetId="70">'325'!$T$18:$T$20</definedName>
    <definedName name="OSRRefT16x_0" localSheetId="71">'326'!$T$34:$T$47</definedName>
    <definedName name="OSRRefT16x_0" localSheetId="72">'327'!$T$17:$T$18</definedName>
    <definedName name="OSRRefT16x_0" localSheetId="52">'330'!$T$50:$T$73</definedName>
    <definedName name="OSRRefT16x_0" localSheetId="58">'331'!$T$43:$T$64</definedName>
    <definedName name="OSRRefT16x_0" localSheetId="60">'332'!$T$31:$T$35</definedName>
    <definedName name="OSRRefT16x_0" localSheetId="76">'405'!$T$18:$T$20</definedName>
    <definedName name="OSRRefT16x_0" localSheetId="77">'406'!$T$19:$T$21</definedName>
    <definedName name="OSRRefT16x_0" localSheetId="79">'412'!$T$19:$T$20</definedName>
    <definedName name="OSRRefT16x_0" localSheetId="80">'413'!$T$19:$T$21</definedName>
    <definedName name="OSRRefT16x_0" localSheetId="81">'414'!$T$19:$T$21</definedName>
    <definedName name="OSRRefT16x_0" localSheetId="82">'415'!$T$18:$T$20</definedName>
    <definedName name="OSRRefT16x_0" localSheetId="83">'418'!$T$19:$T$21</definedName>
    <definedName name="OSRRefT16x_0" localSheetId="85">'423'!$T$15</definedName>
    <definedName name="OSRRefT16x_0" localSheetId="86">'424'!$T$18:$T$20</definedName>
    <definedName name="OSRRefT16x_0" localSheetId="87">'425'!$T$19:$T$21</definedName>
    <definedName name="OSRRefT16x_0" localSheetId="91">'433'!$T$19:$T$21</definedName>
    <definedName name="OSRRefT16x_0" localSheetId="92">'435'!$T$19:$T$21</definedName>
    <definedName name="OSRRefT16x_0" localSheetId="93">'444'!$T$19:$T$21</definedName>
    <definedName name="OSRRefT16x_0" localSheetId="94">'450'!$T$19:$T$21</definedName>
    <definedName name="OSRRefT16x_0" localSheetId="75">'491'!$T$26:$T$28</definedName>
    <definedName name="OSRRefT16x_0" localSheetId="89">'492'!$T$21:$T$23</definedName>
    <definedName name="OSRRefT16x_0" localSheetId="47">'Div 3'!$T$108:$T$158</definedName>
    <definedName name="OSRRefT16x_0" localSheetId="73">'Div 4'!$T$27:$T$29</definedName>
    <definedName name="OSRRefT16x_0" localSheetId="63">'Div 6'!$T$41:$T$54</definedName>
    <definedName name="OSRRefT16x_0" localSheetId="2">Summary!$T$133:$T$190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'300'!$T$158:$T$167</definedName>
    <definedName name="OSRRefT22_0x_0" localSheetId="49">'300 &amp; 317'!$T$183:$T$192</definedName>
    <definedName name="OSRRefT22_0x_0" localSheetId="50">'301'!$T$20:$T$28</definedName>
    <definedName name="OSRRefT22_0x_0" localSheetId="51">'306'!$T$20:$T$28</definedName>
    <definedName name="OSRRefT22_0x_0" localSheetId="53">'307'!$T$70:$T$78</definedName>
    <definedName name="OSRRefT22_0x_0" localSheetId="55">'308'!$T$61:$T$70</definedName>
    <definedName name="OSRRefT22_0x_0" localSheetId="66">'309'!$T$26:$T$34</definedName>
    <definedName name="OSRRefT22_0x_0" localSheetId="65">'310'!$T$33:$T$41</definedName>
    <definedName name="OSRRefT22_0x_0" localSheetId="74">'310 &amp; 491'!$T$40:$T$49</definedName>
    <definedName name="OSRRefT22_0x_0" localSheetId="56">'311'!$T$61:$T$70</definedName>
    <definedName name="OSRRefT22_0x_0" localSheetId="67">'313'!$T$29:$T$37</definedName>
    <definedName name="OSRRefT22_0x_0" localSheetId="54">'314'!$T$58:$T$65</definedName>
    <definedName name="OSRRefT22_0x_0" localSheetId="59">'315'!$T$57:$T$65</definedName>
    <definedName name="OSRRefT22_0x_0" localSheetId="61">'316'!$T$33:$T$41</definedName>
    <definedName name="OSRRefT22_0x_0" localSheetId="64">'317'!$T$60:$T$69</definedName>
    <definedName name="OSRRefT22_0x_0" localSheetId="62">'320'!$T$28:$T$35</definedName>
    <definedName name="OSRRefT22_0x_0" localSheetId="68">'321'!$T$26:$T$33</definedName>
    <definedName name="OSRRefT22_0x_0" localSheetId="69">'322'!$T$26:$T$34</definedName>
    <definedName name="OSRRefT22_0x_0" localSheetId="70">'325'!$T$26:$T$34</definedName>
    <definedName name="OSRRefT22_0x_0" localSheetId="71">'326'!$T$53:$T$61</definedName>
    <definedName name="OSRRefT22_0x_0" localSheetId="72">'327'!$T$24</definedName>
    <definedName name="OSRRefT22_0x_0" localSheetId="52">'330'!$T$79:$T$87</definedName>
    <definedName name="OSRRefT22_0x_0" localSheetId="58">'331'!$T$70:$T$78</definedName>
    <definedName name="OSRRefT22_0x_0" localSheetId="60">'332'!$T$41:$T$49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'412'!$T$26:$T$34</definedName>
    <definedName name="OSRRefT22_0x_0" localSheetId="80">'413'!$T$27:$T$35</definedName>
    <definedName name="OSRRefT22_0x_0" localSheetId="81">'414'!$T$27:$T$35</definedName>
    <definedName name="OSRRefT22_0x_0" localSheetId="82">'415'!$T$26:$T$34</definedName>
    <definedName name="OSRRefT22_0x_0" localSheetId="83">'418'!$T$27:$T$35</definedName>
    <definedName name="OSRRefT22_0x_0" localSheetId="84">'420'!$T$22:$T$28</definedName>
    <definedName name="OSRRefT22_0x_0" localSheetId="85">'423'!$T$21:$T$29</definedName>
    <definedName name="OSRRefT22_0x_0" localSheetId="86">'424'!$T$26:$T$33</definedName>
    <definedName name="OSRRefT22_0x_0" localSheetId="87">'425'!$T$27:$T$35</definedName>
    <definedName name="OSRRefT22_0x_0" localSheetId="90">'430'!$T$20:$T$28</definedName>
    <definedName name="OSRRefT22_0x_0" localSheetId="91">'433'!$T$27:$T$36</definedName>
    <definedName name="OSRRefT22_0x_0" localSheetId="92">'435'!$T$27:$T$34</definedName>
    <definedName name="OSRRefT22_0x_0" localSheetId="93">'444'!$T$27:$T$36</definedName>
    <definedName name="OSRRefT22_0x_0" localSheetId="94">'450'!$T$27:$T$36</definedName>
    <definedName name="OSRRefT22_0x_0" localSheetId="88">'455'!$T$20:$T$27</definedName>
    <definedName name="OSRRefT22_0x_0" localSheetId="75">'491'!$T$34:$T$43</definedName>
    <definedName name="OSRRefT22_0x_0" localSheetId="89">'492'!$T$29:$T$38</definedName>
    <definedName name="OSRRefT22_0x_0" localSheetId="96">'501'!$T$21:$T$29</definedName>
    <definedName name="OSRRefT22_0x_0" localSheetId="39">'Div 2'!$T$20:$T$30</definedName>
    <definedName name="OSRRefT22_0x_0" localSheetId="47">'Div 3'!$T$164:$T$173</definedName>
    <definedName name="OSRRefT22_0x_0" localSheetId="73">'Div 4'!$T$35:$T$44</definedName>
    <definedName name="OSRRefT22_0x_0" localSheetId="95">'Div 5'!$T$21:$T$29</definedName>
    <definedName name="OSRRefT22_0x_0" localSheetId="63">'Div 6'!$T$60:$T$69</definedName>
    <definedName name="OSRRefT22_0x_0" localSheetId="2">Summary!$T$196:$T$205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'204'!$T$61:$T$62</definedName>
    <definedName name="OSRRefT22_10x_0" localSheetId="46">'206'!$T$58</definedName>
    <definedName name="OSRRefT22_10x_0" localSheetId="48">'300'!$T$202:$T$203</definedName>
    <definedName name="OSRRefT22_10x_0" localSheetId="49">'300 &amp; 317'!$T$227:$T$228</definedName>
    <definedName name="OSRRefT22_10x_0" localSheetId="50">'301'!$T$63</definedName>
    <definedName name="OSRRefT22_10x_0" localSheetId="51">'306'!$T$60</definedName>
    <definedName name="OSRRefT22_10x_0" localSheetId="53">'307'!$T$110:$T$111</definedName>
    <definedName name="OSRRefT22_10x_0" localSheetId="55">'308'!$T$102</definedName>
    <definedName name="OSRRefT22_10x_0" localSheetId="66">'309'!$T$66:$T$68</definedName>
    <definedName name="OSRRefT22_10x_0" localSheetId="65">'310'!$T$72</definedName>
    <definedName name="OSRRefT22_10x_0" localSheetId="74">'310 &amp; 491'!$T$81</definedName>
    <definedName name="OSRRefT22_10x_0" localSheetId="56">'311'!$T$102</definedName>
    <definedName name="OSRRefT22_10x_0" localSheetId="67">'313'!$T$66:$T$68</definedName>
    <definedName name="OSRRefT22_10x_0" localSheetId="59">'315'!$T$96:$T$98</definedName>
    <definedName name="OSRRefT22_10x_0" localSheetId="61">'316'!$T$70:$T$71</definedName>
    <definedName name="OSRRefT22_10x_0" localSheetId="64">'317'!$T$100</definedName>
    <definedName name="OSRRefT22_10x_0" localSheetId="68">'321'!$T$64:$T$65</definedName>
    <definedName name="OSRRefT22_10x_0" localSheetId="69">'322'!$T$66:$T$68</definedName>
    <definedName name="OSRRefT22_10x_0" localSheetId="70">'325'!$T$65</definedName>
    <definedName name="OSRRefT22_10x_0" localSheetId="71">'326'!$T$91</definedName>
    <definedName name="OSRRefT22_10x_0" localSheetId="52">'330'!$T$119</definedName>
    <definedName name="OSRRefT22_10x_0" localSheetId="58">'331'!$T$110</definedName>
    <definedName name="OSRRefT22_10x_0" localSheetId="60">'332'!$T$79</definedName>
    <definedName name="OSRRefT22_10x_0" localSheetId="76">'405'!$T$65:$T$67</definedName>
    <definedName name="OSRRefT22_10x_0" localSheetId="77">'406'!$T$69:$T$74</definedName>
    <definedName name="OSRRefT22_10x_0" localSheetId="78">'411'!$T$61:$T$63</definedName>
    <definedName name="OSRRefT22_10x_0" localSheetId="79">'412'!$T$66:$T$68</definedName>
    <definedName name="OSRRefT22_10x_0" localSheetId="80">'413'!$T$71:$T$72</definedName>
    <definedName name="OSRRefT22_10x_0" localSheetId="81">'414'!$T$66</definedName>
    <definedName name="OSRRefT22_10x_0" localSheetId="82">'415'!$T$65</definedName>
    <definedName name="OSRRefT22_10x_0" localSheetId="83">'418'!$T$69:$T$71</definedName>
    <definedName name="OSRRefT22_10x_0" localSheetId="86">'424'!$T$64:$T$67</definedName>
    <definedName name="OSRRefT22_10x_0" localSheetId="87">'425'!$T$67:$T$68</definedName>
    <definedName name="OSRRefT22_10x_0" localSheetId="90">'430'!$T$59</definedName>
    <definedName name="OSRRefT22_10x_0" localSheetId="91">'433'!$T$65:$T$66</definedName>
    <definedName name="OSRRefT22_10x_0" localSheetId="93">'444'!$T$65</definedName>
    <definedName name="OSRRefT22_10x_0" localSheetId="94">'450'!$T$66</definedName>
    <definedName name="OSRRefT22_10x_0" localSheetId="75">'491'!$T$76</definedName>
    <definedName name="OSRRefT22_10x_0" localSheetId="89">'492'!$T$69</definedName>
    <definedName name="OSRRefT22_10x_0" localSheetId="96">'501'!$T$58:$T$59</definedName>
    <definedName name="OSRRefT22_10x_0" localSheetId="39">'Div 2'!$T$60</definedName>
    <definedName name="OSRRefT22_10x_0" localSheetId="47">'Div 3'!$T$208:$T$209</definedName>
    <definedName name="OSRRefT22_10x_0" localSheetId="73">'Div 4'!$T$78:$T$79</definedName>
    <definedName name="OSRRefT22_10x_0" localSheetId="95">'Div 5'!$T$58:$T$59</definedName>
    <definedName name="OSRRefT22_10x_0" localSheetId="63">'Div 6'!$T$100</definedName>
    <definedName name="OSRRefT22_10x_0" localSheetId="2">Summary!$T$241:$T$242</definedName>
    <definedName name="OSRRefT22_11x_0" localSheetId="41">'201'!$T$62:$T$64</definedName>
    <definedName name="OSRRefT22_11x_0" localSheetId="42">'202'!$T$61:$T$62</definedName>
    <definedName name="OSRRefT22_11x_0" localSheetId="43">'203'!$T$62</definedName>
    <definedName name="OSRRefT22_11x_0" localSheetId="44">'204'!$T$64</definedName>
    <definedName name="OSRRefT22_11x_0" localSheetId="48">'300'!$T$205</definedName>
    <definedName name="OSRRefT22_11x_0" localSheetId="49">'300 &amp; 317'!$T$230</definedName>
    <definedName name="OSRRefT22_11x_0" localSheetId="50">'301'!$T$65</definedName>
    <definedName name="OSRRefT22_11x_0" localSheetId="53">'307'!$T$113</definedName>
    <definedName name="OSRRefT22_11x_0" localSheetId="55">'308'!$T$104:$T$106</definedName>
    <definedName name="OSRRefT22_11x_0" localSheetId="66">'309'!$T$70</definedName>
    <definedName name="OSRRefT22_11x_0" localSheetId="65">'310'!$T$74</definedName>
    <definedName name="OSRRefT22_11x_0" localSheetId="74">'310 &amp; 491'!$T$83:$T$84</definedName>
    <definedName name="OSRRefT22_11x_0" localSheetId="56">'311'!$T$104:$T$106</definedName>
    <definedName name="OSRRefT22_11x_0" localSheetId="67">'313'!$T$70</definedName>
    <definedName name="OSRRefT22_11x_0" localSheetId="59">'315'!$T$100:$T$101</definedName>
    <definedName name="OSRRefT22_11x_0" localSheetId="61">'316'!$T$73:$T$76</definedName>
    <definedName name="OSRRefT22_11x_0" localSheetId="68">'321'!$T$67:$T$69</definedName>
    <definedName name="OSRRefT22_11x_0" localSheetId="69">'322'!$T$70:$T$74</definedName>
    <definedName name="OSRRefT22_11x_0" localSheetId="70">'325'!$T$67:$T$69</definedName>
    <definedName name="OSRRefT22_11x_0" localSheetId="71">'326'!$T$93</definedName>
    <definedName name="OSRRefT22_11x_0" localSheetId="52">'330'!$T$121:$T$122</definedName>
    <definedName name="OSRRefT22_11x_0" localSheetId="58">'331'!$T$112</definedName>
    <definedName name="OSRRefT22_11x_0" localSheetId="60">'332'!$T$81:$T$82</definedName>
    <definedName name="OSRRefT22_11x_0" localSheetId="76">'405'!$T$69</definedName>
    <definedName name="OSRRefT22_11x_0" localSheetId="77">'406'!$T$76:$T$77</definedName>
    <definedName name="OSRRefT22_11x_0" localSheetId="78">'411'!$T$65:$T$69</definedName>
    <definedName name="OSRRefT22_11x_0" localSheetId="79">'412'!$T$70:$T$75</definedName>
    <definedName name="OSRRefT22_11x_0" localSheetId="80">'413'!$T$74</definedName>
    <definedName name="OSRRefT22_11x_0" localSheetId="81">'414'!$T$68</definedName>
    <definedName name="OSRRefT22_11x_0" localSheetId="82">'415'!$T$67:$T$69</definedName>
    <definedName name="OSRRefT22_11x_0" localSheetId="83">'418'!$T$73</definedName>
    <definedName name="OSRRefT22_11x_0" localSheetId="86">'424'!$T$69:$T$70</definedName>
    <definedName name="OSRRefT22_11x_0" localSheetId="87">'425'!$T$70:$T$71</definedName>
    <definedName name="OSRRefT22_11x_0" localSheetId="91">'433'!$T$68:$T$71</definedName>
    <definedName name="OSRRefT22_11x_0" localSheetId="93">'444'!$T$67:$T$69</definedName>
    <definedName name="OSRRefT22_11x_0" localSheetId="94">'450'!$T$68:$T$70</definedName>
    <definedName name="OSRRefT22_11x_0" localSheetId="75">'491'!$T$78</definedName>
    <definedName name="OSRRefT22_11x_0" localSheetId="89">'492'!$T$71</definedName>
    <definedName name="OSRRefT22_11x_0" localSheetId="96">'501'!$T$61:$T$63</definedName>
    <definedName name="OSRRefT22_11x_0" localSheetId="39">'Div 2'!$T$62</definedName>
    <definedName name="OSRRefT22_11x_0" localSheetId="47">'Div 3'!$T$211</definedName>
    <definedName name="OSRRefT22_11x_0" localSheetId="73">'Div 4'!$T$81</definedName>
    <definedName name="OSRRefT22_11x_0" localSheetId="95">'Div 5'!$T$61:$T$63</definedName>
    <definedName name="OSRRefT22_11x_0" localSheetId="2">Summary!$T$244:$T$245</definedName>
    <definedName name="OSRRefT22_12x_0" localSheetId="41">'201'!$T$66</definedName>
    <definedName name="OSRRefT22_12x_0" localSheetId="42">'202'!$T$64</definedName>
    <definedName name="OSRRefT22_12x_0" localSheetId="43">'203'!$T$64:$T$66</definedName>
    <definedName name="OSRRefT22_12x_0" localSheetId="44">'204'!$T$66:$T$67</definedName>
    <definedName name="OSRRefT22_12x_0" localSheetId="48">'300'!$T$207</definedName>
    <definedName name="OSRRefT22_12x_0" localSheetId="49">'300 &amp; 317'!$T$232</definedName>
    <definedName name="OSRRefT22_12x_0" localSheetId="50">'301'!$T$67</definedName>
    <definedName name="OSRRefT22_12x_0" localSheetId="53">'307'!$T$115</definedName>
    <definedName name="OSRRefT22_12x_0" localSheetId="55">'308'!$T$108:$T$109</definedName>
    <definedName name="OSRRefT22_12x_0" localSheetId="66">'309'!$T$72</definedName>
    <definedName name="OSRRefT22_12x_0" localSheetId="65">'310'!$T$76</definedName>
    <definedName name="OSRRefT22_12x_0" localSheetId="74">'310 &amp; 491'!$T$86</definedName>
    <definedName name="OSRRefT22_12x_0" localSheetId="56">'311'!$T$108:$T$109</definedName>
    <definedName name="OSRRefT22_12x_0" localSheetId="67">'313'!$T$72:$T$76</definedName>
    <definedName name="OSRRefT22_12x_0" localSheetId="59">'315'!$T$103:$T$106</definedName>
    <definedName name="OSRRefT22_12x_0" localSheetId="61">'316'!$T$78:$T$79</definedName>
    <definedName name="OSRRefT22_12x_0" localSheetId="68">'321'!$T$71:$T$73</definedName>
    <definedName name="OSRRefT22_12x_0" localSheetId="69">'322'!$T$76</definedName>
    <definedName name="OSRRefT22_12x_0" localSheetId="70">'325'!$T$71:$T$74</definedName>
    <definedName name="OSRRefT22_12x_0" localSheetId="71">'326'!$T$95</definedName>
    <definedName name="OSRRefT22_12x_0" localSheetId="52">'330'!$T$124</definedName>
    <definedName name="OSRRefT22_12x_0" localSheetId="58">'331'!$T$114</definedName>
    <definedName name="OSRRefT22_12x_0" localSheetId="60">'332'!$T$84:$T$88</definedName>
    <definedName name="OSRRefT22_12x_0" localSheetId="76">'405'!$T$71:$T$73</definedName>
    <definedName name="OSRRefT22_12x_0" localSheetId="77">'406'!$T$79</definedName>
    <definedName name="OSRRefT22_12x_0" localSheetId="78">'411'!$T$71:$T$77</definedName>
    <definedName name="OSRRefT22_12x_0" localSheetId="79">'412'!$T$77</definedName>
    <definedName name="OSRRefT22_12x_0" localSheetId="81">'414'!$T$70</definedName>
    <definedName name="OSRRefT22_12x_0" localSheetId="82">'415'!$T$71:$T$75</definedName>
    <definedName name="OSRRefT22_12x_0" localSheetId="83">'418'!$T$75:$T$81</definedName>
    <definedName name="OSRRefT22_12x_0" localSheetId="87">'425'!$T$73:$T$78</definedName>
    <definedName name="OSRRefT22_12x_0" localSheetId="91">'433'!$T$73:$T$79</definedName>
    <definedName name="OSRRefT22_12x_0" localSheetId="93">'444'!$T$71:$T$74</definedName>
    <definedName name="OSRRefT22_12x_0" localSheetId="94">'450'!$T$72:$T$74</definedName>
    <definedName name="OSRRefT22_12x_0" localSheetId="75">'491'!$T$80</definedName>
    <definedName name="OSRRefT22_12x_0" localSheetId="89">'492'!$T$73:$T$76</definedName>
    <definedName name="OSRRefT22_12x_0" localSheetId="96">'501'!$T$65</definedName>
    <definedName name="OSRRefT22_12x_0" localSheetId="39">'Div 2'!$T$64:$T$66</definedName>
    <definedName name="OSRRefT22_12x_0" localSheetId="47">'Div 3'!$T$213</definedName>
    <definedName name="OSRRefT22_12x_0" localSheetId="73">'Div 4'!$T$83</definedName>
    <definedName name="OSRRefT22_12x_0" localSheetId="95">'Div 5'!$T$65</definedName>
    <definedName name="OSRRefT22_12x_0" localSheetId="2">Summary!$T$247</definedName>
    <definedName name="OSRRefT22_13x_0" localSheetId="41">'201'!$T$68:$T$70</definedName>
    <definedName name="OSRRefT22_13x_0" localSheetId="42">'202'!$T$66</definedName>
    <definedName name="OSRRefT22_13x_0" localSheetId="43">'203'!$T$68</definedName>
    <definedName name="OSRRefT22_13x_0" localSheetId="48">'300'!$T$209</definedName>
    <definedName name="OSRRefT22_13x_0" localSheetId="49">'300 &amp; 317'!$T$234</definedName>
    <definedName name="OSRRefT22_13x_0" localSheetId="50">'301'!$T$69</definedName>
    <definedName name="OSRRefT22_13x_0" localSheetId="55">'308'!$T$111</definedName>
    <definedName name="OSRRefT22_13x_0" localSheetId="65">'310'!$T$78</definedName>
    <definedName name="OSRRefT22_13x_0" localSheetId="74">'310 &amp; 491'!$T$88</definedName>
    <definedName name="OSRRefT22_13x_0" localSheetId="56">'311'!$T$111</definedName>
    <definedName name="OSRRefT22_13x_0" localSheetId="67">'313'!$T$78</definedName>
    <definedName name="OSRRefT22_13x_0" localSheetId="59">'315'!$T$108</definedName>
    <definedName name="OSRRefT22_13x_0" localSheetId="61">'316'!$T$81</definedName>
    <definedName name="OSRRefT22_13x_0" localSheetId="68">'321'!$T$75</definedName>
    <definedName name="OSRRefT22_13x_0" localSheetId="69">'322'!$T$78</definedName>
    <definedName name="OSRRefT22_13x_0" localSheetId="70">'325'!$T$76</definedName>
    <definedName name="OSRRefT22_13x_0" localSheetId="71">'326'!$T$97:$T$98</definedName>
    <definedName name="OSRRefT22_13x_0" localSheetId="52">'330'!$T$126</definedName>
    <definedName name="OSRRefT22_13x_0" localSheetId="58">'331'!$T$116</definedName>
    <definedName name="OSRRefT22_13x_0" localSheetId="60">'332'!$T$90:$T$91</definedName>
    <definedName name="OSRRefT22_13x_0" localSheetId="76">'405'!$T$75</definedName>
    <definedName name="OSRRefT22_13x_0" localSheetId="77">'406'!$T$81</definedName>
    <definedName name="OSRRefT22_13x_0" localSheetId="78">'411'!$T$79</definedName>
    <definedName name="OSRRefT22_13x_0" localSheetId="79">'412'!$T$79</definedName>
    <definedName name="OSRRefT22_13x_0" localSheetId="81">'414'!$T$72:$T$78</definedName>
    <definedName name="OSRRefT22_13x_0" localSheetId="82">'415'!$T$77</definedName>
    <definedName name="OSRRefT22_13x_0" localSheetId="83">'418'!$T$83</definedName>
    <definedName name="OSRRefT22_13x_0" localSheetId="87">'425'!$T$80:$T$81</definedName>
    <definedName name="OSRRefT22_13x_0" localSheetId="91">'433'!$T$81</definedName>
    <definedName name="OSRRefT22_13x_0" localSheetId="93">'444'!$T$76:$T$83</definedName>
    <definedName name="OSRRefT22_13x_0" localSheetId="94">'450'!$T$76:$T$81</definedName>
    <definedName name="OSRRefT22_13x_0" localSheetId="75">'491'!$T$82</definedName>
    <definedName name="OSRRefT22_13x_0" localSheetId="89">'492'!$T$78:$T$81</definedName>
    <definedName name="OSRRefT22_13x_0" localSheetId="39">'Div 2'!$T$68:$T$71</definedName>
    <definedName name="OSRRefT22_13x_0" localSheetId="47">'Div 3'!$T$215</definedName>
    <definedName name="OSRRefT22_13x_0" localSheetId="73">'Div 4'!$T$85</definedName>
    <definedName name="OSRRefT22_13x_0" localSheetId="2">Summary!$T$249</definedName>
    <definedName name="OSRRefT22_14x_0" localSheetId="41">'201'!$T$72</definedName>
    <definedName name="OSRRefT22_14x_0" localSheetId="42">'202'!$T$68:$T$69</definedName>
    <definedName name="OSRRefT22_14x_0" localSheetId="43">'203'!$T$70</definedName>
    <definedName name="OSRRefT22_14x_0" localSheetId="48">'300'!$T$211</definedName>
    <definedName name="OSRRefT22_14x_0" localSheetId="49">'300 &amp; 317'!$T$236</definedName>
    <definedName name="OSRRefT22_14x_0" localSheetId="50">'301'!$T$71</definedName>
    <definedName name="OSRRefT22_14x_0" localSheetId="55">'308'!$T$113:$T$114</definedName>
    <definedName name="OSRRefT22_14x_0" localSheetId="65">'310'!$T$80</definedName>
    <definedName name="OSRRefT22_14x_0" localSheetId="74">'310 &amp; 491'!$T$90</definedName>
    <definedName name="OSRRefT22_14x_0" localSheetId="56">'311'!$T$113:$T$114</definedName>
    <definedName name="OSRRefT22_14x_0" localSheetId="67">'313'!$T$80</definedName>
    <definedName name="OSRRefT22_14x_0" localSheetId="59">'315'!$T$110</definedName>
    <definedName name="OSRRefT22_14x_0" localSheetId="68">'321'!$T$77</definedName>
    <definedName name="OSRRefT22_14x_0" localSheetId="70">'325'!$T$78:$T$84</definedName>
    <definedName name="OSRRefT22_14x_0" localSheetId="71">'326'!$T$100:$T$102</definedName>
    <definedName name="OSRRefT22_14x_0" localSheetId="58">'331'!$T$118:$T$119</definedName>
    <definedName name="OSRRefT22_14x_0" localSheetId="60">'332'!$T$93</definedName>
    <definedName name="OSRRefT22_14x_0" localSheetId="76">'405'!$T$77:$T$85</definedName>
    <definedName name="OSRRefT22_14x_0" localSheetId="78">'411'!$T$81</definedName>
    <definedName name="OSRRefT22_14x_0" localSheetId="81">'414'!$T$80</definedName>
    <definedName name="OSRRefT22_14x_0" localSheetId="82">'415'!$T$79:$T$86</definedName>
    <definedName name="OSRRefT22_14x_0" localSheetId="83">'418'!$T$85</definedName>
    <definedName name="OSRRefT22_14x_0" localSheetId="87">'425'!$T$83</definedName>
    <definedName name="OSRRefT22_14x_0" localSheetId="91">'433'!$T$83</definedName>
    <definedName name="OSRRefT22_14x_0" localSheetId="93">'444'!$T$85</definedName>
    <definedName name="OSRRefT22_14x_0" localSheetId="94">'450'!$T$83</definedName>
    <definedName name="OSRRefT22_14x_0" localSheetId="75">'491'!$T$84:$T$87</definedName>
    <definedName name="OSRRefT22_14x_0" localSheetId="89">'492'!$T$83:$T$91</definedName>
    <definedName name="OSRRefT22_14x_0" localSheetId="39">'Div 2'!$T$73:$T$76</definedName>
    <definedName name="OSRRefT22_14x_0" localSheetId="47">'Div 3'!$T$217</definedName>
    <definedName name="OSRRefT22_14x_0" localSheetId="73">'Div 4'!$T$87</definedName>
    <definedName name="OSRRefT22_14x_0" localSheetId="2">Summary!$T$251</definedName>
    <definedName name="OSRRefT22_15x_0" localSheetId="41">'201'!$T$74</definedName>
    <definedName name="OSRRefT22_15x_0" localSheetId="42">'202'!$T$71</definedName>
    <definedName name="OSRRefT22_15x_0" localSheetId="43">'203'!$T$72</definedName>
    <definedName name="OSRRefT22_15x_0" localSheetId="48">'300'!$T$213</definedName>
    <definedName name="OSRRefT22_15x_0" localSheetId="49">'300 &amp; 317'!$T$238</definedName>
    <definedName name="OSRRefT22_15x_0" localSheetId="50">'301'!$T$73:$T$75</definedName>
    <definedName name="OSRRefT22_15x_0" localSheetId="65">'310'!$T$82:$T$84</definedName>
    <definedName name="OSRRefT22_15x_0" localSheetId="74">'310 &amp; 491'!$T$92</definedName>
    <definedName name="OSRRefT22_15x_0" localSheetId="59">'315'!$T$112:$T$113</definedName>
    <definedName name="OSRRefT22_15x_0" localSheetId="70">'325'!$T$86</definedName>
    <definedName name="OSRRefT22_15x_0" localSheetId="71">'326'!$T$104:$T$105</definedName>
    <definedName name="OSRRefT22_15x_0" localSheetId="58">'331'!$T$121:$T$123</definedName>
    <definedName name="OSRRefT22_15x_0" localSheetId="76">'405'!$T$87</definedName>
    <definedName name="OSRRefT22_15x_0" localSheetId="78">'411'!$T$83:$T$85</definedName>
    <definedName name="OSRRefT22_15x_0" localSheetId="81">'414'!$T$82</definedName>
    <definedName name="OSRRefT22_15x_0" localSheetId="82">'415'!$T$88</definedName>
    <definedName name="OSRRefT22_15x_0" localSheetId="83">'418'!$T$87</definedName>
    <definedName name="OSRRefT22_15x_0" localSheetId="87">'425'!$T$85</definedName>
    <definedName name="OSRRefT22_15x_0" localSheetId="91">'433'!$T$85:$T$86</definedName>
    <definedName name="OSRRefT22_15x_0" localSheetId="93">'444'!$T$87</definedName>
    <definedName name="OSRRefT22_15x_0" localSheetId="94">'450'!$T$85</definedName>
    <definedName name="OSRRefT22_15x_0" localSheetId="75">'491'!$T$89:$T$91</definedName>
    <definedName name="OSRRefT22_15x_0" localSheetId="89">'492'!$T$93</definedName>
    <definedName name="OSRRefT22_15x_0" localSheetId="39">'Div 2'!$T$78:$T$79</definedName>
    <definedName name="OSRRefT22_15x_0" localSheetId="47">'Div 3'!$T$219</definedName>
    <definedName name="OSRRefT22_15x_0" localSheetId="73">'Div 4'!$T$89</definedName>
    <definedName name="OSRRefT22_15x_0" localSheetId="2">Summary!$T$253</definedName>
    <definedName name="OSRRefT22_16x_0" localSheetId="41">'201'!$T$76:$T$77</definedName>
    <definedName name="OSRRefT22_16x_0" localSheetId="42">'202'!$T$73</definedName>
    <definedName name="OSRRefT22_16x_0" localSheetId="48">'300'!$T$215:$T$217</definedName>
    <definedName name="OSRRefT22_16x_0" localSheetId="49">'300 &amp; 317'!$T$240:$T$242</definedName>
    <definedName name="OSRRefT22_16x_0" localSheetId="50">'301'!$T$77:$T$79</definedName>
    <definedName name="OSRRefT22_16x_0" localSheetId="65">'310'!$T$86:$T$87</definedName>
    <definedName name="OSRRefT22_16x_0" localSheetId="74">'310 &amp; 491'!$T$94</definedName>
    <definedName name="OSRRefT22_16x_0" localSheetId="70">'325'!$T$88</definedName>
    <definedName name="OSRRefT22_16x_0" localSheetId="71">'326'!$T$107:$T$111</definedName>
    <definedName name="OSRRefT22_16x_0" localSheetId="58">'331'!$T$125:$T$127</definedName>
    <definedName name="OSRRefT22_16x_0" localSheetId="76">'405'!$T$89</definedName>
    <definedName name="OSRRefT22_16x_0" localSheetId="78">'411'!$T$87</definedName>
    <definedName name="OSRRefT22_16x_0" localSheetId="82">'415'!$T$90</definedName>
    <definedName name="OSRRefT22_16x_0" localSheetId="93">'444'!$T$89</definedName>
    <definedName name="OSRRefT22_16x_0" localSheetId="94">'450'!$T$87:$T$88</definedName>
    <definedName name="OSRRefT22_16x_0" localSheetId="75">'491'!$T$93:$T$97</definedName>
    <definedName name="OSRRefT22_16x_0" localSheetId="89">'492'!$T$95</definedName>
    <definedName name="OSRRefT22_16x_0" localSheetId="39">'Div 2'!$T$81:$T$82</definedName>
    <definedName name="OSRRefT22_16x_0" localSheetId="47">'Div 3'!$T$221</definedName>
    <definedName name="OSRRefT22_16x_0" localSheetId="73">'Div 4'!$T$91:$T$94</definedName>
    <definedName name="OSRRefT22_16x_0" localSheetId="2">Summary!$T$255</definedName>
    <definedName name="OSRRefT22_17x_0" localSheetId="48">'300'!$T$219:$T$222</definedName>
    <definedName name="OSRRefT22_17x_0" localSheetId="49">'300 &amp; 317'!$T$244:$T$247</definedName>
    <definedName name="OSRRefT22_17x_0" localSheetId="50">'301'!$T$81:$T$82</definedName>
    <definedName name="OSRRefT22_17x_0" localSheetId="65">'310'!$T$89:$T$93</definedName>
    <definedName name="OSRRefT22_17x_0" localSheetId="74">'310 &amp; 491'!$T$96:$T$99</definedName>
    <definedName name="OSRRefT22_17x_0" localSheetId="70">'325'!$T$90</definedName>
    <definedName name="OSRRefT22_17x_0" localSheetId="71">'326'!$T$113:$T$114</definedName>
    <definedName name="OSRRefT22_17x_0" localSheetId="58">'331'!$T$129:$T$130</definedName>
    <definedName name="OSRRefT22_17x_0" localSheetId="76">'405'!$T$91</definedName>
    <definedName name="OSRRefT22_17x_0" localSheetId="82">'415'!$T$92:$T$93</definedName>
    <definedName name="OSRRefT22_17x_0" localSheetId="75">'491'!$T$99</definedName>
    <definedName name="OSRRefT22_17x_0" localSheetId="89">'492'!$T$97:$T$98</definedName>
    <definedName name="OSRRefT22_17x_0" localSheetId="39">'Div 2'!$T$84:$T$87</definedName>
    <definedName name="OSRRefT22_17x_0" localSheetId="47">'Div 3'!$T$223</definedName>
    <definedName name="OSRRefT22_17x_0" localSheetId="73">'Div 4'!$T$96:$T$98</definedName>
    <definedName name="OSRRefT22_17x_0" localSheetId="2">Summary!$T$257</definedName>
    <definedName name="OSRRefT22_18x_0" localSheetId="48">'300'!$T$224:$T$227</definedName>
    <definedName name="OSRRefT22_18x_0" localSheetId="49">'300 &amp; 317'!$T$249:$T$252</definedName>
    <definedName name="OSRRefT22_18x_0" localSheetId="50">'301'!$T$84:$T$89</definedName>
    <definedName name="OSRRefT22_18x_0" localSheetId="65">'310'!$T$95</definedName>
    <definedName name="OSRRefT22_18x_0" localSheetId="74">'310 &amp; 491'!$T$101:$T$103</definedName>
    <definedName name="OSRRefT22_18x_0" localSheetId="70">'325'!$T$92</definedName>
    <definedName name="OSRRefT22_18x_0" localSheetId="71">'326'!$T$116</definedName>
    <definedName name="OSRRefT22_18x_0" localSheetId="58">'331'!$T$132:$T$136</definedName>
    <definedName name="OSRRefT22_18x_0" localSheetId="82">'415'!$T$95</definedName>
    <definedName name="OSRRefT22_18x_0" localSheetId="75">'491'!$T$101:$T$110</definedName>
    <definedName name="OSRRefT22_18x_0" localSheetId="39">'Div 2'!$T$89:$T$90</definedName>
    <definedName name="OSRRefT22_18x_0" localSheetId="47">'Div 3'!$T$225:$T$227</definedName>
    <definedName name="OSRRefT22_18x_0" localSheetId="73">'Div 4'!$T$100:$T$104</definedName>
    <definedName name="OSRRefT22_18x_0" localSheetId="2">Summary!$T$259:$T$262</definedName>
    <definedName name="OSRRefT22_19x_0" localSheetId="48">'300'!$T$229:$T$230</definedName>
    <definedName name="OSRRefT22_19x_0" localSheetId="49">'300 &amp; 317'!$T$254:$T$255</definedName>
    <definedName name="OSRRefT22_19x_0" localSheetId="50">'301'!$T$91</definedName>
    <definedName name="OSRRefT22_19x_0" localSheetId="65">'310'!$T$97:$T$104</definedName>
    <definedName name="OSRRefT22_19x_0" localSheetId="74">'310 &amp; 491'!$T$105:$T$110</definedName>
    <definedName name="OSRRefT22_19x_0" localSheetId="71">'326'!$T$118</definedName>
    <definedName name="OSRRefT22_19x_0" localSheetId="58">'331'!$T$138:$T$139</definedName>
    <definedName name="OSRRefT22_19x_0" localSheetId="75">'491'!$T$112:$T$113</definedName>
    <definedName name="OSRRefT22_19x_0" localSheetId="39">'Div 2'!$T$92</definedName>
    <definedName name="OSRRefT22_19x_0" localSheetId="47">'Div 3'!$T$229:$T$232</definedName>
    <definedName name="OSRRefT22_19x_0" localSheetId="73">'Div 4'!$T$106</definedName>
    <definedName name="OSRRefT22_19x_0" localSheetId="2">Summary!$T$264:$T$267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'300'!$T$169:$T$178</definedName>
    <definedName name="OSRRefT22_1x_0" localSheetId="49">'300 &amp; 317'!$T$194:$T$203</definedName>
    <definedName name="OSRRefT22_1x_0" localSheetId="50">'301'!$T$30:$T$39</definedName>
    <definedName name="OSRRefT22_1x_0" localSheetId="51">'306'!$T$30:$T$39</definedName>
    <definedName name="OSRRefT22_1x_0" localSheetId="53">'307'!$T$80:$T$89</definedName>
    <definedName name="OSRRefT22_1x_0" localSheetId="55">'308'!$T$72:$T$81</definedName>
    <definedName name="OSRRefT22_1x_0" localSheetId="66">'309'!$T$36:$T$45</definedName>
    <definedName name="OSRRefT22_1x_0" localSheetId="65">'310'!$T$43:$T$52</definedName>
    <definedName name="OSRRefT22_1x_0" localSheetId="74">'310 &amp; 491'!$T$51:$T$60</definedName>
    <definedName name="OSRRefT22_1x_0" localSheetId="56">'311'!$T$72:$T$81</definedName>
    <definedName name="OSRRefT22_1x_0" localSheetId="67">'313'!$T$39:$T$48</definedName>
    <definedName name="OSRRefT22_1x_0" localSheetId="54">'314'!$T$67:$T$76</definedName>
    <definedName name="OSRRefT22_1x_0" localSheetId="59">'315'!$T$67:$T$76</definedName>
    <definedName name="OSRRefT22_1x_0" localSheetId="61">'316'!$T$43:$T$52</definedName>
    <definedName name="OSRRefT22_1x_0" localSheetId="64">'317'!$T$71:$T$80</definedName>
    <definedName name="OSRRefT22_1x_0" localSheetId="62">'320'!$T$37:$T$46</definedName>
    <definedName name="OSRRefT22_1x_0" localSheetId="68">'321'!$T$35:$T$44</definedName>
    <definedName name="OSRRefT22_1x_0" localSheetId="69">'322'!$T$36:$T$45</definedName>
    <definedName name="OSRRefT22_1x_0" localSheetId="70">'325'!$T$36:$T$45</definedName>
    <definedName name="OSRRefT22_1x_0" localSheetId="71">'326'!$T$63:$T$72</definedName>
    <definedName name="OSRRefT22_1x_0" localSheetId="72">'327'!$T$26</definedName>
    <definedName name="OSRRefT22_1x_0" localSheetId="52">'330'!$T$89:$T$98</definedName>
    <definedName name="OSRRefT22_1x_0" localSheetId="58">'331'!$T$80:$T$89</definedName>
    <definedName name="OSRRefT22_1x_0" localSheetId="60">'332'!$T$51:$T$60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'412'!$T$36:$T$45</definedName>
    <definedName name="OSRRefT22_1x_0" localSheetId="80">'413'!$T$37:$T$46</definedName>
    <definedName name="OSRRefT22_1x_0" localSheetId="81">'414'!$T$37:$T$46</definedName>
    <definedName name="OSRRefT22_1x_0" localSheetId="82">'415'!$T$36:$T$45</definedName>
    <definedName name="OSRRefT22_1x_0" localSheetId="83">'418'!$T$37:$T$46</definedName>
    <definedName name="OSRRefT22_1x_0" localSheetId="84">'420'!$T$30:$T$33</definedName>
    <definedName name="OSRRefT22_1x_0" localSheetId="85">'423'!$T$31:$T$40</definedName>
    <definedName name="OSRRefT22_1x_0" localSheetId="86">'424'!$T$35:$T$44</definedName>
    <definedName name="OSRRefT22_1x_0" localSheetId="87">'425'!$T$37:$T$46</definedName>
    <definedName name="OSRRefT22_1x_0" localSheetId="90">'430'!$T$30:$T$39</definedName>
    <definedName name="OSRRefT22_1x_0" localSheetId="91">'433'!$T$38:$T$47</definedName>
    <definedName name="OSRRefT22_1x_0" localSheetId="92">'435'!$T$36:$T$45</definedName>
    <definedName name="OSRRefT22_1x_0" localSheetId="93">'444'!$T$38:$T$47</definedName>
    <definedName name="OSRRefT22_1x_0" localSheetId="94">'450'!$T$38:$T$47</definedName>
    <definedName name="OSRRefT22_1x_0" localSheetId="88">'455'!$T$29:$T$38</definedName>
    <definedName name="OSRRefT22_1x_0" localSheetId="75">'491'!$T$45:$T$54</definedName>
    <definedName name="OSRRefT22_1x_0" localSheetId="89">'492'!$T$40:$T$49</definedName>
    <definedName name="OSRRefT22_1x_0" localSheetId="96">'501'!$T$31:$T$40</definedName>
    <definedName name="OSRRefT22_1x_0" localSheetId="39">'Div 2'!$T$32:$T$41</definedName>
    <definedName name="OSRRefT22_1x_0" localSheetId="47">'Div 3'!$T$175:$T$184</definedName>
    <definedName name="OSRRefT22_1x_0" localSheetId="73">'Div 4'!$T$46:$T$55</definedName>
    <definedName name="OSRRefT22_1x_0" localSheetId="95">'Div 5'!$T$31:$T$40</definedName>
    <definedName name="OSRRefT22_1x_0" localSheetId="63">'Div 6'!$T$71:$T$80</definedName>
    <definedName name="OSRRefT22_1x_0" localSheetId="2">Summary!$T$207:$T$216</definedName>
    <definedName name="OSRRefT22_20x_0" localSheetId="48">'300'!$T$232:$T$238</definedName>
    <definedName name="OSRRefT22_20x_0" localSheetId="49">'300 &amp; 317'!$T$257:$T$263</definedName>
    <definedName name="OSRRefT22_20x_0" localSheetId="50">'301'!$T$93</definedName>
    <definedName name="OSRRefT22_20x_0" localSheetId="65">'310'!$T$106</definedName>
    <definedName name="OSRRefT22_20x_0" localSheetId="74">'310 &amp; 491'!$T$112</definedName>
    <definedName name="OSRRefT22_20x_0" localSheetId="71">'326'!$T$120</definedName>
    <definedName name="OSRRefT22_20x_0" localSheetId="58">'331'!$T$141</definedName>
    <definedName name="OSRRefT22_20x_0" localSheetId="75">'491'!$T$115</definedName>
    <definedName name="OSRRefT22_20x_0" localSheetId="39">'Div 2'!$T$94:$T$95</definedName>
    <definedName name="OSRRefT22_20x_0" localSheetId="47">'Div 3'!$T$234:$T$239</definedName>
    <definedName name="OSRRefT22_20x_0" localSheetId="73">'Div 4'!$T$108:$T$117</definedName>
    <definedName name="OSRRefT22_20x_0" localSheetId="2">Summary!$T$269:$T$274</definedName>
    <definedName name="OSRRefT22_21x_0" localSheetId="48">'300'!$T$240:$T$241</definedName>
    <definedName name="OSRRefT22_21x_0" localSheetId="49">'300 &amp; 317'!$T$265:$T$266</definedName>
    <definedName name="OSRRefT22_21x_0" localSheetId="50">'301'!$T$95:$T$96</definedName>
    <definedName name="OSRRefT22_21x_0" localSheetId="65">'310'!$T$108</definedName>
    <definedName name="OSRRefT22_21x_0" localSheetId="74">'310 &amp; 491'!$T$114:$T$123</definedName>
    <definedName name="OSRRefT22_21x_0" localSheetId="58">'331'!$T$143:$T$144</definedName>
    <definedName name="OSRRefT22_21x_0" localSheetId="75">'491'!$T$117:$T$119</definedName>
    <definedName name="OSRRefT22_21x_0" localSheetId="47">'Div 3'!$T$241:$T$242</definedName>
    <definedName name="OSRRefT22_21x_0" localSheetId="73">'Div 4'!$T$119:$T$120</definedName>
    <definedName name="OSRRefT22_21x_0" localSheetId="2">Summary!$T$276:$T$277</definedName>
    <definedName name="OSRRefT22_22x_0" localSheetId="48">'300'!$T$243</definedName>
    <definedName name="OSRRefT22_22x_0" localSheetId="49">'300 &amp; 317'!$T$268</definedName>
    <definedName name="OSRRefT22_22x_0" localSheetId="50">'301'!$T$98</definedName>
    <definedName name="OSRRefT22_22x_0" localSheetId="65">'310'!$T$110</definedName>
    <definedName name="OSRRefT22_22x_0" localSheetId="74">'310 &amp; 491'!$T$125:$T$126</definedName>
    <definedName name="OSRRefT22_22x_0" localSheetId="58">'331'!$T$146</definedName>
    <definedName name="OSRRefT22_22x_0" localSheetId="75">'491'!$T$121</definedName>
    <definedName name="OSRRefT22_22x_0" localSheetId="47">'Div 3'!$T$244:$T$251</definedName>
    <definedName name="OSRRefT22_22x_0" localSheetId="73">'Div 4'!$T$122</definedName>
    <definedName name="OSRRefT22_22x_0" localSheetId="2">Summary!$T$279:$T$288</definedName>
    <definedName name="OSRRefT22_23x_0" localSheetId="48">'300'!$T$245:$T$247</definedName>
    <definedName name="OSRRefT22_23x_0" localSheetId="49">'300 &amp; 317'!$T$270:$T$272</definedName>
    <definedName name="OSRRefT22_23x_0" localSheetId="65">'310'!$T$112</definedName>
    <definedName name="OSRRefT22_23x_0" localSheetId="74">'310 &amp; 491'!$T$128</definedName>
    <definedName name="OSRRefT22_23x_0" localSheetId="47">'Div 3'!$T$253:$T$254</definedName>
    <definedName name="OSRRefT22_23x_0" localSheetId="73">'Div 4'!$T$124:$T$126</definedName>
    <definedName name="OSRRefT22_23x_0" localSheetId="2">Summary!$T$290:$T$291</definedName>
    <definedName name="OSRRefT22_24x_0" localSheetId="48">'300'!$T$249</definedName>
    <definedName name="OSRRefT22_24x_0" localSheetId="49">'300 &amp; 317'!$T$274</definedName>
    <definedName name="OSRRefT22_24x_0" localSheetId="74">'310 &amp; 491'!$T$130:$T$132</definedName>
    <definedName name="OSRRefT22_24x_0" localSheetId="47">'Div 3'!$T$256</definedName>
    <definedName name="OSRRefT22_24x_0" localSheetId="73">'Div 4'!$T$128</definedName>
    <definedName name="OSRRefT22_24x_0" localSheetId="2">Summary!$T$293</definedName>
    <definedName name="OSRRefT22_25x_0" localSheetId="74">'310 &amp; 491'!$T$134</definedName>
    <definedName name="OSRRefT22_25x_0" localSheetId="47">'Div 3'!$T$258:$T$260</definedName>
    <definedName name="OSRRefT22_25x_0" localSheetId="2">Summary!$T$295:$T$297</definedName>
    <definedName name="OSRRefT22_26x_0" localSheetId="47">'Div 3'!$T$262</definedName>
    <definedName name="OSRRefT22_26x_0" localSheetId="2">Summary!$T$299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'300'!$T$180</definedName>
    <definedName name="OSRRefT22_2x_0" localSheetId="49">'300 &amp; 317'!$T$205</definedName>
    <definedName name="OSRRefT22_2x_0" localSheetId="50">'301'!$T$41</definedName>
    <definedName name="OSRRefT22_2x_0" localSheetId="51">'306'!$T$41</definedName>
    <definedName name="OSRRefT22_2x_0" localSheetId="53">'307'!$T$91</definedName>
    <definedName name="OSRRefT22_2x_0" localSheetId="55">'308'!$T$83</definedName>
    <definedName name="OSRRefT22_2x_0" localSheetId="66">'309'!$T$47</definedName>
    <definedName name="OSRRefT22_2x_0" localSheetId="65">'310'!$T$54</definedName>
    <definedName name="OSRRefT22_2x_0" localSheetId="74">'310 &amp; 491'!$T$62</definedName>
    <definedName name="OSRRefT22_2x_0" localSheetId="56">'311'!$T$83</definedName>
    <definedName name="OSRRefT22_2x_0" localSheetId="67">'313'!$T$50</definedName>
    <definedName name="OSRRefT22_2x_0" localSheetId="54">'314'!$T$78</definedName>
    <definedName name="OSRRefT22_2x_0" localSheetId="59">'315'!$T$78</definedName>
    <definedName name="OSRRefT22_2x_0" localSheetId="61">'316'!$T$54</definedName>
    <definedName name="OSRRefT22_2x_0" localSheetId="64">'317'!$T$82</definedName>
    <definedName name="OSRRefT22_2x_0" localSheetId="62">'320'!$T$48</definedName>
    <definedName name="OSRRefT22_2x_0" localSheetId="68">'321'!$T$46</definedName>
    <definedName name="OSRRefT22_2x_0" localSheetId="69">'322'!$T$47</definedName>
    <definedName name="OSRRefT22_2x_0" localSheetId="70">'325'!$T$47</definedName>
    <definedName name="OSRRefT22_2x_0" localSheetId="71">'326'!$T$74</definedName>
    <definedName name="OSRRefT22_2x_0" localSheetId="72">'327'!$T$28</definedName>
    <definedName name="OSRRefT22_2x_0" localSheetId="52">'330'!$T$100</definedName>
    <definedName name="OSRRefT22_2x_0" localSheetId="58">'331'!$T$91</definedName>
    <definedName name="OSRRefT22_2x_0" localSheetId="60">'332'!$T$62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'412'!$T$47</definedName>
    <definedName name="OSRRefT22_2x_0" localSheetId="80">'413'!$T$48</definedName>
    <definedName name="OSRRefT22_2x_0" localSheetId="81">'414'!$T$48</definedName>
    <definedName name="OSRRefT22_2x_0" localSheetId="82">'415'!$T$47</definedName>
    <definedName name="OSRRefT22_2x_0" localSheetId="83">'418'!$T$48</definedName>
    <definedName name="OSRRefT22_2x_0" localSheetId="84">'420'!$T$35</definedName>
    <definedName name="OSRRefT22_2x_0" localSheetId="85">'423'!$T$42</definedName>
    <definedName name="OSRRefT22_2x_0" localSheetId="86">'424'!$T$46</definedName>
    <definedName name="OSRRefT22_2x_0" localSheetId="87">'425'!$T$48</definedName>
    <definedName name="OSRRefT22_2x_0" localSheetId="90">'430'!$T$41</definedName>
    <definedName name="OSRRefT22_2x_0" localSheetId="91">'433'!$T$49</definedName>
    <definedName name="OSRRefT22_2x_0" localSheetId="92">'435'!$T$47</definedName>
    <definedName name="OSRRefT22_2x_0" localSheetId="93">'444'!$T$49</definedName>
    <definedName name="OSRRefT22_2x_0" localSheetId="94">'450'!$T$49</definedName>
    <definedName name="OSRRefT22_2x_0" localSheetId="75">'491'!$T$56</definedName>
    <definedName name="OSRRefT22_2x_0" localSheetId="89">'492'!$T$51</definedName>
    <definedName name="OSRRefT22_2x_0" localSheetId="96">'501'!$T$42</definedName>
    <definedName name="OSRRefT22_2x_0" localSheetId="39">'Div 2'!$T$43</definedName>
    <definedName name="OSRRefT22_2x_0" localSheetId="47">'Div 3'!$T$186</definedName>
    <definedName name="OSRRefT22_2x_0" localSheetId="73">'Div 4'!$T$57</definedName>
    <definedName name="OSRRefT22_2x_0" localSheetId="95">'Div 5'!$T$42</definedName>
    <definedName name="OSRRefT22_2x_0" localSheetId="63">'Div 6'!$T$82</definedName>
    <definedName name="OSRRefT22_2x_0" localSheetId="2">Summary!$T$218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</definedName>
    <definedName name="OSRRefT22_3x_0" localSheetId="45">'205'!$T$43</definedName>
    <definedName name="OSRRefT22_3x_0" localSheetId="46">'206'!$T$43</definedName>
    <definedName name="OSRRefT22_3x_0" localSheetId="48">'300'!$T$182:$T$183</definedName>
    <definedName name="OSRRefT22_3x_0" localSheetId="49">'300 &amp; 317'!$T$207:$T$208</definedName>
    <definedName name="OSRRefT22_3x_0" localSheetId="50">'301'!$T$43:$T$44</definedName>
    <definedName name="OSRRefT22_3x_0" localSheetId="51">'306'!$T$43</definedName>
    <definedName name="OSRRefT22_3x_0" localSheetId="53">'307'!$T$93</definedName>
    <definedName name="OSRRefT22_3x_0" localSheetId="55">'308'!$T$85:$T$86</definedName>
    <definedName name="OSRRefT22_3x_0" localSheetId="66">'309'!$T$49</definedName>
    <definedName name="OSRRefT22_3x_0" localSheetId="65">'310'!$T$56</definedName>
    <definedName name="OSRRefT22_3x_0" localSheetId="74">'310 &amp; 491'!$T$64</definedName>
    <definedName name="OSRRefT22_3x_0" localSheetId="56">'311'!$T$85:$T$86</definedName>
    <definedName name="OSRRefT22_3x_0" localSheetId="67">'313'!$T$52</definedName>
    <definedName name="OSRRefT22_3x_0" localSheetId="54">'314'!$T$80:$T$81</definedName>
    <definedName name="OSRRefT22_3x_0" localSheetId="59">'315'!$T$80:$T$81</definedName>
    <definedName name="OSRRefT22_3x_0" localSheetId="61">'316'!$T$56</definedName>
    <definedName name="OSRRefT22_3x_0" localSheetId="64">'317'!$T$84</definedName>
    <definedName name="OSRRefT22_3x_0" localSheetId="62">'320'!$T$50</definedName>
    <definedName name="OSRRefT22_3x_0" localSheetId="68">'321'!$T$48</definedName>
    <definedName name="OSRRefT22_3x_0" localSheetId="69">'322'!$T$49</definedName>
    <definedName name="OSRRefT22_3x_0" localSheetId="70">'325'!$T$49</definedName>
    <definedName name="OSRRefT22_3x_0" localSheetId="71">'326'!$T$76:$T$77</definedName>
    <definedName name="OSRRefT22_3x_0" localSheetId="52">'330'!$T$102</definedName>
    <definedName name="OSRRefT22_3x_0" localSheetId="58">'331'!$T$93:$T$94</definedName>
    <definedName name="OSRRefT22_3x_0" localSheetId="60">'332'!$T$64</definedName>
    <definedName name="OSRRefT22_3x_0" localSheetId="76">'405'!$T$49</definedName>
    <definedName name="OSRRefT22_3x_0" localSheetId="77">'406'!$T$50</definedName>
    <definedName name="OSRRefT22_3x_0" localSheetId="78">'411'!$T$44:$T$47</definedName>
    <definedName name="OSRRefT22_3x_0" localSheetId="79">'412'!$T$49</definedName>
    <definedName name="OSRRefT22_3x_0" localSheetId="80">'413'!$T$50</definedName>
    <definedName name="OSRRefT22_3x_0" localSheetId="81">'414'!$T$50</definedName>
    <definedName name="OSRRefT22_3x_0" localSheetId="82">'415'!$T$49</definedName>
    <definedName name="OSRRefT22_3x_0" localSheetId="83">'418'!$T$50</definedName>
    <definedName name="OSRRefT22_3x_0" localSheetId="84">'420'!$T$37</definedName>
    <definedName name="OSRRefT22_3x_0" localSheetId="85">'423'!$T$44</definedName>
    <definedName name="OSRRefT22_3x_0" localSheetId="86">'424'!$T$48</definedName>
    <definedName name="OSRRefT22_3x_0" localSheetId="87">'425'!$T$50</definedName>
    <definedName name="OSRRefT22_3x_0" localSheetId="90">'430'!$T$43</definedName>
    <definedName name="OSRRefT22_3x_0" localSheetId="91">'433'!$T$51</definedName>
    <definedName name="OSRRefT22_3x_0" localSheetId="92">'435'!$T$49</definedName>
    <definedName name="OSRRefT22_3x_0" localSheetId="93">'444'!$T$51</definedName>
    <definedName name="OSRRefT22_3x_0" localSheetId="94">'450'!$T$51:$T$52</definedName>
    <definedName name="OSRRefT22_3x_0" localSheetId="75">'491'!$T$58</definedName>
    <definedName name="OSRRefT22_3x_0" localSheetId="89">'492'!$T$53:$T$54</definedName>
    <definedName name="OSRRefT22_3x_0" localSheetId="96">'501'!$T$44</definedName>
    <definedName name="OSRRefT22_3x_0" localSheetId="39">'Div 2'!$T$45</definedName>
    <definedName name="OSRRefT22_3x_0" localSheetId="47">'Div 3'!$T$188:$T$189</definedName>
    <definedName name="OSRRefT22_3x_0" localSheetId="73">'Div 4'!$T$59:$T$60</definedName>
    <definedName name="OSRRefT22_3x_0" localSheetId="95">'Div 5'!$T$44</definedName>
    <definedName name="OSRRefT22_3x_0" localSheetId="63">'Div 6'!$T$84</definedName>
    <definedName name="OSRRefT22_3x_0" localSheetId="2">Summary!$T$220:$T$221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</definedName>
    <definedName name="OSRRefT22_4x_0" localSheetId="46">'206'!$T$45</definedName>
    <definedName name="OSRRefT22_4x_0" localSheetId="48">'300'!$T$185</definedName>
    <definedName name="OSRRefT22_4x_0" localSheetId="49">'300 &amp; 317'!$T$210</definedName>
    <definedName name="OSRRefT22_4x_0" localSheetId="50">'301'!$T$46</definedName>
    <definedName name="OSRRefT22_4x_0" localSheetId="51">'306'!$T$45</definedName>
    <definedName name="OSRRefT22_4x_0" localSheetId="53">'307'!$T$95:$T$96</definedName>
    <definedName name="OSRRefT22_4x_0" localSheetId="55">'308'!$T$88</definedName>
    <definedName name="OSRRefT22_4x_0" localSheetId="66">'309'!$T$51</definedName>
    <definedName name="OSRRefT22_4x_0" localSheetId="65">'310'!$T$58</definedName>
    <definedName name="OSRRefT22_4x_0" localSheetId="74">'310 &amp; 491'!$T$66</definedName>
    <definedName name="OSRRefT22_4x_0" localSheetId="56">'311'!$T$88</definedName>
    <definedName name="OSRRefT22_4x_0" localSheetId="67">'313'!$T$54</definedName>
    <definedName name="OSRRefT22_4x_0" localSheetId="54">'314'!$T$83</definedName>
    <definedName name="OSRRefT22_4x_0" localSheetId="59">'315'!$T$83</definedName>
    <definedName name="OSRRefT22_4x_0" localSheetId="61">'316'!$T$58</definedName>
    <definedName name="OSRRefT22_4x_0" localSheetId="64">'317'!$T$86</definedName>
    <definedName name="OSRRefT22_4x_0" localSheetId="62">'320'!$T$52:$T$53</definedName>
    <definedName name="OSRRefT22_4x_0" localSheetId="68">'321'!$T$50</definedName>
    <definedName name="OSRRefT22_4x_0" localSheetId="69">'322'!$T$51</definedName>
    <definedName name="OSRRefT22_4x_0" localSheetId="70">'325'!$T$51</definedName>
    <definedName name="OSRRefT22_4x_0" localSheetId="71">'326'!$T$79</definedName>
    <definedName name="OSRRefT22_4x_0" localSheetId="52">'330'!$T$104:$T$105</definedName>
    <definedName name="OSRRefT22_4x_0" localSheetId="58">'331'!$T$96</definedName>
    <definedName name="OSRRefT22_4x_0" localSheetId="60">'332'!$T$66</definedName>
    <definedName name="OSRRefT22_4x_0" localSheetId="76">'405'!$T$51</definedName>
    <definedName name="OSRRefT22_4x_0" localSheetId="77">'406'!$T$52</definedName>
    <definedName name="OSRRefT22_4x_0" localSheetId="78">'411'!$T$49</definedName>
    <definedName name="OSRRefT22_4x_0" localSheetId="79">'412'!$T$51</definedName>
    <definedName name="OSRRefT22_4x_0" localSheetId="80">'413'!$T$52</definedName>
    <definedName name="OSRRefT22_4x_0" localSheetId="81">'414'!$T$52</definedName>
    <definedName name="OSRRefT22_4x_0" localSheetId="82">'415'!$T$51</definedName>
    <definedName name="OSRRefT22_4x_0" localSheetId="83">'418'!$T$52</definedName>
    <definedName name="OSRRefT22_4x_0" localSheetId="85">'423'!$T$46</definedName>
    <definedName name="OSRRefT22_4x_0" localSheetId="86">'424'!$T$50</definedName>
    <definedName name="OSRRefT22_4x_0" localSheetId="87">'425'!$T$52</definedName>
    <definedName name="OSRRefT22_4x_0" localSheetId="90">'430'!$T$45</definedName>
    <definedName name="OSRRefT22_4x_0" localSheetId="91">'433'!$T$53</definedName>
    <definedName name="OSRRefT22_4x_0" localSheetId="92">'435'!$T$51</definedName>
    <definedName name="OSRRefT22_4x_0" localSheetId="93">'444'!$T$53</definedName>
    <definedName name="OSRRefT22_4x_0" localSheetId="94">'450'!$T$54</definedName>
    <definedName name="OSRRefT22_4x_0" localSheetId="75">'491'!$T$60</definedName>
    <definedName name="OSRRefT22_4x_0" localSheetId="89">'492'!$T$56</definedName>
    <definedName name="OSRRefT22_4x_0" localSheetId="96">'501'!$T$46</definedName>
    <definedName name="OSRRefT22_4x_0" localSheetId="39">'Div 2'!$T$47</definedName>
    <definedName name="OSRRefT22_4x_0" localSheetId="47">'Div 3'!$T$191</definedName>
    <definedName name="OSRRefT22_4x_0" localSheetId="73">'Div 4'!$T$62</definedName>
    <definedName name="OSRRefT22_4x_0" localSheetId="95">'Div 5'!$T$46</definedName>
    <definedName name="OSRRefT22_4x_0" localSheetId="63">'Div 6'!$T$86</definedName>
    <definedName name="OSRRefT22_4x_0" localSheetId="2">Summary!$T$223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'204'!$T$48</definedName>
    <definedName name="OSRRefT22_5x_0" localSheetId="45">'205'!$T$47:$T$48</definedName>
    <definedName name="OSRRefT22_5x_0" localSheetId="46">'206'!$T$47</definedName>
    <definedName name="OSRRefT22_5x_0" localSheetId="48">'300'!$T$187:$T$190</definedName>
    <definedName name="OSRRefT22_5x_0" localSheetId="49">'300 &amp; 317'!$T$212:$T$215</definedName>
    <definedName name="OSRRefT22_5x_0" localSheetId="50">'301'!$T$48:$T$51</definedName>
    <definedName name="OSRRefT22_5x_0" localSheetId="51">'306'!$T$47</definedName>
    <definedName name="OSRRefT22_5x_0" localSheetId="53">'307'!$T$98</definedName>
    <definedName name="OSRRefT22_5x_0" localSheetId="55">'308'!$T$90</definedName>
    <definedName name="OSRRefT22_5x_0" localSheetId="66">'309'!$T$53:$T$54</definedName>
    <definedName name="OSRRefT22_5x_0" localSheetId="65">'310'!$T$60:$T$62</definedName>
    <definedName name="OSRRefT22_5x_0" localSheetId="74">'310 &amp; 491'!$T$68:$T$71</definedName>
    <definedName name="OSRRefT22_5x_0" localSheetId="56">'311'!$T$90</definedName>
    <definedName name="OSRRefT22_5x_0" localSheetId="67">'313'!$T$56</definedName>
    <definedName name="OSRRefT22_5x_0" localSheetId="54">'314'!$T$85</definedName>
    <definedName name="OSRRefT22_5x_0" localSheetId="59">'315'!$T$85:$T$86</definedName>
    <definedName name="OSRRefT22_5x_0" localSheetId="61">'316'!$T$60</definedName>
    <definedName name="OSRRefT22_5x_0" localSheetId="64">'317'!$T$88</definedName>
    <definedName name="OSRRefT22_5x_0" localSheetId="62">'320'!$T$55</definedName>
    <definedName name="OSRRefT22_5x_0" localSheetId="68">'321'!$T$52</definedName>
    <definedName name="OSRRefT22_5x_0" localSheetId="69">'322'!$T$53:$T$54</definedName>
    <definedName name="OSRRefT22_5x_0" localSheetId="70">'325'!$T$53:$T$55</definedName>
    <definedName name="OSRRefT22_5x_0" localSheetId="71">'326'!$T$81</definedName>
    <definedName name="OSRRefT22_5x_0" localSheetId="52">'330'!$T$107</definedName>
    <definedName name="OSRRefT22_5x_0" localSheetId="58">'331'!$T$98:$T$99</definedName>
    <definedName name="OSRRefT22_5x_0" localSheetId="60">'332'!$T$68</definedName>
    <definedName name="OSRRefT22_5x_0" localSheetId="76">'405'!$T$53:$T$55</definedName>
    <definedName name="OSRRefT22_5x_0" localSheetId="77">'406'!$T$54:$T$55</definedName>
    <definedName name="OSRRefT22_5x_0" localSheetId="78">'411'!$T$51</definedName>
    <definedName name="OSRRefT22_5x_0" localSheetId="79">'412'!$T$53:$T$55</definedName>
    <definedName name="OSRRefT22_5x_0" localSheetId="80">'413'!$T$54</definedName>
    <definedName name="OSRRefT22_5x_0" localSheetId="81">'414'!$T$54:$T$55</definedName>
    <definedName name="OSRRefT22_5x_0" localSheetId="82">'415'!$T$53:$T$55</definedName>
    <definedName name="OSRRefT22_5x_0" localSheetId="83">'418'!$T$54:$T$56</definedName>
    <definedName name="OSRRefT22_5x_0" localSheetId="85">'423'!$T$48</definedName>
    <definedName name="OSRRefT22_5x_0" localSheetId="86">'424'!$T$52</definedName>
    <definedName name="OSRRefT22_5x_0" localSheetId="87">'425'!$T$54:$T$55</definedName>
    <definedName name="OSRRefT22_5x_0" localSheetId="90">'430'!$T$47</definedName>
    <definedName name="OSRRefT22_5x_0" localSheetId="91">'433'!$T$55</definedName>
    <definedName name="OSRRefT22_5x_0" localSheetId="92">'435'!$T$53</definedName>
    <definedName name="OSRRefT22_5x_0" localSheetId="93">'444'!$T$55</definedName>
    <definedName name="OSRRefT22_5x_0" localSheetId="94">'450'!$T$56</definedName>
    <definedName name="OSRRefT22_5x_0" localSheetId="75">'491'!$T$62:$T$65</definedName>
    <definedName name="OSRRefT22_5x_0" localSheetId="89">'492'!$T$58:$T$59</definedName>
    <definedName name="OSRRefT22_5x_0" localSheetId="96">'501'!$T$48</definedName>
    <definedName name="OSRRefT22_5x_0" localSheetId="39">'Div 2'!$T$49</definedName>
    <definedName name="OSRRefT22_5x_0" localSheetId="47">'Div 3'!$T$193:$T$196</definedName>
    <definedName name="OSRRefT22_5x_0" localSheetId="73">'Div 4'!$T$64:$T$67</definedName>
    <definedName name="OSRRefT22_5x_0" localSheetId="95">'Div 5'!$T$48</definedName>
    <definedName name="OSRRefT22_5x_0" localSheetId="63">'Div 6'!$T$88</definedName>
    <definedName name="OSRRefT22_5x_0" localSheetId="2">Summary!$T$225:$T$228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'204'!$T$50</definedName>
    <definedName name="OSRRefT22_6x_0" localSheetId="45">'205'!$T$50</definedName>
    <definedName name="OSRRefT22_6x_0" localSheetId="46">'206'!$T$49</definedName>
    <definedName name="OSRRefT22_6x_0" localSheetId="48">'300'!$T$192:$T$193</definedName>
    <definedName name="OSRRefT22_6x_0" localSheetId="49">'300 &amp; 317'!$T$217:$T$218</definedName>
    <definedName name="OSRRefT22_6x_0" localSheetId="50">'301'!$T$53:$T$54</definedName>
    <definedName name="OSRRefT22_6x_0" localSheetId="51">'306'!$T$49</definedName>
    <definedName name="OSRRefT22_6x_0" localSheetId="53">'307'!$T$100</definedName>
    <definedName name="OSRRefT22_6x_0" localSheetId="55">'308'!$T$92:$T$93</definedName>
    <definedName name="OSRRefT22_6x_0" localSheetId="66">'309'!$T$56</definedName>
    <definedName name="OSRRefT22_6x_0" localSheetId="65">'310'!$T$64</definedName>
    <definedName name="OSRRefT22_6x_0" localSheetId="74">'310 &amp; 491'!$T$73</definedName>
    <definedName name="OSRRefT22_6x_0" localSheetId="56">'311'!$T$92:$T$93</definedName>
    <definedName name="OSRRefT22_6x_0" localSheetId="67">'313'!$T$58</definedName>
    <definedName name="OSRRefT22_6x_0" localSheetId="54">'314'!$T$87</definedName>
    <definedName name="OSRRefT22_6x_0" localSheetId="59">'315'!$T$88</definedName>
    <definedName name="OSRRefT22_6x_0" localSheetId="61">'316'!$T$62</definedName>
    <definedName name="OSRRefT22_6x_0" localSheetId="64">'317'!$T$90</definedName>
    <definedName name="OSRRefT22_6x_0" localSheetId="62">'320'!$T$57</definedName>
    <definedName name="OSRRefT22_6x_0" localSheetId="68">'321'!$T$54</definedName>
    <definedName name="OSRRefT22_6x_0" localSheetId="69">'322'!$T$56</definedName>
    <definedName name="OSRRefT22_6x_0" localSheetId="70">'325'!$T$57</definedName>
    <definedName name="OSRRefT22_6x_0" localSheetId="71">'326'!$T$83</definedName>
    <definedName name="OSRRefT22_6x_0" localSheetId="52">'330'!$T$109</definedName>
    <definedName name="OSRRefT22_6x_0" localSheetId="58">'331'!$T$101</definedName>
    <definedName name="OSRRefT22_6x_0" localSheetId="60">'332'!$T$70</definedName>
    <definedName name="OSRRefT22_6x_0" localSheetId="76">'405'!$T$57</definedName>
    <definedName name="OSRRefT22_6x_0" localSheetId="77">'406'!$T$57</definedName>
    <definedName name="OSRRefT22_6x_0" localSheetId="78">'411'!$T$53</definedName>
    <definedName name="OSRRefT22_6x_0" localSheetId="79">'412'!$T$57</definedName>
    <definedName name="OSRRefT22_6x_0" localSheetId="80">'413'!$T$56</definedName>
    <definedName name="OSRRefT22_6x_0" localSheetId="81">'414'!$T$57</definedName>
    <definedName name="OSRRefT22_6x_0" localSheetId="82">'415'!$T$57</definedName>
    <definedName name="OSRRefT22_6x_0" localSheetId="83">'418'!$T$58</definedName>
    <definedName name="OSRRefT22_6x_0" localSheetId="86">'424'!$T$54</definedName>
    <definedName name="OSRRefT22_6x_0" localSheetId="87">'425'!$T$57</definedName>
    <definedName name="OSRRefT22_6x_0" localSheetId="90">'430'!$T$49</definedName>
    <definedName name="OSRRefT22_6x_0" localSheetId="91">'433'!$T$57</definedName>
    <definedName name="OSRRefT22_6x_0" localSheetId="92">'435'!$T$55:$T$57</definedName>
    <definedName name="OSRRefT22_6x_0" localSheetId="93">'444'!$T$57</definedName>
    <definedName name="OSRRefT22_6x_0" localSheetId="94">'450'!$T$58</definedName>
    <definedName name="OSRRefT22_6x_0" localSheetId="75">'491'!$T$67</definedName>
    <definedName name="OSRRefT22_6x_0" localSheetId="89">'492'!$T$61</definedName>
    <definedName name="OSRRefT22_6x_0" localSheetId="96">'501'!$T$50</definedName>
    <definedName name="OSRRefT22_6x_0" localSheetId="39">'Div 2'!$T$51:$T$52</definedName>
    <definedName name="OSRRefT22_6x_0" localSheetId="47">'Div 3'!$T$198:$T$199</definedName>
    <definedName name="OSRRefT22_6x_0" localSheetId="73">'Div 4'!$T$69:$T$70</definedName>
    <definedName name="OSRRefT22_6x_0" localSheetId="95">'Div 5'!$T$50</definedName>
    <definedName name="OSRRefT22_6x_0" localSheetId="63">'Div 6'!$T$90</definedName>
    <definedName name="OSRRefT22_6x_0" localSheetId="2">Summary!$T$230:$T$231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'204'!$T$52:$T$55</definedName>
    <definedName name="OSRRefT22_7x_0" localSheetId="45">'205'!$T$52:$T$53</definedName>
    <definedName name="OSRRefT22_7x_0" localSheetId="46">'206'!$T$51:$T$52</definedName>
    <definedName name="OSRRefT22_7x_0" localSheetId="48">'300'!$T$195:$T$196</definedName>
    <definedName name="OSRRefT22_7x_0" localSheetId="49">'300 &amp; 317'!$T$220:$T$221</definedName>
    <definedName name="OSRRefT22_7x_0" localSheetId="50">'301'!$T$56:$T$57</definedName>
    <definedName name="OSRRefT22_7x_0" localSheetId="51">'306'!$T$51:$T$52</definedName>
    <definedName name="OSRRefT22_7x_0" localSheetId="53">'307'!$T$102</definedName>
    <definedName name="OSRRefT22_7x_0" localSheetId="55">'308'!$T$95</definedName>
    <definedName name="OSRRefT22_7x_0" localSheetId="66">'309'!$T$58</definedName>
    <definedName name="OSRRefT22_7x_0" localSheetId="65">'310'!$T$66</definedName>
    <definedName name="OSRRefT22_7x_0" localSheetId="74">'310 &amp; 491'!$T$75</definedName>
    <definedName name="OSRRefT22_7x_0" localSheetId="56">'311'!$T$95</definedName>
    <definedName name="OSRRefT22_7x_0" localSheetId="67">'313'!$T$60</definedName>
    <definedName name="OSRRefT22_7x_0" localSheetId="54">'314'!$T$89</definedName>
    <definedName name="OSRRefT22_7x_0" localSheetId="59">'315'!$T$90</definedName>
    <definedName name="OSRRefT22_7x_0" localSheetId="61">'316'!$T$64</definedName>
    <definedName name="OSRRefT22_7x_0" localSheetId="64">'317'!$T$92</definedName>
    <definedName name="OSRRefT22_7x_0" localSheetId="62">'320'!$T$59:$T$60</definedName>
    <definedName name="OSRRefT22_7x_0" localSheetId="68">'321'!$T$56</definedName>
    <definedName name="OSRRefT22_7x_0" localSheetId="69">'322'!$T$58</definedName>
    <definedName name="OSRRefT22_7x_0" localSheetId="70">'325'!$T$59</definedName>
    <definedName name="OSRRefT22_7x_0" localSheetId="71">'326'!$T$85</definedName>
    <definedName name="OSRRefT22_7x_0" localSheetId="52">'330'!$T$111</definedName>
    <definedName name="OSRRefT22_7x_0" localSheetId="58">'331'!$T$103</definedName>
    <definedName name="OSRRefT22_7x_0" localSheetId="60">'332'!$T$72:$T$73</definedName>
    <definedName name="OSRRefT22_7x_0" localSheetId="76">'405'!$T$59</definedName>
    <definedName name="OSRRefT22_7x_0" localSheetId="77">'406'!$T$59</definedName>
    <definedName name="OSRRefT22_7x_0" localSheetId="78">'411'!$T$55</definedName>
    <definedName name="OSRRefT22_7x_0" localSheetId="79">'412'!$T$59</definedName>
    <definedName name="OSRRefT22_7x_0" localSheetId="80">'413'!$T$58:$T$60</definedName>
    <definedName name="OSRRefT22_7x_0" localSheetId="81">'414'!$T$59</definedName>
    <definedName name="OSRRefT22_7x_0" localSheetId="82">'415'!$T$59</definedName>
    <definedName name="OSRRefT22_7x_0" localSheetId="83">'418'!$T$60</definedName>
    <definedName name="OSRRefT22_7x_0" localSheetId="86">'424'!$T$56:$T$57</definedName>
    <definedName name="OSRRefT22_7x_0" localSheetId="87">'425'!$T$59</definedName>
    <definedName name="OSRRefT22_7x_0" localSheetId="90">'430'!$T$51:$T$53</definedName>
    <definedName name="OSRRefT22_7x_0" localSheetId="91">'433'!$T$59</definedName>
    <definedName name="OSRRefT22_7x_0" localSheetId="92">'435'!$T$59</definedName>
    <definedName name="OSRRefT22_7x_0" localSheetId="93">'444'!$T$59</definedName>
    <definedName name="OSRRefT22_7x_0" localSheetId="94">'450'!$T$60</definedName>
    <definedName name="OSRRefT22_7x_0" localSheetId="75">'491'!$T$69</definedName>
    <definedName name="OSRRefT22_7x_0" localSheetId="89">'492'!$T$63</definedName>
    <definedName name="OSRRefT22_7x_0" localSheetId="96">'501'!$T$52</definedName>
    <definedName name="OSRRefT22_7x_0" localSheetId="39">'Div 2'!$T$54</definedName>
    <definedName name="OSRRefT22_7x_0" localSheetId="47">'Div 3'!$T$201:$T$202</definedName>
    <definedName name="OSRRefT22_7x_0" localSheetId="73">'Div 4'!$T$72</definedName>
    <definedName name="OSRRefT22_7x_0" localSheetId="95">'Div 5'!$T$52</definedName>
    <definedName name="OSRRefT22_7x_0" localSheetId="63">'Div 6'!$T$92</definedName>
    <definedName name="OSRRefT22_7x_0" localSheetId="2">Summary!$T$233:$T$235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'204'!$T$57</definedName>
    <definedName name="OSRRefT22_8x_0" localSheetId="45">'205'!$T$55</definedName>
    <definedName name="OSRRefT22_8x_0" localSheetId="46">'206'!$T$54</definedName>
    <definedName name="OSRRefT22_8x_0" localSheetId="48">'300'!$T$198</definedName>
    <definedName name="OSRRefT22_8x_0" localSheetId="49">'300 &amp; 317'!$T$223</definedName>
    <definedName name="OSRRefT22_8x_0" localSheetId="50">'301'!$T$59</definedName>
    <definedName name="OSRRefT22_8x_0" localSheetId="51">'306'!$T$54:$T$56</definedName>
    <definedName name="OSRRefT22_8x_0" localSheetId="53">'307'!$T$104:$T$105</definedName>
    <definedName name="OSRRefT22_8x_0" localSheetId="55">'308'!$T$97</definedName>
    <definedName name="OSRRefT22_8x_0" localSheetId="66">'309'!$T$60:$T$61</definedName>
    <definedName name="OSRRefT22_8x_0" localSheetId="65">'310'!$T$68</definedName>
    <definedName name="OSRRefT22_8x_0" localSheetId="74">'310 &amp; 491'!$T$77</definedName>
    <definedName name="OSRRefT22_8x_0" localSheetId="56">'311'!$T$97</definedName>
    <definedName name="OSRRefT22_8x_0" localSheetId="67">'313'!$T$62</definedName>
    <definedName name="OSRRefT22_8x_0" localSheetId="59">'315'!$T$92</definedName>
    <definedName name="OSRRefT22_8x_0" localSheetId="61">'316'!$T$66</definedName>
    <definedName name="OSRRefT22_8x_0" localSheetId="64">'317'!$T$94:$T$95</definedName>
    <definedName name="OSRRefT22_8x_0" localSheetId="62">'320'!$T$62</definedName>
    <definedName name="OSRRefT22_8x_0" localSheetId="68">'321'!$T$58</definedName>
    <definedName name="OSRRefT22_8x_0" localSheetId="69">'322'!$T$60</definedName>
    <definedName name="OSRRefT22_8x_0" localSheetId="70">'325'!$T$61</definedName>
    <definedName name="OSRRefT22_8x_0" localSheetId="71">'326'!$T$87</definedName>
    <definedName name="OSRRefT22_8x_0" localSheetId="52">'330'!$T$113:$T$114</definedName>
    <definedName name="OSRRefT22_8x_0" localSheetId="58">'331'!$T$105:$T$106</definedName>
    <definedName name="OSRRefT22_8x_0" localSheetId="60">'332'!$T$75</definedName>
    <definedName name="OSRRefT22_8x_0" localSheetId="76">'405'!$T$61</definedName>
    <definedName name="OSRRefT22_8x_0" localSheetId="77">'406'!$T$61:$T$63</definedName>
    <definedName name="OSRRefT22_8x_0" localSheetId="78">'411'!$T$57</definedName>
    <definedName name="OSRRefT22_8x_0" localSheetId="79">'412'!$T$61:$T$62</definedName>
    <definedName name="OSRRefT22_8x_0" localSheetId="80">'413'!$T$62</definedName>
    <definedName name="OSRRefT22_8x_0" localSheetId="81">'414'!$T$61</definedName>
    <definedName name="OSRRefT22_8x_0" localSheetId="82">'415'!$T$61</definedName>
    <definedName name="OSRRefT22_8x_0" localSheetId="83">'418'!$T$62:$T$63</definedName>
    <definedName name="OSRRefT22_8x_0" localSheetId="86">'424'!$T$59:$T$60</definedName>
    <definedName name="OSRRefT22_8x_0" localSheetId="87">'425'!$T$61</definedName>
    <definedName name="OSRRefT22_8x_0" localSheetId="90">'430'!$T$55</definedName>
    <definedName name="OSRRefT22_8x_0" localSheetId="91">'433'!$T$61</definedName>
    <definedName name="OSRRefT22_8x_0" localSheetId="93">'444'!$T$61</definedName>
    <definedName name="OSRRefT22_8x_0" localSheetId="94">'450'!$T$62</definedName>
    <definedName name="OSRRefT22_8x_0" localSheetId="75">'491'!$T$71</definedName>
    <definedName name="OSRRefT22_8x_0" localSheetId="89">'492'!$T$65</definedName>
    <definedName name="OSRRefT22_8x_0" localSheetId="96">'501'!$T$54</definedName>
    <definedName name="OSRRefT22_8x_0" localSheetId="39">'Div 2'!$T$56</definedName>
    <definedName name="OSRRefT22_8x_0" localSheetId="47">'Div 3'!$T$204</definedName>
    <definedName name="OSRRefT22_8x_0" localSheetId="73">'Div 4'!$T$74</definedName>
    <definedName name="OSRRefT22_8x_0" localSheetId="95">'Div 5'!$T$54</definedName>
    <definedName name="OSRRefT22_8x_0" localSheetId="63">'Div 6'!$T$94:$T$95</definedName>
    <definedName name="OSRRefT22_8x_0" localSheetId="2">Summary!$T$237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'204'!$T$59</definedName>
    <definedName name="OSRRefT22_9x_0" localSheetId="45">'205'!$T$57</definedName>
    <definedName name="OSRRefT22_9x_0" localSheetId="46">'206'!$T$56</definedName>
    <definedName name="OSRRefT22_9x_0" localSheetId="48">'300'!$T$200</definedName>
    <definedName name="OSRRefT22_9x_0" localSheetId="49">'300 &amp; 317'!$T$225</definedName>
    <definedName name="OSRRefT22_9x_0" localSheetId="50">'301'!$T$61</definedName>
    <definedName name="OSRRefT22_9x_0" localSheetId="51">'306'!$T$58</definedName>
    <definedName name="OSRRefT22_9x_0" localSheetId="53">'307'!$T$107:$T$108</definedName>
    <definedName name="OSRRefT22_9x_0" localSheetId="55">'308'!$T$99:$T$100</definedName>
    <definedName name="OSRRefT22_9x_0" localSheetId="66">'309'!$T$63:$T$64</definedName>
    <definedName name="OSRRefT22_9x_0" localSheetId="65">'310'!$T$70</definedName>
    <definedName name="OSRRefT22_9x_0" localSheetId="74">'310 &amp; 491'!$T$79</definedName>
    <definedName name="OSRRefT22_9x_0" localSheetId="56">'311'!$T$99:$T$100</definedName>
    <definedName name="OSRRefT22_9x_0" localSheetId="67">'313'!$T$64</definedName>
    <definedName name="OSRRefT22_9x_0" localSheetId="59">'315'!$T$94</definedName>
    <definedName name="OSRRefT22_9x_0" localSheetId="61">'316'!$T$68</definedName>
    <definedName name="OSRRefT22_9x_0" localSheetId="64">'317'!$T$97:$T$98</definedName>
    <definedName name="OSRRefT22_9x_0" localSheetId="68">'321'!$T$60:$T$62</definedName>
    <definedName name="OSRRefT22_9x_0" localSheetId="69">'322'!$T$62:$T$64</definedName>
    <definedName name="OSRRefT22_9x_0" localSheetId="70">'325'!$T$63</definedName>
    <definedName name="OSRRefT22_9x_0" localSheetId="71">'326'!$T$89</definedName>
    <definedName name="OSRRefT22_9x_0" localSheetId="52">'330'!$T$116:$T$117</definedName>
    <definedName name="OSRRefT22_9x_0" localSheetId="58">'331'!$T$108</definedName>
    <definedName name="OSRRefT22_9x_0" localSheetId="60">'332'!$T$77</definedName>
    <definedName name="OSRRefT22_9x_0" localSheetId="76">'405'!$T$63</definedName>
    <definedName name="OSRRefT22_9x_0" localSheetId="77">'406'!$T$65:$T$67</definedName>
    <definedName name="OSRRefT22_9x_0" localSheetId="78">'411'!$T$59</definedName>
    <definedName name="OSRRefT22_9x_0" localSheetId="79">'412'!$T$64</definedName>
    <definedName name="OSRRefT22_9x_0" localSheetId="80">'413'!$T$64:$T$69</definedName>
    <definedName name="OSRRefT22_9x_0" localSheetId="81">'414'!$T$63:$T$64</definedName>
    <definedName name="OSRRefT22_9x_0" localSheetId="82">'415'!$T$63</definedName>
    <definedName name="OSRRefT22_9x_0" localSheetId="83">'418'!$T$65:$T$67</definedName>
    <definedName name="OSRRefT22_9x_0" localSheetId="86">'424'!$T$62</definedName>
    <definedName name="OSRRefT22_9x_0" localSheetId="87">'425'!$T$63:$T$65</definedName>
    <definedName name="OSRRefT22_9x_0" localSheetId="90">'430'!$T$57</definedName>
    <definedName name="OSRRefT22_9x_0" localSheetId="91">'433'!$T$63</definedName>
    <definedName name="OSRRefT22_9x_0" localSheetId="93">'444'!$T$63</definedName>
    <definedName name="OSRRefT22_9x_0" localSheetId="94">'450'!$T$64</definedName>
    <definedName name="OSRRefT22_9x_0" localSheetId="75">'491'!$T$73:$T$74</definedName>
    <definedName name="OSRRefT22_9x_0" localSheetId="89">'492'!$T$67</definedName>
    <definedName name="OSRRefT22_9x_0" localSheetId="96">'501'!$T$56</definedName>
    <definedName name="OSRRefT22_9x_0" localSheetId="39">'Div 2'!$T$58</definedName>
    <definedName name="OSRRefT22_9x_0" localSheetId="47">'Div 3'!$T$206</definedName>
    <definedName name="OSRRefT22_9x_0" localSheetId="73">'Div 4'!$T$76</definedName>
    <definedName name="OSRRefT22_9x_0" localSheetId="95">'Div 5'!$T$56</definedName>
    <definedName name="OSRRefT22_9x_0" localSheetId="63">'Div 6'!$T$97:$T$98</definedName>
    <definedName name="OSRRefT22_9x_0" localSheetId="2">Summary!$T$239</definedName>
    <definedName name="OSRRefT22x_0" localSheetId="40">'200'!$T$20,'200'!$T$22,'200'!$T$24,'200'!$T$26:$T$27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'202'!$T$20:$T$28,'202'!$T$30:$T$39,'202'!$T$41,'202'!$T$43,'202'!$T$45,'202'!$T$47,'202'!$T$49,'202'!$T$51,'202'!$T$53,'202'!$T$55:$T$57,'202'!$T$59,'202'!$T$61:$T$62,'202'!$T$64,'202'!$T$66,'202'!$T$68:$T$69,'202'!$T$71,'202'!$T$73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'204'!$T$20:$T$29,'204'!$T$31:$T$40,'204'!$T$42,'204'!$T$44,'204'!$T$46,'204'!$T$48,'204'!$T$50,'204'!$T$52:$T$55,'204'!$T$57,'204'!$T$59,'204'!$T$61:$T$62,'204'!$T$64,'204'!$T$66:$T$67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$158:$T$167,'300'!$T$169:$T$178,'300'!$T$180,'300'!$T$182:$T$183,'300'!$T$185,'300'!$T$187:$T$190,'300'!$T$192:$T$193,'300'!$T$195:$T$196,'300'!$T$198,'300'!$T$200,'300'!$T$202:$T$203,'300'!$T$205,'300'!$T$207,'300'!$T$209,'300'!$T$211,'300'!$T$213,'300'!$T$215:$T$217,'300'!$T$219:$T$222,'300'!$T$224:$T$227,'300'!$T$229:$T$230,'300'!$T$232:$T$238,'300'!$T$240:$T$241,'300'!$T$243,'300'!$T$245:$T$247,'300'!$T$249</definedName>
    <definedName name="OSRRefT22x_0" localSheetId="49">'300 &amp; 317'!$T$183:$T$192,'300 &amp; 317'!$T$194:$T$203,'300 &amp; 317'!$T$205,'300 &amp; 317'!$T$207:$T$208,'300 &amp; 317'!$T$210,'300 &amp; 317'!$T$212:$T$215,'300 &amp; 317'!$T$217:$T$218,'300 &amp; 317'!$T$220:$T$221,'300 &amp; 317'!$T$223,'300 &amp; 317'!$T$225,'300 &amp; 317'!$T$227:$T$228,'300 &amp; 317'!$T$230,'300 &amp; 317'!$T$232,'300 &amp; 317'!$T$234,'300 &amp; 317'!$T$236,'300 &amp; 317'!$T$238,'300 &amp; 317'!$T$240:$T$242,'300 &amp; 317'!$T$244:$T$247,'300 &amp; 317'!$T$249:$T$252,'300 &amp; 317'!$T$254:$T$255,'300 &amp; 317'!$T$257:$T$263,'300 &amp; 317'!$T$265:$T$266,'300 &amp; 317'!$T$268,'300 &amp; 317'!$T$270:$T$272,'300 &amp; 317'!$T$274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$75,'301'!$T$77:$T$79,'301'!$T$81:$T$82,'301'!$T$84:$T$89,'301'!$T$91,'301'!$T$93,'301'!$T$95:$T$96,'301'!$T$98</definedName>
    <definedName name="OSRRefT22x_0" localSheetId="51">'306'!$T$20:$T$28,'306'!$T$30:$T$39,'306'!$T$41,'306'!$T$43,'306'!$T$45,'306'!$T$47,'306'!$T$49,'306'!$T$51:$T$52,'306'!$T$54:$T$56,'306'!$T$58,'306'!$T$60</definedName>
    <definedName name="OSRRefT22x_0" localSheetId="53">'307'!$T$70:$T$78,'307'!$T$80:$T$89,'307'!$T$91,'307'!$T$93,'307'!$T$95:$T$96,'307'!$T$98,'307'!$T$100,'307'!$T$102,'307'!$T$104:$T$105,'307'!$T$107:$T$108,'307'!$T$110:$T$111,'307'!$T$113,'307'!$T$115</definedName>
    <definedName name="OSRRefT22x_0" localSheetId="55">'308'!$T$61:$T$70,'308'!$T$72:$T$81,'308'!$T$83,'308'!$T$85:$T$86,'308'!$T$88,'308'!$T$90,'308'!$T$92:$T$93,'308'!$T$95,'308'!$T$97,'308'!$T$99:$T$100,'308'!$T$102,'308'!$T$104:$T$106,'308'!$T$108:$T$109,'308'!$T$111,'308'!$T$113:$T$114</definedName>
    <definedName name="OSRRefT22x_0" localSheetId="66">'309'!$T$26:$T$34,'309'!$T$36:$T$45,'309'!$T$47,'309'!$T$49,'309'!$T$51,'309'!$T$53:$T$54,'309'!$T$56,'309'!$T$58,'309'!$T$60:$T$61,'309'!$T$63:$T$64,'309'!$T$66:$T$68,'309'!$T$70,'309'!$T$72</definedName>
    <definedName name="OSRRefT22x_0" localSheetId="65">'310'!$T$33:$T$41,'310'!$T$43:$T$52,'310'!$T$54,'310'!$T$56,'310'!$T$58,'310'!$T$60:$T$62,'310'!$T$64,'310'!$T$66,'310'!$T$68,'310'!$T$70,'310'!$T$72,'310'!$T$74,'310'!$T$76,'310'!$T$78,'310'!$T$80,'310'!$T$82:$T$84,'310'!$T$86:$T$87,'310'!$T$89:$T$93,'310'!$T$95,'310'!$T$97:$T$104,'310'!$T$106,'310'!$T$108,'310'!$T$110,'310'!$T$112</definedName>
    <definedName name="OSRRefT22x_0" localSheetId="74">'310 &amp; 491'!$T$40:$T$49,'310 &amp; 491'!$T$51:$T$60,'310 &amp; 491'!$T$62,'310 &amp; 491'!$T$64,'310 &amp; 491'!$T$66,'310 &amp; 491'!$T$68:$T$71,'310 &amp; 491'!$T$73,'310 &amp; 491'!$T$75,'310 &amp; 491'!$T$77,'310 &amp; 491'!$T$79,'310 &amp; 491'!$T$81,'310 &amp; 491'!$T$83:$T$84,'310 &amp; 491'!$T$86,'310 &amp; 491'!$T$88,'310 &amp; 491'!$T$90,'310 &amp; 491'!$T$92,'310 &amp; 491'!$T$94,'310 &amp; 491'!$T$96:$T$99,'310 &amp; 491'!$T$101:$T$103,'310 &amp; 491'!$T$105:$T$110,'310 &amp; 491'!$T$112,'310 &amp; 491'!$T$114:$T$123,'310 &amp; 491'!$T$125:$T$126,'310 &amp; 491'!$T$128,'310 &amp; 491'!$T$130:$T$132,'310 &amp; 491'!$T$134</definedName>
    <definedName name="OSRRefT22x_0" localSheetId="56">'311'!$T$61:$T$70,'311'!$T$72:$T$81,'311'!$T$83,'311'!$T$85:$T$86,'311'!$T$88,'311'!$T$90,'311'!$T$92:$T$93,'311'!$T$95,'311'!$T$97,'311'!$T$99:$T$100,'311'!$T$102,'311'!$T$104:$T$106,'311'!$T$108:$T$109,'311'!$T$111,'311'!$T$113:$T$114</definedName>
    <definedName name="OSRRefT22x_0" localSheetId="67">'313'!$T$29:$T$37,'313'!$T$39:$T$48,'313'!$T$50,'313'!$T$52,'313'!$T$54,'313'!$T$56,'313'!$T$58,'313'!$T$60,'313'!$T$62,'313'!$T$64,'313'!$T$66:$T$68,'313'!$T$70,'313'!$T$72:$T$76,'313'!$T$78,'313'!$T$80</definedName>
    <definedName name="OSRRefT22x_0" localSheetId="54">'314'!$T$58:$T$65,'314'!$T$67:$T$76,'314'!$T$78,'314'!$T$80:$T$81,'314'!$T$83,'314'!$T$85,'314'!$T$87,'314'!$T$89</definedName>
    <definedName name="OSRRefT22x_0" localSheetId="59">'315'!$T$57:$T$65,'315'!$T$67:$T$76,'315'!$T$78,'315'!$T$80:$T$81,'315'!$T$83,'315'!$T$85:$T$86,'315'!$T$88,'315'!$T$90,'315'!$T$92,'315'!$T$94,'315'!$T$96:$T$98,'315'!$T$100:$T$101,'315'!$T$103:$T$106,'315'!$T$108,'315'!$T$110,'315'!$T$112:$T$113</definedName>
    <definedName name="OSRRefT22x_0" localSheetId="61">'316'!$T$33:$T$41,'316'!$T$43:$T$52,'316'!$T$54,'316'!$T$56,'316'!$T$58,'316'!$T$60,'316'!$T$62,'316'!$T$64,'316'!$T$66,'316'!$T$68,'316'!$T$70:$T$71,'316'!$T$73:$T$76,'316'!$T$78:$T$79,'316'!$T$81</definedName>
    <definedName name="OSRRefT22x_0" localSheetId="64">'317'!$T$60:$T$69,'317'!$T$71:$T$80,'317'!$T$82,'317'!$T$84,'317'!$T$86,'317'!$T$88,'317'!$T$90,'317'!$T$92,'317'!$T$94:$T$95,'317'!$T$97:$T$98,'317'!$T$100</definedName>
    <definedName name="OSRRefT22x_0" localSheetId="62">'320'!$T$28:$T$35,'320'!$T$37:$T$46,'320'!$T$48,'320'!$T$50,'320'!$T$52:$T$53,'320'!$T$55,'320'!$T$57,'320'!$T$59:$T$60,'320'!$T$62</definedName>
    <definedName name="OSRRefT22x_0" localSheetId="68">'321'!$T$26:$T$33,'321'!$T$35:$T$44,'321'!$T$46,'321'!$T$48,'321'!$T$50,'321'!$T$52,'321'!$T$54,'321'!$T$56,'321'!$T$58,'321'!$T$60:$T$62,'321'!$T$64:$T$65,'321'!$T$67:$T$69,'321'!$T$71:$T$73,'321'!$T$75,'321'!$T$77</definedName>
    <definedName name="OSRRefT22x_0" localSheetId="69">'322'!$T$26:$T$34,'322'!$T$36:$T$45,'322'!$T$47,'322'!$T$49,'322'!$T$51,'322'!$T$53:$T$54,'322'!$T$56,'322'!$T$58,'322'!$T$60,'322'!$T$62:$T$64,'322'!$T$66:$T$68,'322'!$T$70:$T$74,'322'!$T$76,'322'!$T$78</definedName>
    <definedName name="OSRRefT22x_0" localSheetId="70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71">'326'!$T$53:$T$61,'326'!$T$63:$T$72,'326'!$T$74,'326'!$T$76:$T$77,'326'!$T$79,'326'!$T$81,'326'!$T$83,'326'!$T$85,'326'!$T$87,'326'!$T$89,'326'!$T$91,'326'!$T$93,'326'!$T$95,'326'!$T$97:$T$98,'326'!$T$100:$T$102,'326'!$T$104:$T$105,'326'!$T$107:$T$111,'326'!$T$113:$T$114,'326'!$T$116,'326'!$T$118,'326'!$T$120</definedName>
    <definedName name="OSRRefT22x_0" localSheetId="72">'327'!$T$24,'327'!$T$26,'327'!$T$28</definedName>
    <definedName name="OSRRefT22x_0" localSheetId="52">'330'!$T$79:$T$87,'330'!$T$89:$T$98,'330'!$T$100,'330'!$T$102,'330'!$T$104:$T$105,'330'!$T$107,'330'!$T$109,'330'!$T$111,'330'!$T$113:$T$114,'330'!$T$116:$T$117,'330'!$T$119,'330'!$T$121:$T$122,'330'!$T$124,'330'!$T$126</definedName>
    <definedName name="OSRRefT22x_0" localSheetId="58">'331'!$T$70:$T$78,'331'!$T$80:$T$89,'331'!$T$91,'331'!$T$93:$T$94,'331'!$T$96,'331'!$T$98:$T$99,'331'!$T$101,'331'!$T$103,'331'!$T$105:$T$106,'331'!$T$108,'331'!$T$110,'331'!$T$112,'331'!$T$114,'331'!$T$116,'331'!$T$118:$T$119,'331'!$T$121:$T$123,'331'!$T$125:$T$127,'331'!$T$129:$T$130,'331'!$T$132:$T$136,'331'!$T$138:$T$139,'331'!$T$141,'331'!$T$143:$T$144,'331'!$T$146</definedName>
    <definedName name="OSRRefT22x_0" localSheetId="60">'332'!$T$41:$T$49,'332'!$T$51:$T$60,'332'!$T$62,'332'!$T$64,'332'!$T$66,'332'!$T$68,'332'!$T$70,'332'!$T$72:$T$73,'332'!$T$75,'332'!$T$77,'332'!$T$79,'332'!$T$81:$T$82,'332'!$T$84:$T$88,'332'!$T$90:$T$91,'332'!$T$93</definedName>
    <definedName name="OSRRefT22x_0" localSheetId="76">'405'!$T$26:$T$34,'405'!$T$36:$T$45,'405'!$T$47,'405'!$T$49,'405'!$T$51,'405'!$T$53:$T$55,'405'!$T$57,'405'!$T$59,'405'!$T$61,'405'!$T$63,'405'!$T$65:$T$67,'405'!$T$69,'405'!$T$71:$T$73,'405'!$T$75,'405'!$T$77:$T$85,'405'!$T$87,'405'!$T$89,'405'!$T$91</definedName>
    <definedName name="OSRRefT22x_0" localSheetId="77">'406'!$T$27:$T$35,'406'!$T$37:$T$46,'406'!$T$48,'406'!$T$50,'406'!$T$52,'406'!$T$54:$T$55,'406'!$T$57,'406'!$T$59,'406'!$T$61:$T$63,'406'!$T$65:$T$67,'406'!$T$69:$T$74,'406'!$T$76:$T$77,'406'!$T$79,'406'!$T$81</definedName>
    <definedName name="OSRRefT22x_0" localSheetId="78">'411'!$T$20:$T$29,'411'!$T$31:$T$40,'411'!$T$42,'411'!$T$44:$T$47,'411'!$T$49,'411'!$T$51,'411'!$T$53,'411'!$T$55,'411'!$T$57,'411'!$T$59,'411'!$T$61:$T$63,'411'!$T$65:$T$69,'411'!$T$71:$T$77,'411'!$T$79,'411'!$T$81,'411'!$T$83:$T$85,'411'!$T$87</definedName>
    <definedName name="OSRRefT22x_0" localSheetId="79">'412'!$T$26:$T$34,'412'!$T$36:$T$45,'412'!$T$47,'412'!$T$49,'412'!$T$51,'412'!$T$53:$T$55,'412'!$T$57,'412'!$T$59,'412'!$T$61:$T$62,'412'!$T$64,'412'!$T$66:$T$68,'412'!$T$70:$T$75,'412'!$T$77,'412'!$T$79</definedName>
    <definedName name="OSRRefT22x_0" localSheetId="80">'413'!$T$27:$T$35,'413'!$T$37:$T$46,'413'!$T$48,'413'!$T$50,'413'!$T$52,'413'!$T$54,'413'!$T$56,'413'!$T$58:$T$60,'413'!$T$62,'413'!$T$64:$T$69,'413'!$T$71:$T$72,'413'!$T$74</definedName>
    <definedName name="OSRRefT22x_0" localSheetId="81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2">'415'!$T$26:$T$34,'415'!$T$36:$T$45,'415'!$T$47,'415'!$T$49,'415'!$T$51,'415'!$T$53:$T$55,'415'!$T$57,'415'!$T$59,'415'!$T$61,'415'!$T$63,'415'!$T$65,'415'!$T$67:$T$69,'415'!$T$71:$T$75,'415'!$T$77,'415'!$T$79:$T$86,'415'!$T$88,'415'!$T$90,'415'!$T$92:$T$93,'415'!$T$95</definedName>
    <definedName name="OSRRefT22x_0" localSheetId="83">'418'!$T$27:$T$35,'418'!$T$37:$T$46,'418'!$T$48,'418'!$T$50,'418'!$T$52,'418'!$T$54:$T$56,'418'!$T$58,'418'!$T$60,'418'!$T$62:$T$63,'418'!$T$65:$T$67,'418'!$T$69:$T$71,'418'!$T$73,'418'!$T$75:$T$81,'418'!$T$83,'418'!$T$85,'418'!$T$87</definedName>
    <definedName name="OSRRefT22x_0" localSheetId="84">'420'!$T$22:$T$28,'420'!$T$30:$T$33,'420'!$T$35,'420'!$T$37</definedName>
    <definedName name="OSRRefT22x_0" localSheetId="85">'423'!$T$21:$T$29,'423'!$T$31:$T$40,'423'!$T$42,'423'!$T$44,'423'!$T$46,'423'!$T$48</definedName>
    <definedName name="OSRRefT22x_0" localSheetId="86">'424'!$T$26:$T$33,'424'!$T$35:$T$44,'424'!$T$46,'424'!$T$48,'424'!$T$50,'424'!$T$52,'424'!$T$54,'424'!$T$56:$T$57,'424'!$T$59:$T$60,'424'!$T$62,'424'!$T$64:$T$67,'424'!$T$69:$T$70</definedName>
    <definedName name="OSRRefT22x_0" localSheetId="87">'425'!$T$27:$T$35,'425'!$T$37:$T$46,'425'!$T$48,'425'!$T$50,'425'!$T$52,'425'!$T$54:$T$55,'425'!$T$57,'425'!$T$59,'425'!$T$61,'425'!$T$63:$T$65,'425'!$T$67:$T$68,'425'!$T$70:$T$71,'425'!$T$73:$T$78,'425'!$T$80:$T$81,'425'!$T$83,'425'!$T$85</definedName>
    <definedName name="OSRRefT22x_0" localSheetId="90">'430'!$T$20:$T$28,'430'!$T$30:$T$39,'430'!$T$41,'430'!$T$43,'430'!$T$45,'430'!$T$47,'430'!$T$49,'430'!$T$51:$T$53,'430'!$T$55,'430'!$T$57,'430'!$T$59</definedName>
    <definedName name="OSRRefT22x_0" localSheetId="91">'433'!$T$27:$T$36,'433'!$T$38:$T$47,'433'!$T$49,'433'!$T$51,'433'!$T$53,'433'!$T$55,'433'!$T$57,'433'!$T$59,'433'!$T$61,'433'!$T$63,'433'!$T$65:$T$66,'433'!$T$68:$T$71,'433'!$T$73:$T$79,'433'!$T$81,'433'!$T$83,'433'!$T$85:$T$86</definedName>
    <definedName name="OSRRefT22x_0" localSheetId="92">'435'!$T$27:$T$34,'435'!$T$36:$T$45,'435'!$T$47,'435'!$T$49,'435'!$T$51,'435'!$T$53,'435'!$T$55:$T$57,'435'!$T$59</definedName>
    <definedName name="OSRRefT22x_0" localSheetId="93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4">'450'!$T$27:$T$36,'450'!$T$38:$T$47,'450'!$T$49,'450'!$T$51:$T$52,'450'!$T$54,'450'!$T$56,'450'!$T$58,'450'!$T$60,'450'!$T$62,'450'!$T$64,'450'!$T$66,'450'!$T$68:$T$70,'450'!$T$72:$T$74,'450'!$T$76:$T$81,'450'!$T$83,'450'!$T$85,'450'!$T$87:$T$88</definedName>
    <definedName name="OSRRefT22x_0" localSheetId="88">'455'!$T$20:$T$27,'455'!$T$29:$T$38</definedName>
    <definedName name="OSRRefT22x_0" localSheetId="75">'491'!$T$34:$T$43,'491'!$T$45:$T$54,'491'!$T$56,'491'!$T$58,'491'!$T$60,'491'!$T$62:$T$65,'491'!$T$67,'491'!$T$69,'491'!$T$71,'491'!$T$73:$T$74,'491'!$T$76,'491'!$T$78,'491'!$T$80,'491'!$T$82,'491'!$T$84:$T$87,'491'!$T$89:$T$91,'491'!$T$93:$T$97,'491'!$T$99,'491'!$T$101:$T$110,'491'!$T$112:$T$113,'491'!$T$115,'491'!$T$117:$T$119,'491'!$T$121</definedName>
    <definedName name="OSRRefT22x_0" localSheetId="89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6">'501'!$T$21:$T$29,'501'!$T$31:$T$40,'501'!$T$42,'501'!$T$44,'501'!$T$46,'501'!$T$48,'501'!$T$50,'501'!$T$52,'501'!$T$54,'501'!$T$56,'501'!$T$58:$T$59,'501'!$T$61:$T$63,'501'!$T$65</definedName>
    <definedName name="OSRRefT22x_0" localSheetId="39">'Div 2'!$T$20:$T$30,'Div 2'!$T$32:$T$41,'Div 2'!$T$43,'Div 2'!$T$45,'Div 2'!$T$47,'Div 2'!$T$49,'Div 2'!$T$51:$T$52,'Div 2'!$T$54,'Div 2'!$T$56,'Div 2'!$T$58,'Div 2'!$T$60,'Div 2'!$T$62,'Div 2'!$T$64:$T$66,'Div 2'!$T$68:$T$71,'Div 2'!$T$73:$T$76,'Div 2'!$T$78:$T$79,'Div 2'!$T$81:$T$82,'Div 2'!$T$84:$T$87,'Div 2'!$T$89:$T$90,'Div 2'!$T$92,'Div 2'!$T$94:$T$95</definedName>
    <definedName name="OSRRefT22x_0" localSheetId="47">'Div 3'!$T$164:$T$173,'Div 3'!$T$175:$T$184,'Div 3'!$T$186,'Div 3'!$T$188:$T$189,'Div 3'!$T$191,'Div 3'!$T$193:$T$196,'Div 3'!$T$198:$T$199,'Div 3'!$T$201:$T$202,'Div 3'!$T$204,'Div 3'!$T$206,'Div 3'!$T$208:$T$209,'Div 3'!$T$211,'Div 3'!$T$213,'Div 3'!$T$215,'Div 3'!$T$217,'Div 3'!$T$219,'Div 3'!$T$221,'Div 3'!$T$223,'Div 3'!$T$225:$T$227,'Div 3'!$T$229:$T$232,'Div 3'!$T$234:$T$239,'Div 3'!$T$241:$T$242,'Div 3'!$T$244:$T$251,'Div 3'!$T$253:$T$254,'Div 3'!$T$256,'Div 3'!$T$258:$T$260,'Div 3'!$T$262</definedName>
    <definedName name="OSRRefT22x_0" localSheetId="73">'Div 4'!$T$35:$T$44,'Div 4'!$T$46:$T$55,'Div 4'!$T$57,'Div 4'!$T$59:$T$60,'Div 4'!$T$62,'Div 4'!$T$64:$T$67,'Div 4'!$T$69:$T$70,'Div 4'!$T$72,'Div 4'!$T$74,'Div 4'!$T$76,'Div 4'!$T$78:$T$79,'Div 4'!$T$81,'Div 4'!$T$83,'Div 4'!$T$85,'Div 4'!$T$87,'Div 4'!$T$89,'Div 4'!$T$91:$T$94,'Div 4'!$T$96:$T$98,'Div 4'!$T$100:$T$104,'Div 4'!$T$106,'Div 4'!$T$108:$T$117,'Div 4'!$T$119:$T$120,'Div 4'!$T$122,'Div 4'!$T$124:$T$126,'Div 4'!$T$128</definedName>
    <definedName name="OSRRefT22x_0" localSheetId="95">'Div 5'!$T$21:$T$29,'Div 5'!$T$31:$T$40,'Div 5'!$T$42,'Div 5'!$T$44,'Div 5'!$T$46,'Div 5'!$T$48,'Div 5'!$T$50,'Div 5'!$T$52,'Div 5'!$T$54,'Div 5'!$T$56,'Div 5'!$T$58:$T$59,'Div 5'!$T$61:$T$63,'Div 5'!$T$65</definedName>
    <definedName name="OSRRefT22x_0" localSheetId="63">'Div 6'!$T$60:$T$69,'Div 6'!$T$71:$T$80,'Div 6'!$T$82,'Div 6'!$T$84,'Div 6'!$T$86,'Div 6'!$T$88,'Div 6'!$T$90,'Div 6'!$T$92,'Div 6'!$T$94:$T$95,'Div 6'!$T$97:$T$98,'Div 6'!$T$100</definedName>
    <definedName name="OSRRefT22x_0" localSheetId="2">Summary!$T$196:$T$205,Summary!$T$207:$T$216,Summary!$T$218,Summary!$T$220:$T$221,Summary!$T$223,Summary!$T$225:$T$228,Summary!$T$230:$T$231,Summary!$T$233:$T$235,Summary!$T$237,Summary!$T$239,Summary!$T$241:$T$242,Summary!$T$244:$T$245,Summary!$T$247,Summary!$T$249,Summary!$T$251,Summary!$T$253,Summary!$T$255,Summary!$T$257,Summary!$T$259:$T$262,Summary!$T$264:$T$267,Summary!$T$269:$T$274,Summary!$T$276:$T$277,Summary!$T$279:$T$288,Summary!$T$290:$T$291,Summary!$T$293,Summary!$T$295:$T$297,Summary!$T$299</definedName>
    <definedName name="OSRRefT25x_0" localSheetId="48">'300'!$T$252:$T$259</definedName>
    <definedName name="OSRRefT25x_0" localSheetId="49">'300 &amp; 317'!$T$277:$T$286</definedName>
    <definedName name="OSRRefT25x_0" localSheetId="50">'301'!$T$101:$T$103</definedName>
    <definedName name="OSRRefT25x_0" localSheetId="55">'308'!$T$117:$T$120</definedName>
    <definedName name="OSRRefT25x_0" localSheetId="74">'310 &amp; 491'!$T$137:$T$140</definedName>
    <definedName name="OSRRefT25x_0" localSheetId="56">'311'!$T$117:$T$120</definedName>
    <definedName name="OSRRefT25x_0" localSheetId="59">'315'!$T$116:$T$118</definedName>
    <definedName name="OSRRefT25x_0" localSheetId="61">'316'!$T$84:$T$85</definedName>
    <definedName name="OSRRefT25x_0" localSheetId="64">'317'!$T$103:$T$105</definedName>
    <definedName name="OSRRefT25x_0" localSheetId="62">'320'!$T$65:$T$69</definedName>
    <definedName name="OSRRefT25x_0" localSheetId="58">'331'!$T$149:$T$151</definedName>
    <definedName name="OSRRefT25x_0" localSheetId="60">'332'!$T$96:$T$102</definedName>
    <definedName name="OSRRefT25x_0" localSheetId="78">'411'!$T$90:$T$91</definedName>
    <definedName name="OSRRefT25x_0" localSheetId="80">'413'!$T$77</definedName>
    <definedName name="OSRRefT25x_0" localSheetId="85">'423'!$T$51</definedName>
    <definedName name="OSRRefT25x_0" localSheetId="86">'424'!$T$73</definedName>
    <definedName name="OSRRefT25x_0" localSheetId="87">'425'!$T$88</definedName>
    <definedName name="OSRRefT25x_0" localSheetId="88">'455'!$T$41:$T$44</definedName>
    <definedName name="OSRRefT25x_0" localSheetId="75">'491'!$T$124:$T$127</definedName>
    <definedName name="OSRRefT25x_0" localSheetId="96">'501'!$T$68</definedName>
    <definedName name="OSRRefT25x_0" localSheetId="47">'Div 3'!$T$265:$T$272</definedName>
    <definedName name="OSRRefT25x_0" localSheetId="73">'Div 4'!$T$131:$T$134</definedName>
    <definedName name="OSRRefT25x_0" localSheetId="95">'Div 5'!$T$68</definedName>
    <definedName name="OSRRefT25x_0" localSheetId="63">'Div 6'!$T$103:$T$105</definedName>
    <definedName name="OSRRefT25x_0" localSheetId="2">Summary!$T$302:$T$312</definedName>
    <definedName name="_xlnm.Print_Area" localSheetId="10">'100'!$A$1:$Z$34</definedName>
    <definedName name="_xlnm.Print_Area" localSheetId="40">'200'!$A$1:$Z$41</definedName>
    <definedName name="_xlnm.Print_Area" localSheetId="41">'201'!$A$1:$Z$91</definedName>
    <definedName name="_xlnm.Print_Area" localSheetId="42">'202'!$A$1:$Z$87</definedName>
    <definedName name="_xlnm.Print_Area" localSheetId="43">'203'!$A$1:$Z$86</definedName>
    <definedName name="_xlnm.Print_Area" localSheetId="44">'204'!$A$1:$Z$81</definedName>
    <definedName name="_xlnm.Print_Area" localSheetId="45">'205'!$A$1:$Z$71</definedName>
    <definedName name="_xlnm.Print_Area" localSheetId="46">'206'!$A$1:$Z$72</definedName>
    <definedName name="_xlnm.Print_Area" localSheetId="48">'300'!$A$1:$Z$271</definedName>
    <definedName name="_xlnm.Print_Area" localSheetId="49">'300 &amp; 317'!$A$1:$Z$298</definedName>
    <definedName name="_xlnm.Print_Area" localSheetId="50">'301'!$A$1:$Z$115</definedName>
    <definedName name="_xlnm.Print_Area" localSheetId="51">'306'!$A$1:$Z$74</definedName>
    <definedName name="_xlnm.Print_Area" localSheetId="53">'307'!$A$1:$Z$129</definedName>
    <definedName name="_xlnm.Print_Area" localSheetId="55">'308'!$A$1:$Z$132</definedName>
    <definedName name="_xlnm.Print_Area" localSheetId="66">'309'!$A$1:$Z$86</definedName>
    <definedName name="_xlnm.Print_Area" localSheetId="65">'310'!$A$1:$Z$126</definedName>
    <definedName name="_xlnm.Print_Area" localSheetId="74">'310 &amp; 491'!$A$1:$Z$152</definedName>
    <definedName name="_xlnm.Print_Area" localSheetId="56">'311'!$A$1:$Z$132</definedName>
    <definedName name="_xlnm.Print_Area" localSheetId="67">'313'!$A$1:$Z$94</definedName>
    <definedName name="_xlnm.Print_Area" localSheetId="54">'314'!$A$1:$Z$103</definedName>
    <definedName name="_xlnm.Print_Area" localSheetId="59">'315'!$A$1:$Z$130</definedName>
    <definedName name="_xlnm.Print_Area" localSheetId="61">'316'!$A$1:$Z$97</definedName>
    <definedName name="_xlnm.Print_Area" localSheetId="64">'317'!$A$1:$Z$117</definedName>
    <definedName name="_xlnm.Print_Area" localSheetId="62">'320'!$A$1:$Z$81</definedName>
    <definedName name="_xlnm.Print_Area" localSheetId="68">'321'!$A$1:$Z$91</definedName>
    <definedName name="_xlnm.Print_Area" localSheetId="69">'322'!$A$1:$Z$92</definedName>
    <definedName name="_xlnm.Print_Area" localSheetId="57">'324'!$A$1:$Z$38</definedName>
    <definedName name="_xlnm.Print_Area" localSheetId="70">'325'!$A$1:$Z$106</definedName>
    <definedName name="_xlnm.Print_Area" localSheetId="71">'326'!$A$1:$Z$134</definedName>
    <definedName name="_xlnm.Print_Area" localSheetId="72">'327'!$A$1:$Z$42</definedName>
    <definedName name="_xlnm.Print_Area" localSheetId="52">'330'!$A$1:$Z$140</definedName>
    <definedName name="_xlnm.Print_Area" localSheetId="58">'331'!$A$1:$Z$163</definedName>
    <definedName name="_xlnm.Print_Area" localSheetId="60">'332'!$A$1:$Z$114</definedName>
    <definedName name="_xlnm.Print_Area" localSheetId="76">'405'!$A$1:$Z$105</definedName>
    <definedName name="_xlnm.Print_Area" localSheetId="77">'406'!$A$1:$Z$95</definedName>
    <definedName name="_xlnm.Print_Area" localSheetId="78">'411'!$A$1:$Z$103</definedName>
    <definedName name="_xlnm.Print_Area" localSheetId="79">'412'!$A$1:$Z$93</definedName>
    <definedName name="_xlnm.Print_Area" localSheetId="80">'413'!$A$1:$Z$89</definedName>
    <definedName name="_xlnm.Print_Area" localSheetId="81">'414'!$A$1:$Z$96</definedName>
    <definedName name="_xlnm.Print_Area" localSheetId="82">'415'!$A$1:$Z$109</definedName>
    <definedName name="_xlnm.Print_Area" localSheetId="83">'418'!$A$1:$Z$101</definedName>
    <definedName name="_xlnm.Print_Area" localSheetId="84">'420'!$A$1:$Z$51</definedName>
    <definedName name="_xlnm.Print_Area" localSheetId="85">'423'!$A$1:$Z$63</definedName>
    <definedName name="_xlnm.Print_Area" localSheetId="86">'424'!$A$1:$Z$85</definedName>
    <definedName name="_xlnm.Print_Area" localSheetId="87">'425'!$A$1:$Z$100</definedName>
    <definedName name="_xlnm.Print_Area" localSheetId="90">'430'!$A$1:$Z$73</definedName>
    <definedName name="_xlnm.Print_Area" localSheetId="91">'433'!$A$1:$Z$100</definedName>
    <definedName name="_xlnm.Print_Area" localSheetId="92">'435'!$A$1:$Z$73</definedName>
    <definedName name="_xlnm.Print_Area" localSheetId="93">'444'!$A$1:$Z$103</definedName>
    <definedName name="_xlnm.Print_Area" localSheetId="94">'450'!$A$1:$Z$102</definedName>
    <definedName name="_xlnm.Print_Area" localSheetId="88">'455'!$A$1:$Z$56</definedName>
    <definedName name="_xlnm.Print_Area" localSheetId="75">'491'!$A$1:$Z$139</definedName>
    <definedName name="_xlnm.Print_Area" localSheetId="89">'492'!$A$1:$Z$112</definedName>
    <definedName name="_xlnm.Print_Area" localSheetId="96">'501'!$A$1:$Z$80</definedName>
    <definedName name="_xlnm.Print_Area" localSheetId="97">Dept!$A$1:$Z$39</definedName>
    <definedName name="_xlnm.Print_Area" localSheetId="5">'Div 1'!$A$1:$Z$34</definedName>
    <definedName name="_xlnm.Print_Area" localSheetId="39">'Div 2'!$A$1:$Z$109</definedName>
    <definedName name="_xlnm.Print_Area" localSheetId="47">'Div 3'!$A$1:$Z$284</definedName>
    <definedName name="_xlnm.Print_Area" localSheetId="73">'Div 4'!$A$1:$Z$146</definedName>
    <definedName name="_xlnm.Print_Area" localSheetId="95">'Div 5'!$A$1:$Z$80</definedName>
    <definedName name="_xlnm.Print_Area" localSheetId="63">'Div 6'!$A$1:$Z$117</definedName>
    <definedName name="_xlnm.Print_Area" localSheetId="15">'OSR_300 &amp; 317_1C00ID4'!$A$1:$Z$39</definedName>
    <definedName name="_xlnm.Print_Area" localSheetId="16">'OSR_300 (2)_...6aa5a22d_14M6XO4'!$A$1:$Z$39</definedName>
    <definedName name="_xlnm.Print_Area" localSheetId="12">'OSR_300 (2)_7...54cb56fc_UFX0O2'!$A$1:$Z$39</definedName>
    <definedName name="_xlnm.Print_Area" localSheetId="18">'OSR_300 (2)_e...5d0da5bf_6BPGAO'!$A$1:$Z$39</definedName>
    <definedName name="_xlnm.Print_Area" localSheetId="13">OSR_300_IYZXI6!$A$1:$Z$39</definedName>
    <definedName name="_xlnm.Print_Area" localSheetId="24">'OSR_308 (2)_...47685838_1YQW4QY'!$A$1:$Z$39</definedName>
    <definedName name="_xlnm.Print_Area" localSheetId="21">OSR_308_UAWDAG!$A$1:$Z$39</definedName>
    <definedName name="_xlnm.Print_Area" localSheetId="29">'OSR_310 &amp; 491_1NGRCS9'!$A$1:$Z$39</definedName>
    <definedName name="_xlnm.Print_Area" localSheetId="20">'OSR_310 (2)_...6e684f08_1FLCNJG'!$A$1:$Z$39</definedName>
    <definedName name="_xlnm.Print_Area" localSheetId="28">'OSR_310 (2)_...8cac1423_1JTU33X'!$A$1:$Z$39</definedName>
    <definedName name="_xlnm.Print_Area" localSheetId="14">'OSR_310 (2)_5...3d931dee_QNK8R2'!$A$1:$Z$39</definedName>
    <definedName name="_xlnm.Print_Area" localSheetId="17">OSR_310_1CMTOSB!$A$1:$Z$39</definedName>
    <definedName name="_xlnm.Print_Area" localSheetId="22">'OSR_330 (2)_...8a14c83e_1NSH7XI'!$A$1:$Z$39</definedName>
    <definedName name="_xlnm.Print_Area" localSheetId="19">OSR_330_10VFP5Y!$A$1:$Z$39</definedName>
    <definedName name="_xlnm.Print_Area" localSheetId="26">'OSR_331 (2)_...7280af70_1P5SPLT'!$A$1:$Z$39</definedName>
    <definedName name="_xlnm.Print_Area" localSheetId="23">OSR_331_10VKQAJ!$A$1:$Z$39</definedName>
    <definedName name="_xlnm.Print_Area" localSheetId="25">OSR_332_6NDVBW!$A$1:$Z$39</definedName>
    <definedName name="_xlnm.Print_Area" localSheetId="30">'OSR_491 (2)_...853a34aa_1UNC34K'!$A$1:$Z$39</definedName>
    <definedName name="_xlnm.Print_Area" localSheetId="31">OSR_491_9Z9JH5!$A$1:$Z$39</definedName>
    <definedName name="_xlnm.Print_Area" localSheetId="36">'OSR_492 (2)_...cd97c6a6_13HYXEV'!$A$1:$Z$39</definedName>
    <definedName name="_xlnm.Print_Area" localSheetId="33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1">'OSR_Div 3_18723PH'!$A$1:$Z$39</definedName>
    <definedName name="_xlnm.Print_Area" localSheetId="34">'OSR_Div 4 (2)...1a9a4454_CQFRNE'!$A$1:$Z$39</definedName>
    <definedName name="_xlnm.Print_Area" localSheetId="32">'OSR_Div 4 (2...2533da42_174R6QX'!$A$1:$Z$39</definedName>
    <definedName name="_xlnm.Print_Area" localSheetId="27">'OSR_Div 4_1740TMT'!$A$1:$Z$39</definedName>
    <definedName name="_xlnm.Print_Area" localSheetId="38">'OSR_Div 5 (2)...32d16c57_IVJ1QO'!$A$1:$Z$39</definedName>
    <definedName name="_xlnm.Print_Area" localSheetId="35">'OSR_Div 5_16NAZO2'!$A$1:$Z$39</definedName>
    <definedName name="_xlnm.Print_Area" localSheetId="37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Summary!$A$1:$Z$326</definedName>
    <definedName name="_xlnm.Print_Titles" localSheetId="10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7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1">'316'!$A:$C,'316'!$1:$10</definedName>
    <definedName name="_xlnm.Print_Titles" localSheetId="64">'317'!$A:$C,'317'!$1:$10</definedName>
    <definedName name="_xlnm.Print_Titles" localSheetId="62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57">'324'!$A:$C,'324'!$1:$10</definedName>
    <definedName name="_xlnm.Print_Titles" localSheetId="70">'325'!$A:$C,'325'!$1:$10</definedName>
    <definedName name="_xlnm.Print_Titles" localSheetId="71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0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84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3">'Div 6'!$A:$C,'Div 6'!$1:$10</definedName>
    <definedName name="_xlnm.Print_Titles" localSheetId="15">'OSR_300 &amp; 317_1C00ID4'!$A:$C,'OSR_300 &amp; 317_1C00ID4'!$1:$10</definedName>
    <definedName name="_xlnm.Print_Titles" localSheetId="16">'OSR_300 (2)_...6aa5a22d_14M6XO4'!$A:$C,'OSR_300 (2)_...6aa5a22d_14M6XO4'!$1:$10</definedName>
    <definedName name="_xlnm.Print_Titles" localSheetId="12">'OSR_300 (2)_7...54cb56fc_UFX0O2'!$A:$C,'OSR_300 (2)_7...54cb56fc_UFX0O2'!$1:$10</definedName>
    <definedName name="_xlnm.Print_Titles" localSheetId="18">'OSR_300 (2)_e...5d0da5bf_6BPGAO'!$A:$C,'OSR_300 (2)_e...5d0da5bf_6BPGAO'!$1:$10</definedName>
    <definedName name="_xlnm.Print_Titles" localSheetId="13">OSR_300_IYZXI6!$A:$C,OSR_300_IYZXI6!$1:$10</definedName>
    <definedName name="_xlnm.Print_Titles" localSheetId="24">'OSR_308 (2)_...47685838_1YQW4QY'!$A:$C,'OSR_308 (2)_...47685838_1YQW4QY'!$1:$10</definedName>
    <definedName name="_xlnm.Print_Titles" localSheetId="21">OSR_308_UAWDAG!$A:$C,OSR_308_UAWDAG!$1:$10</definedName>
    <definedName name="_xlnm.Print_Titles" localSheetId="29">'OSR_310 &amp; 491_1NGRCS9'!$A:$C,'OSR_310 &amp; 491_1NGRCS9'!$1:$10</definedName>
    <definedName name="_xlnm.Print_Titles" localSheetId="20">'OSR_310 (2)_...6e684f08_1FLCNJG'!$A:$C,'OSR_310 (2)_...6e684f08_1FLCNJG'!$1:$10</definedName>
    <definedName name="_xlnm.Print_Titles" localSheetId="28">'OSR_310 (2)_...8cac1423_1JTU33X'!$A:$C,'OSR_310 (2)_...8cac1423_1JTU33X'!$1:$10</definedName>
    <definedName name="_xlnm.Print_Titles" localSheetId="14">'OSR_310 (2)_5...3d931dee_QNK8R2'!$A:$C,'OSR_310 (2)_5...3d931dee_QNK8R2'!$1:$10</definedName>
    <definedName name="_xlnm.Print_Titles" localSheetId="17">OSR_310_1CMTOSB!$A:$C,OSR_310_1CMTOSB!$1:$10</definedName>
    <definedName name="_xlnm.Print_Titles" localSheetId="22">'OSR_330 (2)_...8a14c83e_1NSH7XI'!$A:$C,'OSR_330 (2)_...8a14c83e_1NSH7XI'!$1:$10</definedName>
    <definedName name="_xlnm.Print_Titles" localSheetId="19">OSR_330_10VFP5Y!$A:$C,OSR_330_10VFP5Y!$1:$10</definedName>
    <definedName name="_xlnm.Print_Titles" localSheetId="26">'OSR_331 (2)_...7280af70_1P5SPLT'!$A:$C,'OSR_331 (2)_...7280af70_1P5SPLT'!$1:$10</definedName>
    <definedName name="_xlnm.Print_Titles" localSheetId="23">OSR_331_10VKQAJ!$A:$C,OSR_331_10VKQAJ!$1:$10</definedName>
    <definedName name="_xlnm.Print_Titles" localSheetId="25">OSR_332_6NDVBW!$A:$C,OSR_332_6NDVBW!$1:$10</definedName>
    <definedName name="_xlnm.Print_Titles" localSheetId="30">'OSR_491 (2)_...853a34aa_1UNC34K'!$A:$C,'OSR_491 (2)_...853a34aa_1UNC34K'!$1:$10</definedName>
    <definedName name="_xlnm.Print_Titles" localSheetId="31">OSR_491_9Z9JH5!$A:$C,OSR_491_9Z9JH5!$1:$10</definedName>
    <definedName name="_xlnm.Print_Titles" localSheetId="36">'OSR_492 (2)_...cd97c6a6_13HYXEV'!$A:$C,'OSR_492 (2)_...cd97c6a6_13HYXEV'!$1:$10</definedName>
    <definedName name="_xlnm.Print_Titles" localSheetId="33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1">'OSR_Div 3_18723PH'!$A:$C,'OSR_Div 3_18723PH'!$1:$10</definedName>
    <definedName name="_xlnm.Print_Titles" localSheetId="34">'OSR_Div 4 (2)...1a9a4454_CQFRNE'!$A:$C,'OSR_Div 4 (2)...1a9a4454_CQFRNE'!$1:$10</definedName>
    <definedName name="_xlnm.Print_Titles" localSheetId="32">'OSR_Div 4 (2...2533da42_174R6QX'!$A:$C,'OSR_Div 4 (2...2533da42_174R6QX'!$1:$10</definedName>
    <definedName name="_xlnm.Print_Titles" localSheetId="27">'OSR_Div 4_1740TMT'!$A:$C,'OSR_Div 4_1740TMT'!$1:$10</definedName>
    <definedName name="_xlnm.Print_Titles" localSheetId="38">'OSR_Div 5 (2)...32d16c57_IVJ1QO'!$A:$C,'OSR_Div 5 (2)...32d16c57_IVJ1QO'!$1:$10</definedName>
    <definedName name="_xlnm.Print_Titles" localSheetId="35">'OSR_Div 5_16NAZO2'!$A:$C,'OSR_Div 5_16NAZO2'!$1:$10</definedName>
    <definedName name="_xlnm.Print_Titles" localSheetId="37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2" i="110" l="1"/>
  <c r="X72" i="110"/>
  <c r="L72" i="110"/>
  <c r="N72" i="110" s="1"/>
  <c r="P68" i="110"/>
  <c r="X68" i="110" s="1"/>
  <c r="Z68" i="110" s="1"/>
  <c r="J68" i="110"/>
  <c r="D68" i="110"/>
  <c r="D67" i="110" s="1"/>
  <c r="L67" i="110" s="1"/>
  <c r="B68" i="110"/>
  <c r="X67" i="110"/>
  <c r="T67" i="110"/>
  <c r="Z67" i="110" s="1"/>
  <c r="P67" i="110"/>
  <c r="J67" i="110"/>
  <c r="H67" i="110"/>
  <c r="X65" i="110"/>
  <c r="Z65" i="110" s="1"/>
  <c r="L65" i="110"/>
  <c r="N65" i="110" s="1"/>
  <c r="B65" i="110"/>
  <c r="X64" i="110"/>
  <c r="T64" i="110"/>
  <c r="P64" i="110"/>
  <c r="H64" i="110"/>
  <c r="D64" i="110"/>
  <c r="L64" i="110" s="1"/>
  <c r="B64" i="110"/>
  <c r="Z63" i="110"/>
  <c r="X63" i="110"/>
  <c r="N63" i="110"/>
  <c r="L63" i="110"/>
  <c r="B63" i="110"/>
  <c r="Z62" i="110"/>
  <c r="X62" i="110"/>
  <c r="N62" i="110"/>
  <c r="L62" i="110"/>
  <c r="B62" i="110"/>
  <c r="X61" i="110"/>
  <c r="Z61" i="110" s="1"/>
  <c r="N61" i="110"/>
  <c r="L61" i="110"/>
  <c r="J61" i="110"/>
  <c r="B61" i="110"/>
  <c r="T60" i="110"/>
  <c r="P60" i="110"/>
  <c r="X60" i="110" s="1"/>
  <c r="Z60" i="110" s="1"/>
  <c r="L60" i="110"/>
  <c r="H60" i="110"/>
  <c r="D60" i="110"/>
  <c r="B60" i="110"/>
  <c r="X59" i="110"/>
  <c r="Z59" i="110" s="1"/>
  <c r="N59" i="110"/>
  <c r="L59" i="110"/>
  <c r="J59" i="110"/>
  <c r="B59" i="110"/>
  <c r="X58" i="110"/>
  <c r="Z58" i="110" s="1"/>
  <c r="N58" i="110"/>
  <c r="L58" i="110"/>
  <c r="B58" i="110"/>
  <c r="Z57" i="110"/>
  <c r="X57" i="110"/>
  <c r="T57" i="110"/>
  <c r="P57" i="110"/>
  <c r="L57" i="110"/>
  <c r="H57" i="110"/>
  <c r="D57" i="110"/>
  <c r="B57" i="110"/>
  <c r="X56" i="110"/>
  <c r="Z56" i="110" s="1"/>
  <c r="N56" i="110"/>
  <c r="L56" i="110"/>
  <c r="J56" i="110"/>
  <c r="B56" i="110"/>
  <c r="T55" i="110"/>
  <c r="P55" i="110"/>
  <c r="X55" i="110" s="1"/>
  <c r="H55" i="110"/>
  <c r="D55" i="110"/>
  <c r="L55" i="110" s="1"/>
  <c r="B55" i="110"/>
  <c r="X54" i="110"/>
  <c r="Z54" i="110" s="1"/>
  <c r="L54" i="110"/>
  <c r="N54" i="110" s="1"/>
  <c r="B54" i="110"/>
  <c r="X53" i="110"/>
  <c r="T53" i="110"/>
  <c r="Z53" i="110" s="1"/>
  <c r="P53" i="110"/>
  <c r="J53" i="110"/>
  <c r="H53" i="110"/>
  <c r="D53" i="110"/>
  <c r="L53" i="110" s="1"/>
  <c r="N53" i="110" s="1"/>
  <c r="B53" i="110"/>
  <c r="Z52" i="110"/>
  <c r="X52" i="110"/>
  <c r="L52" i="110"/>
  <c r="N52" i="110" s="1"/>
  <c r="B52" i="110"/>
  <c r="X51" i="110"/>
  <c r="T51" i="110"/>
  <c r="Z51" i="110" s="1"/>
  <c r="P51" i="110"/>
  <c r="N51" i="110"/>
  <c r="L51" i="110"/>
  <c r="J51" i="110"/>
  <c r="H51" i="110"/>
  <c r="D51" i="110"/>
  <c r="B51" i="110"/>
  <c r="Z50" i="110"/>
  <c r="X50" i="110"/>
  <c r="L50" i="110"/>
  <c r="N50" i="110" s="1"/>
  <c r="B50" i="110"/>
  <c r="T49" i="110"/>
  <c r="P49" i="110"/>
  <c r="J49" i="110"/>
  <c r="H49" i="110"/>
  <c r="D49" i="110"/>
  <c r="L49" i="110" s="1"/>
  <c r="B49" i="110"/>
  <c r="Z48" i="110"/>
  <c r="X48" i="110"/>
  <c r="V48" i="110"/>
  <c r="N48" i="110"/>
  <c r="L48" i="110"/>
  <c r="B48" i="110"/>
  <c r="T47" i="110"/>
  <c r="P47" i="110"/>
  <c r="X47" i="110" s="1"/>
  <c r="Z47" i="110" s="1"/>
  <c r="N47" i="110"/>
  <c r="L47" i="110"/>
  <c r="H47" i="110"/>
  <c r="F47" i="110"/>
  <c r="D47" i="110"/>
  <c r="B47" i="110"/>
  <c r="X46" i="110"/>
  <c r="Z46" i="110" s="1"/>
  <c r="N46" i="110"/>
  <c r="L46" i="110"/>
  <c r="B46" i="110"/>
  <c r="Z45" i="110"/>
  <c r="X45" i="110"/>
  <c r="T45" i="110"/>
  <c r="P45" i="110"/>
  <c r="L45" i="110"/>
  <c r="J45" i="110"/>
  <c r="H45" i="110"/>
  <c r="D45" i="110"/>
  <c r="B45" i="110"/>
  <c r="X44" i="110"/>
  <c r="Z44" i="110" s="1"/>
  <c r="N44" i="110"/>
  <c r="L44" i="110"/>
  <c r="J44" i="110"/>
  <c r="B44" i="110"/>
  <c r="V43" i="110"/>
  <c r="T43" i="110"/>
  <c r="P43" i="110"/>
  <c r="X43" i="110" s="1"/>
  <c r="H43" i="110"/>
  <c r="D43" i="110"/>
  <c r="L43" i="110" s="1"/>
  <c r="N43" i="110" s="1"/>
  <c r="B43" i="110"/>
  <c r="X42" i="110"/>
  <c r="Z42" i="110" s="1"/>
  <c r="L42" i="110"/>
  <c r="N42" i="110" s="1"/>
  <c r="B42" i="110"/>
  <c r="Z41" i="110"/>
  <c r="X41" i="110"/>
  <c r="T41" i="110"/>
  <c r="P41" i="110"/>
  <c r="J41" i="110"/>
  <c r="H41" i="110"/>
  <c r="D41" i="110"/>
  <c r="L41" i="110" s="1"/>
  <c r="N41" i="110" s="1"/>
  <c r="B41" i="110"/>
  <c r="Z40" i="110"/>
  <c r="X40" i="110"/>
  <c r="N40" i="110"/>
  <c r="L40" i="110"/>
  <c r="B40" i="110"/>
  <c r="Z39" i="110"/>
  <c r="X39" i="110"/>
  <c r="N39" i="110"/>
  <c r="L39" i="110"/>
  <c r="J39" i="110"/>
  <c r="B39" i="110"/>
  <c r="X38" i="110"/>
  <c r="Z38" i="110" s="1"/>
  <c r="L38" i="110"/>
  <c r="N38" i="110" s="1"/>
  <c r="J38" i="110"/>
  <c r="B38" i="110"/>
  <c r="Z37" i="110"/>
  <c r="X37" i="110"/>
  <c r="N37" i="110"/>
  <c r="L37" i="110"/>
  <c r="B37" i="110"/>
  <c r="Z36" i="110"/>
  <c r="X36" i="110"/>
  <c r="N36" i="110"/>
  <c r="L36" i="110"/>
  <c r="B36" i="110"/>
  <c r="Z35" i="110"/>
  <c r="X35" i="110"/>
  <c r="V35" i="110"/>
  <c r="N35" i="110"/>
  <c r="L35" i="110"/>
  <c r="J35" i="110"/>
  <c r="B35" i="110"/>
  <c r="X34" i="110"/>
  <c r="Z34" i="110" s="1"/>
  <c r="N34" i="110"/>
  <c r="L34" i="110"/>
  <c r="J34" i="110"/>
  <c r="B34" i="110"/>
  <c r="Z33" i="110"/>
  <c r="X33" i="110"/>
  <c r="V33" i="110"/>
  <c r="N33" i="110"/>
  <c r="L33" i="110"/>
  <c r="B33" i="110"/>
  <c r="Z32" i="110"/>
  <c r="X32" i="110"/>
  <c r="L32" i="110"/>
  <c r="N32" i="110" s="1"/>
  <c r="B32" i="110"/>
  <c r="Z31" i="110"/>
  <c r="X31" i="110"/>
  <c r="V31" i="110"/>
  <c r="N31" i="110"/>
  <c r="L31" i="110"/>
  <c r="J31" i="110"/>
  <c r="B31" i="110"/>
  <c r="T30" i="110"/>
  <c r="P30" i="110"/>
  <c r="X30" i="110" s="1"/>
  <c r="Z30" i="110" s="1"/>
  <c r="H30" i="110"/>
  <c r="D30" i="110"/>
  <c r="L30" i="110" s="1"/>
  <c r="B30" i="110"/>
  <c r="Z29" i="110"/>
  <c r="X29" i="110"/>
  <c r="N29" i="110"/>
  <c r="L29" i="110"/>
  <c r="B29" i="110"/>
  <c r="X28" i="110"/>
  <c r="Z28" i="110" s="1"/>
  <c r="N28" i="110"/>
  <c r="L28" i="110"/>
  <c r="J28" i="110"/>
  <c r="F28" i="110"/>
  <c r="B28" i="110"/>
  <c r="X27" i="110"/>
  <c r="Z27" i="110" s="1"/>
  <c r="N27" i="110"/>
  <c r="L27" i="110"/>
  <c r="J27" i="110"/>
  <c r="B27" i="110"/>
  <c r="Z26" i="110"/>
  <c r="X26" i="110"/>
  <c r="N26" i="110"/>
  <c r="L26" i="110"/>
  <c r="J26" i="110"/>
  <c r="F26" i="110"/>
  <c r="B26" i="110"/>
  <c r="Z25" i="110"/>
  <c r="X25" i="110"/>
  <c r="L25" i="110"/>
  <c r="N25" i="110" s="1"/>
  <c r="B25" i="110"/>
  <c r="X24" i="110"/>
  <c r="Z24" i="110" s="1"/>
  <c r="N24" i="110"/>
  <c r="L24" i="110"/>
  <c r="J24" i="110"/>
  <c r="B24" i="110"/>
  <c r="X23" i="110"/>
  <c r="Z23" i="110" s="1"/>
  <c r="N23" i="110"/>
  <c r="L23" i="110"/>
  <c r="J23" i="110"/>
  <c r="B23" i="110"/>
  <c r="Z22" i="110"/>
  <c r="X22" i="110"/>
  <c r="V22" i="110"/>
  <c r="L22" i="110"/>
  <c r="N22" i="110" s="1"/>
  <c r="J22" i="110"/>
  <c r="B22" i="110"/>
  <c r="Z21" i="110"/>
  <c r="X21" i="110"/>
  <c r="L21" i="110"/>
  <c r="N21" i="110" s="1"/>
  <c r="B21" i="110"/>
  <c r="Z20" i="110"/>
  <c r="X20" i="110"/>
  <c r="T20" i="110"/>
  <c r="P20" i="110"/>
  <c r="J20" i="110"/>
  <c r="H20" i="110"/>
  <c r="D20" i="110"/>
  <c r="L20" i="110" s="1"/>
  <c r="N20" i="110" s="1"/>
  <c r="B20" i="110"/>
  <c r="V19" i="110"/>
  <c r="T19" i="110"/>
  <c r="P19" i="110"/>
  <c r="X19" i="110" s="1"/>
  <c r="Z19" i="110" s="1"/>
  <c r="L19" i="110"/>
  <c r="N19" i="110" s="1"/>
  <c r="H19" i="110"/>
  <c r="D19" i="110"/>
  <c r="H17" i="110"/>
  <c r="H70" i="110" s="1"/>
  <c r="Z15" i="110"/>
  <c r="T15" i="110"/>
  <c r="P15" i="110"/>
  <c r="H15" i="110"/>
  <c r="N15" i="110" s="1"/>
  <c r="D15" i="110"/>
  <c r="L15" i="110" s="1"/>
  <c r="Z13" i="110"/>
  <c r="P13" i="110"/>
  <c r="X13" i="110" s="1"/>
  <c r="N13" i="110"/>
  <c r="D13" i="110"/>
  <c r="L13" i="110" s="1"/>
  <c r="B13" i="110"/>
  <c r="T12" i="110"/>
  <c r="V60" i="110" s="1"/>
  <c r="H12" i="110"/>
  <c r="J72" i="110" s="1"/>
  <c r="D12" i="110"/>
  <c r="F37" i="110" s="1"/>
  <c r="D6" i="110"/>
  <c r="D4" i="110"/>
  <c r="F53" i="109"/>
  <c r="Z48" i="109"/>
  <c r="X48" i="109"/>
  <c r="V48" i="109"/>
  <c r="N48" i="109"/>
  <c r="L48" i="109"/>
  <c r="J46" i="109"/>
  <c r="Z44" i="109"/>
  <c r="P44" i="109"/>
  <c r="X44" i="109" s="1"/>
  <c r="N44" i="109"/>
  <c r="F44" i="109"/>
  <c r="D44" i="109"/>
  <c r="L44" i="109" s="1"/>
  <c r="B44" i="109"/>
  <c r="Z43" i="109"/>
  <c r="P43" i="109"/>
  <c r="X43" i="109" s="1"/>
  <c r="N43" i="109"/>
  <c r="D43" i="109"/>
  <c r="L43" i="109" s="1"/>
  <c r="B43" i="109"/>
  <c r="X42" i="109"/>
  <c r="Z42" i="109" s="1"/>
  <c r="R42" i="109"/>
  <c r="P42" i="109"/>
  <c r="N42" i="109"/>
  <c r="L42" i="109"/>
  <c r="D42" i="109"/>
  <c r="B42" i="109"/>
  <c r="V41" i="109"/>
  <c r="P41" i="109"/>
  <c r="X41" i="109" s="1"/>
  <c r="Z41" i="109" s="1"/>
  <c r="N41" i="109"/>
  <c r="L41" i="109"/>
  <c r="D41" i="109"/>
  <c r="B41" i="109"/>
  <c r="T40" i="109"/>
  <c r="P40" i="109"/>
  <c r="X40" i="109" s="1"/>
  <c r="H40" i="109"/>
  <c r="Z38" i="109"/>
  <c r="X38" i="109"/>
  <c r="N38" i="109"/>
  <c r="L38" i="109"/>
  <c r="J38" i="109"/>
  <c r="F38" i="109"/>
  <c r="B38" i="109"/>
  <c r="Z37" i="109"/>
  <c r="X37" i="109"/>
  <c r="N37" i="109"/>
  <c r="L37" i="109"/>
  <c r="B37" i="109"/>
  <c r="Z36" i="109"/>
  <c r="X36" i="109"/>
  <c r="V36" i="109"/>
  <c r="R36" i="109"/>
  <c r="N36" i="109"/>
  <c r="L36" i="109"/>
  <c r="B36" i="109"/>
  <c r="Z35" i="109"/>
  <c r="X35" i="109"/>
  <c r="N35" i="109"/>
  <c r="L35" i="109"/>
  <c r="J35" i="109"/>
  <c r="B35" i="109"/>
  <c r="Z34" i="109"/>
  <c r="X34" i="109"/>
  <c r="N34" i="109"/>
  <c r="L34" i="109"/>
  <c r="F34" i="109"/>
  <c r="B34" i="109"/>
  <c r="Z33" i="109"/>
  <c r="X33" i="109"/>
  <c r="V33" i="109"/>
  <c r="N33" i="109"/>
  <c r="L33" i="109"/>
  <c r="B33" i="109"/>
  <c r="Z32" i="109"/>
  <c r="X32" i="109"/>
  <c r="V32" i="109"/>
  <c r="R32" i="109"/>
  <c r="N32" i="109"/>
  <c r="L32" i="109"/>
  <c r="B32" i="109"/>
  <c r="Z31" i="109"/>
  <c r="X31" i="109"/>
  <c r="N31" i="109"/>
  <c r="L31" i="109"/>
  <c r="J31" i="109"/>
  <c r="B31" i="109"/>
  <c r="Z30" i="109"/>
  <c r="X30" i="109"/>
  <c r="V30" i="109"/>
  <c r="N30" i="109"/>
  <c r="L30" i="109"/>
  <c r="F30" i="109"/>
  <c r="B30" i="109"/>
  <c r="Z29" i="109"/>
  <c r="X29" i="109"/>
  <c r="V29" i="109"/>
  <c r="L29" i="109"/>
  <c r="N29" i="109" s="1"/>
  <c r="B29" i="109"/>
  <c r="V28" i="109"/>
  <c r="T28" i="109"/>
  <c r="P28" i="109"/>
  <c r="H28" i="109"/>
  <c r="D28" i="109"/>
  <c r="L28" i="109" s="1"/>
  <c r="N28" i="109" s="1"/>
  <c r="B28" i="109"/>
  <c r="Z27" i="109"/>
  <c r="X27" i="109"/>
  <c r="V27" i="109"/>
  <c r="N27" i="109"/>
  <c r="L27" i="109"/>
  <c r="F27" i="109"/>
  <c r="B27" i="109"/>
  <c r="X26" i="109"/>
  <c r="Z26" i="109" s="1"/>
  <c r="R26" i="109"/>
  <c r="N26" i="109"/>
  <c r="L26" i="109"/>
  <c r="F26" i="109"/>
  <c r="B26" i="109"/>
  <c r="Z25" i="109"/>
  <c r="X25" i="109"/>
  <c r="N25" i="109"/>
  <c r="L25" i="109"/>
  <c r="J25" i="109"/>
  <c r="F25" i="109"/>
  <c r="B25" i="109"/>
  <c r="X24" i="109"/>
  <c r="Z24" i="109" s="1"/>
  <c r="N24" i="109"/>
  <c r="L24" i="109"/>
  <c r="F24" i="109"/>
  <c r="B24" i="109"/>
  <c r="Z23" i="109"/>
  <c r="X23" i="109"/>
  <c r="V23" i="109"/>
  <c r="N23" i="109"/>
  <c r="L23" i="109"/>
  <c r="F23" i="109"/>
  <c r="B23" i="109"/>
  <c r="Z22" i="109"/>
  <c r="X22" i="109"/>
  <c r="V22" i="109"/>
  <c r="R22" i="109"/>
  <c r="N22" i="109"/>
  <c r="L22" i="109"/>
  <c r="F22" i="109"/>
  <c r="B22" i="109"/>
  <c r="Z21" i="109"/>
  <c r="X21" i="109"/>
  <c r="N21" i="109"/>
  <c r="L21" i="109"/>
  <c r="J21" i="109"/>
  <c r="F21" i="109"/>
  <c r="B21" i="109"/>
  <c r="X20" i="109"/>
  <c r="Z20" i="109" s="1"/>
  <c r="V20" i="109"/>
  <c r="N20" i="109"/>
  <c r="L20" i="109"/>
  <c r="F20" i="109"/>
  <c r="B20" i="109"/>
  <c r="Z19" i="109"/>
  <c r="X19" i="109"/>
  <c r="V19" i="109"/>
  <c r="T19" i="109"/>
  <c r="P19" i="109"/>
  <c r="L19" i="109"/>
  <c r="H19" i="109"/>
  <c r="N19" i="109" s="1"/>
  <c r="F19" i="109"/>
  <c r="D19" i="109"/>
  <c r="B19" i="109"/>
  <c r="Z18" i="109"/>
  <c r="X18" i="109"/>
  <c r="T18" i="109"/>
  <c r="P18" i="109"/>
  <c r="H18" i="109"/>
  <c r="F18" i="109"/>
  <c r="D18" i="109"/>
  <c r="L18" i="109" s="1"/>
  <c r="N18" i="109" s="1"/>
  <c r="F16" i="109"/>
  <c r="Z14" i="109"/>
  <c r="X14" i="109"/>
  <c r="T14" i="109"/>
  <c r="T16" i="109" s="1"/>
  <c r="T46" i="109" s="1"/>
  <c r="P14" i="109"/>
  <c r="N14" i="109"/>
  <c r="H14" i="109"/>
  <c r="F14" i="109"/>
  <c r="D14" i="109"/>
  <c r="Z12" i="109"/>
  <c r="X12" i="109"/>
  <c r="T12" i="109"/>
  <c r="V50" i="109" s="1"/>
  <c r="P12" i="109"/>
  <c r="H12" i="109"/>
  <c r="J37" i="109" s="1"/>
  <c r="D12" i="109"/>
  <c r="F43" i="109" s="1"/>
  <c r="D6" i="109"/>
  <c r="D4" i="109"/>
  <c r="X94" i="108"/>
  <c r="Z94" i="108" s="1"/>
  <c r="V94" i="108"/>
  <c r="L94" i="108"/>
  <c r="N94" i="108" s="1"/>
  <c r="T90" i="108"/>
  <c r="Z90" i="108" s="1"/>
  <c r="P90" i="108"/>
  <c r="X90" i="108" s="1"/>
  <c r="N90" i="108"/>
  <c r="L90" i="108"/>
  <c r="H90" i="108"/>
  <c r="D90" i="108"/>
  <c r="Z88" i="108"/>
  <c r="X88" i="108"/>
  <c r="L88" i="108"/>
  <c r="N88" i="108" s="1"/>
  <c r="B88" i="108"/>
  <c r="Z87" i="108"/>
  <c r="X87" i="108"/>
  <c r="N87" i="108"/>
  <c r="L87" i="108"/>
  <c r="B87" i="108"/>
  <c r="Z86" i="108"/>
  <c r="X86" i="108"/>
  <c r="T86" i="108"/>
  <c r="P86" i="108"/>
  <c r="H86" i="108"/>
  <c r="N86" i="108" s="1"/>
  <c r="D86" i="108"/>
  <c r="L86" i="108" s="1"/>
  <c r="B86" i="108"/>
  <c r="Z85" i="108"/>
  <c r="X85" i="108"/>
  <c r="N85" i="108"/>
  <c r="L85" i="108"/>
  <c r="B85" i="108"/>
  <c r="X84" i="108"/>
  <c r="V84" i="108"/>
  <c r="T84" i="108"/>
  <c r="P84" i="108"/>
  <c r="N84" i="108"/>
  <c r="H84" i="108"/>
  <c r="D84" i="108"/>
  <c r="L84" i="108" s="1"/>
  <c r="B84" i="108"/>
  <c r="X83" i="108"/>
  <c r="Z83" i="108" s="1"/>
  <c r="N83" i="108"/>
  <c r="L83" i="108"/>
  <c r="B83" i="108"/>
  <c r="T82" i="108"/>
  <c r="P82" i="108"/>
  <c r="X82" i="108" s="1"/>
  <c r="L82" i="108"/>
  <c r="H82" i="108"/>
  <c r="N82" i="108" s="1"/>
  <c r="D82" i="108"/>
  <c r="B82" i="108"/>
  <c r="Z81" i="108"/>
  <c r="X81" i="108"/>
  <c r="V81" i="108"/>
  <c r="N81" i="108"/>
  <c r="L81" i="108"/>
  <c r="B81" i="108"/>
  <c r="Z80" i="108"/>
  <c r="X80" i="108"/>
  <c r="N80" i="108"/>
  <c r="L80" i="108"/>
  <c r="F80" i="108"/>
  <c r="B80" i="108"/>
  <c r="Z79" i="108"/>
  <c r="X79" i="108"/>
  <c r="N79" i="108"/>
  <c r="L79" i="108"/>
  <c r="B79" i="108"/>
  <c r="Z78" i="108"/>
  <c r="X78" i="108"/>
  <c r="L78" i="108"/>
  <c r="N78" i="108" s="1"/>
  <c r="B78" i="108"/>
  <c r="Z77" i="108"/>
  <c r="X77" i="108"/>
  <c r="N77" i="108"/>
  <c r="L77" i="108"/>
  <c r="B77" i="108"/>
  <c r="Z76" i="108"/>
  <c r="X76" i="108"/>
  <c r="L76" i="108"/>
  <c r="N76" i="108" s="1"/>
  <c r="F76" i="108"/>
  <c r="B76" i="108"/>
  <c r="T75" i="108"/>
  <c r="P75" i="108"/>
  <c r="X75" i="108" s="1"/>
  <c r="Z75" i="108" s="1"/>
  <c r="J75" i="108"/>
  <c r="H75" i="108"/>
  <c r="F75" i="108"/>
  <c r="D75" i="108"/>
  <c r="B75" i="108"/>
  <c r="X74" i="108"/>
  <c r="Z74" i="108" s="1"/>
  <c r="L74" i="108"/>
  <c r="N74" i="108" s="1"/>
  <c r="B74" i="108"/>
  <c r="Z73" i="108"/>
  <c r="X73" i="108"/>
  <c r="L73" i="108"/>
  <c r="N73" i="108" s="1"/>
  <c r="B73" i="108"/>
  <c r="X72" i="108"/>
  <c r="Z72" i="108" s="1"/>
  <c r="V72" i="108"/>
  <c r="L72" i="108"/>
  <c r="N72" i="108" s="1"/>
  <c r="B72" i="108"/>
  <c r="T71" i="108"/>
  <c r="P71" i="108"/>
  <c r="X71" i="108" s="1"/>
  <c r="N71" i="108"/>
  <c r="H71" i="108"/>
  <c r="D71" i="108"/>
  <c r="L71" i="108" s="1"/>
  <c r="B71" i="108"/>
  <c r="Z70" i="108"/>
  <c r="X70" i="108"/>
  <c r="N70" i="108"/>
  <c r="L70" i="108"/>
  <c r="B70" i="108"/>
  <c r="X69" i="108"/>
  <c r="Z69" i="108" s="1"/>
  <c r="N69" i="108"/>
  <c r="L69" i="108"/>
  <c r="J69" i="108"/>
  <c r="B69" i="108"/>
  <c r="X68" i="108"/>
  <c r="Z68" i="108" s="1"/>
  <c r="N68" i="108"/>
  <c r="L68" i="108"/>
  <c r="B68" i="108"/>
  <c r="Z67" i="108"/>
  <c r="X67" i="108"/>
  <c r="T67" i="108"/>
  <c r="P67" i="108"/>
  <c r="L67" i="108"/>
  <c r="N67" i="108" s="1"/>
  <c r="H67" i="108"/>
  <c r="D67" i="108"/>
  <c r="B67" i="108"/>
  <c r="Z66" i="108"/>
  <c r="X66" i="108"/>
  <c r="N66" i="108"/>
  <c r="L66" i="108"/>
  <c r="B66" i="108"/>
  <c r="T65" i="108"/>
  <c r="P65" i="108"/>
  <c r="H65" i="108"/>
  <c r="D65" i="108"/>
  <c r="L65" i="108" s="1"/>
  <c r="B65" i="108"/>
  <c r="X64" i="108"/>
  <c r="Z64" i="108" s="1"/>
  <c r="L64" i="108"/>
  <c r="N64" i="108" s="1"/>
  <c r="B64" i="108"/>
  <c r="T63" i="108"/>
  <c r="P63" i="108"/>
  <c r="X63" i="108" s="1"/>
  <c r="H63" i="108"/>
  <c r="D63" i="108"/>
  <c r="L63" i="108" s="1"/>
  <c r="N63" i="108" s="1"/>
  <c r="B63" i="108"/>
  <c r="X62" i="108"/>
  <c r="Z62" i="108" s="1"/>
  <c r="N62" i="108"/>
  <c r="L62" i="108"/>
  <c r="B62" i="108"/>
  <c r="X61" i="108"/>
  <c r="T61" i="108"/>
  <c r="Z61" i="108" s="1"/>
  <c r="P61" i="108"/>
  <c r="N61" i="108"/>
  <c r="L61" i="108"/>
  <c r="J61" i="108"/>
  <c r="H61" i="108"/>
  <c r="D61" i="108"/>
  <c r="B61" i="108"/>
  <c r="Z60" i="108"/>
  <c r="X60" i="108"/>
  <c r="N60" i="108"/>
  <c r="L60" i="108"/>
  <c r="J60" i="108"/>
  <c r="B60" i="108"/>
  <c r="T59" i="108"/>
  <c r="X59" i="108" s="1"/>
  <c r="P59" i="108"/>
  <c r="J59" i="108"/>
  <c r="H59" i="108"/>
  <c r="D59" i="108"/>
  <c r="B59" i="108"/>
  <c r="Z58" i="108"/>
  <c r="X58" i="108"/>
  <c r="N58" i="108"/>
  <c r="L58" i="108"/>
  <c r="F58" i="108"/>
  <c r="B58" i="108"/>
  <c r="Z57" i="108"/>
  <c r="T57" i="108"/>
  <c r="P57" i="108"/>
  <c r="X57" i="108" s="1"/>
  <c r="H57" i="108"/>
  <c r="N57" i="108" s="1"/>
  <c r="F57" i="108"/>
  <c r="D57" i="108"/>
  <c r="L57" i="108" s="1"/>
  <c r="B57" i="108"/>
  <c r="X56" i="108"/>
  <c r="Z56" i="108" s="1"/>
  <c r="N56" i="108"/>
  <c r="L56" i="108"/>
  <c r="B56" i="108"/>
  <c r="X55" i="108"/>
  <c r="Z55" i="108" s="1"/>
  <c r="V55" i="108"/>
  <c r="T55" i="108"/>
  <c r="P55" i="108"/>
  <c r="L55" i="108"/>
  <c r="H55" i="108"/>
  <c r="N55" i="108" s="1"/>
  <c r="D55" i="108"/>
  <c r="B55" i="108"/>
  <c r="Z54" i="108"/>
  <c r="X54" i="108"/>
  <c r="N54" i="108"/>
  <c r="L54" i="108"/>
  <c r="B54" i="108"/>
  <c r="V53" i="108"/>
  <c r="T53" i="108"/>
  <c r="P53" i="108"/>
  <c r="H53" i="108"/>
  <c r="N53" i="108" s="1"/>
  <c r="D53" i="108"/>
  <c r="L53" i="108" s="1"/>
  <c r="B53" i="108"/>
  <c r="X52" i="108"/>
  <c r="Z52" i="108" s="1"/>
  <c r="L52" i="108"/>
  <c r="N52" i="108" s="1"/>
  <c r="B52" i="108"/>
  <c r="X51" i="108"/>
  <c r="Z51" i="108" s="1"/>
  <c r="N51" i="108"/>
  <c r="L51" i="108"/>
  <c r="J51" i="108"/>
  <c r="B51" i="108"/>
  <c r="T50" i="108"/>
  <c r="P50" i="108"/>
  <c r="X50" i="108" s="1"/>
  <c r="Z50" i="108" s="1"/>
  <c r="H50" i="108"/>
  <c r="D50" i="108"/>
  <c r="B50" i="108"/>
  <c r="X49" i="108"/>
  <c r="Z49" i="108" s="1"/>
  <c r="N49" i="108"/>
  <c r="L49" i="108"/>
  <c r="J49" i="108"/>
  <c r="F49" i="108"/>
  <c r="B49" i="108"/>
  <c r="X48" i="108"/>
  <c r="Z48" i="108" s="1"/>
  <c r="T48" i="108"/>
  <c r="P48" i="108"/>
  <c r="H48" i="108"/>
  <c r="D48" i="108"/>
  <c r="B48" i="108"/>
  <c r="Z47" i="108"/>
  <c r="X47" i="108"/>
  <c r="N47" i="108"/>
  <c r="L47" i="108"/>
  <c r="B47" i="108"/>
  <c r="Z46" i="108"/>
  <c r="X46" i="108"/>
  <c r="N46" i="108"/>
  <c r="L46" i="108"/>
  <c r="B46" i="108"/>
  <c r="Z45" i="108"/>
  <c r="X45" i="108"/>
  <c r="V45" i="108"/>
  <c r="N45" i="108"/>
  <c r="L45" i="108"/>
  <c r="B45" i="108"/>
  <c r="Z44" i="108"/>
  <c r="X44" i="108"/>
  <c r="L44" i="108"/>
  <c r="N44" i="108" s="1"/>
  <c r="J44" i="108"/>
  <c r="B44" i="108"/>
  <c r="Z43" i="108"/>
  <c r="X43" i="108"/>
  <c r="N43" i="108"/>
  <c r="L43" i="108"/>
  <c r="B43" i="108"/>
  <c r="Z42" i="108"/>
  <c r="X42" i="108"/>
  <c r="L42" i="108"/>
  <c r="N42" i="108" s="1"/>
  <c r="B42" i="108"/>
  <c r="Z41" i="108"/>
  <c r="X41" i="108"/>
  <c r="V41" i="108"/>
  <c r="N41" i="108"/>
  <c r="L41" i="108"/>
  <c r="B41" i="108"/>
  <c r="Z40" i="108"/>
  <c r="X40" i="108"/>
  <c r="N40" i="108"/>
  <c r="L40" i="108"/>
  <c r="F40" i="108"/>
  <c r="B40" i="108"/>
  <c r="Z39" i="108"/>
  <c r="X39" i="108"/>
  <c r="L39" i="108"/>
  <c r="N39" i="108" s="1"/>
  <c r="B39" i="108"/>
  <c r="Z38" i="108"/>
  <c r="X38" i="108"/>
  <c r="N38" i="108"/>
  <c r="L38" i="108"/>
  <c r="B38" i="108"/>
  <c r="T37" i="108"/>
  <c r="P37" i="108"/>
  <c r="X37" i="108" s="1"/>
  <c r="H37" i="108"/>
  <c r="N37" i="108" s="1"/>
  <c r="D37" i="108"/>
  <c r="L37" i="108" s="1"/>
  <c r="B37" i="108"/>
  <c r="Z36" i="108"/>
  <c r="X36" i="108"/>
  <c r="N36" i="108"/>
  <c r="L36" i="108"/>
  <c r="B36" i="108"/>
  <c r="X35" i="108"/>
  <c r="Z35" i="108" s="1"/>
  <c r="N35" i="108"/>
  <c r="L35" i="108"/>
  <c r="B35" i="108"/>
  <c r="X34" i="108"/>
  <c r="Z34" i="108" s="1"/>
  <c r="V34" i="108"/>
  <c r="L34" i="108"/>
  <c r="N34" i="108" s="1"/>
  <c r="B34" i="108"/>
  <c r="Z33" i="108"/>
  <c r="X33" i="108"/>
  <c r="N33" i="108"/>
  <c r="L33" i="108"/>
  <c r="B33" i="108"/>
  <c r="Z32" i="108"/>
  <c r="X32" i="108"/>
  <c r="V32" i="108"/>
  <c r="N32" i="108"/>
  <c r="L32" i="108"/>
  <c r="B32" i="108"/>
  <c r="X31" i="108"/>
  <c r="Z31" i="108" s="1"/>
  <c r="V31" i="108"/>
  <c r="L31" i="108"/>
  <c r="N31" i="108" s="1"/>
  <c r="J31" i="108"/>
  <c r="B31" i="108"/>
  <c r="X30" i="108"/>
  <c r="Z30" i="108" s="1"/>
  <c r="V30" i="108"/>
  <c r="L30" i="108"/>
  <c r="N30" i="108" s="1"/>
  <c r="B30" i="108"/>
  <c r="Z29" i="108"/>
  <c r="X29" i="108"/>
  <c r="L29" i="108"/>
  <c r="N29" i="108" s="1"/>
  <c r="B29" i="108"/>
  <c r="X28" i="108"/>
  <c r="Z28" i="108" s="1"/>
  <c r="V28" i="108"/>
  <c r="L28" i="108"/>
  <c r="N28" i="108" s="1"/>
  <c r="B28" i="108"/>
  <c r="X27" i="108"/>
  <c r="Z27" i="108" s="1"/>
  <c r="V27" i="108"/>
  <c r="L27" i="108"/>
  <c r="N27" i="108" s="1"/>
  <c r="B27" i="108"/>
  <c r="T26" i="108"/>
  <c r="P26" i="108"/>
  <c r="X26" i="108" s="1"/>
  <c r="Z26" i="108" s="1"/>
  <c r="H26" i="108"/>
  <c r="D26" i="108"/>
  <c r="B26" i="108"/>
  <c r="X25" i="108"/>
  <c r="T25" i="108"/>
  <c r="Z25" i="108" s="1"/>
  <c r="P25" i="108"/>
  <c r="L25" i="108"/>
  <c r="N25" i="108" s="1"/>
  <c r="J25" i="108"/>
  <c r="H25" i="108"/>
  <c r="D25" i="108"/>
  <c r="Z21" i="108"/>
  <c r="X21" i="108"/>
  <c r="N21" i="108"/>
  <c r="L21" i="108"/>
  <c r="B21" i="108"/>
  <c r="Z20" i="108"/>
  <c r="X20" i="108"/>
  <c r="N20" i="108"/>
  <c r="L20" i="108"/>
  <c r="J20" i="108"/>
  <c r="F20" i="108"/>
  <c r="B20" i="108"/>
  <c r="X19" i="108"/>
  <c r="Z19" i="108" s="1"/>
  <c r="V19" i="108"/>
  <c r="L19" i="108"/>
  <c r="N19" i="108" s="1"/>
  <c r="F19" i="108"/>
  <c r="B19" i="108"/>
  <c r="V18" i="108"/>
  <c r="T18" i="108"/>
  <c r="P18" i="108"/>
  <c r="N18" i="108"/>
  <c r="L18" i="108"/>
  <c r="H18" i="108"/>
  <c r="F18" i="108"/>
  <c r="D18" i="108"/>
  <c r="Z16" i="108"/>
  <c r="P16" i="108"/>
  <c r="X16" i="108" s="1"/>
  <c r="N16" i="108"/>
  <c r="L16" i="108"/>
  <c r="D16" i="108"/>
  <c r="B16" i="108"/>
  <c r="Z15" i="108"/>
  <c r="X15" i="108"/>
  <c r="P15" i="108"/>
  <c r="N15" i="108"/>
  <c r="D15" i="108"/>
  <c r="L15" i="108" s="1"/>
  <c r="B15" i="108"/>
  <c r="X14" i="108"/>
  <c r="Z14" i="108" s="1"/>
  <c r="P14" i="108"/>
  <c r="P12" i="108" s="1"/>
  <c r="N14" i="108"/>
  <c r="L14" i="108"/>
  <c r="D14" i="108"/>
  <c r="B14" i="108"/>
  <c r="Z13" i="108"/>
  <c r="X13" i="108"/>
  <c r="P13" i="108"/>
  <c r="N13" i="108"/>
  <c r="L13" i="108"/>
  <c r="D13" i="108"/>
  <c r="D12" i="108" s="1"/>
  <c r="B13" i="108"/>
  <c r="T12" i="108"/>
  <c r="V36" i="108" s="1"/>
  <c r="H12" i="108"/>
  <c r="J18" i="108" s="1"/>
  <c r="D6" i="108"/>
  <c r="D4" i="108"/>
  <c r="X95" i="106"/>
  <c r="Z95" i="106" s="1"/>
  <c r="L95" i="106"/>
  <c r="N95" i="106" s="1"/>
  <c r="Z91" i="106"/>
  <c r="T91" i="106"/>
  <c r="P91" i="106"/>
  <c r="X91" i="106" s="1"/>
  <c r="H91" i="106"/>
  <c r="L91" i="106" s="1"/>
  <c r="D91" i="106"/>
  <c r="Z89" i="106"/>
  <c r="X89" i="106"/>
  <c r="N89" i="106"/>
  <c r="L89" i="106"/>
  <c r="B89" i="106"/>
  <c r="T88" i="106"/>
  <c r="X88" i="106" s="1"/>
  <c r="P88" i="106"/>
  <c r="H88" i="106"/>
  <c r="N88" i="106" s="1"/>
  <c r="D88" i="106"/>
  <c r="L88" i="106" s="1"/>
  <c r="B88" i="106"/>
  <c r="Z87" i="106"/>
  <c r="X87" i="106"/>
  <c r="L87" i="106"/>
  <c r="N87" i="106" s="1"/>
  <c r="B87" i="106"/>
  <c r="T86" i="106"/>
  <c r="Z86" i="106" s="1"/>
  <c r="P86" i="106"/>
  <c r="X86" i="106" s="1"/>
  <c r="N86" i="106"/>
  <c r="J86" i="106"/>
  <c r="H86" i="106"/>
  <c r="D86" i="106"/>
  <c r="L86" i="106" s="1"/>
  <c r="B86" i="106"/>
  <c r="X85" i="106"/>
  <c r="Z85" i="106" s="1"/>
  <c r="L85" i="106"/>
  <c r="N85" i="106" s="1"/>
  <c r="B85" i="106"/>
  <c r="X84" i="106"/>
  <c r="Z84" i="106" s="1"/>
  <c r="T84" i="106"/>
  <c r="P84" i="106"/>
  <c r="L84" i="106"/>
  <c r="H84" i="106"/>
  <c r="N84" i="106" s="1"/>
  <c r="D84" i="106"/>
  <c r="B84" i="106"/>
  <c r="Z83" i="106"/>
  <c r="X83" i="106"/>
  <c r="N83" i="106"/>
  <c r="L83" i="106"/>
  <c r="B83" i="106"/>
  <c r="Z82" i="106"/>
  <c r="X82" i="106"/>
  <c r="N82" i="106"/>
  <c r="L82" i="106"/>
  <c r="B82" i="106"/>
  <c r="Z81" i="106"/>
  <c r="X81" i="106"/>
  <c r="N81" i="106"/>
  <c r="L81" i="106"/>
  <c r="B81" i="106"/>
  <c r="Z80" i="106"/>
  <c r="X80" i="106"/>
  <c r="N80" i="106"/>
  <c r="L80" i="106"/>
  <c r="B80" i="106"/>
  <c r="Z79" i="106"/>
  <c r="X79" i="106"/>
  <c r="N79" i="106"/>
  <c r="L79" i="106"/>
  <c r="B79" i="106"/>
  <c r="Z78" i="106"/>
  <c r="X78" i="106"/>
  <c r="N78" i="106"/>
  <c r="L78" i="106"/>
  <c r="B78" i="106"/>
  <c r="Z77" i="106"/>
  <c r="X77" i="106"/>
  <c r="L77" i="106"/>
  <c r="N77" i="106" s="1"/>
  <c r="B77" i="106"/>
  <c r="Z76" i="106"/>
  <c r="X76" i="106"/>
  <c r="N76" i="106"/>
  <c r="L76" i="106"/>
  <c r="B76" i="106"/>
  <c r="T75" i="106"/>
  <c r="X75" i="106" s="1"/>
  <c r="P75" i="106"/>
  <c r="L75" i="106"/>
  <c r="N75" i="106" s="1"/>
  <c r="H75" i="106"/>
  <c r="D75" i="106"/>
  <c r="B75" i="106"/>
  <c r="Z74" i="106"/>
  <c r="X74" i="106"/>
  <c r="L74" i="106"/>
  <c r="N74" i="106" s="1"/>
  <c r="B74" i="106"/>
  <c r="X73" i="106"/>
  <c r="Z73" i="106" s="1"/>
  <c r="V73" i="106"/>
  <c r="L73" i="106"/>
  <c r="N73" i="106" s="1"/>
  <c r="B73" i="106"/>
  <c r="Z72" i="106"/>
  <c r="X72" i="106"/>
  <c r="N72" i="106"/>
  <c r="L72" i="106"/>
  <c r="B72" i="106"/>
  <c r="Z71" i="106"/>
  <c r="X71" i="106"/>
  <c r="L71" i="106"/>
  <c r="N71" i="106" s="1"/>
  <c r="B71" i="106"/>
  <c r="T70" i="106"/>
  <c r="P70" i="106"/>
  <c r="X70" i="106" s="1"/>
  <c r="H70" i="106"/>
  <c r="D70" i="106"/>
  <c r="L70" i="106" s="1"/>
  <c r="N70" i="106" s="1"/>
  <c r="B70" i="106"/>
  <c r="X69" i="106"/>
  <c r="Z69" i="106" s="1"/>
  <c r="L69" i="106"/>
  <c r="N69" i="106" s="1"/>
  <c r="B69" i="106"/>
  <c r="Z68" i="106"/>
  <c r="X68" i="106"/>
  <c r="N68" i="106"/>
  <c r="L68" i="106"/>
  <c r="B68" i="106"/>
  <c r="X67" i="106"/>
  <c r="Z67" i="106" s="1"/>
  <c r="R67" i="106"/>
  <c r="N67" i="106"/>
  <c r="L67" i="106"/>
  <c r="B67" i="106"/>
  <c r="X66" i="106"/>
  <c r="T66" i="106"/>
  <c r="Z66" i="106" s="1"/>
  <c r="P66" i="106"/>
  <c r="L66" i="106"/>
  <c r="N66" i="106" s="1"/>
  <c r="H66" i="106"/>
  <c r="D66" i="106"/>
  <c r="B66" i="106"/>
  <c r="X65" i="106"/>
  <c r="Z65" i="106" s="1"/>
  <c r="L65" i="106"/>
  <c r="N65" i="106" s="1"/>
  <c r="B65" i="106"/>
  <c r="T64" i="106"/>
  <c r="P64" i="106"/>
  <c r="H64" i="106"/>
  <c r="D64" i="106"/>
  <c r="B64" i="106"/>
  <c r="Z63" i="106"/>
  <c r="X63" i="106"/>
  <c r="R63" i="106"/>
  <c r="L63" i="106"/>
  <c r="N63" i="106" s="1"/>
  <c r="B63" i="106"/>
  <c r="T62" i="106"/>
  <c r="Z62" i="106" s="1"/>
  <c r="P62" i="106"/>
  <c r="X62" i="106" s="1"/>
  <c r="H62" i="106"/>
  <c r="D62" i="106"/>
  <c r="L62" i="106" s="1"/>
  <c r="N62" i="106" s="1"/>
  <c r="B62" i="106"/>
  <c r="X61" i="106"/>
  <c r="Z61" i="106" s="1"/>
  <c r="N61" i="106"/>
  <c r="L61" i="106"/>
  <c r="B61" i="106"/>
  <c r="T60" i="106"/>
  <c r="P60" i="106"/>
  <c r="X60" i="106" s="1"/>
  <c r="Z60" i="106" s="1"/>
  <c r="L60" i="106"/>
  <c r="H60" i="106"/>
  <c r="D60" i="106"/>
  <c r="B60" i="106"/>
  <c r="X59" i="106"/>
  <c r="Z59" i="106" s="1"/>
  <c r="N59" i="106"/>
  <c r="L59" i="106"/>
  <c r="B59" i="106"/>
  <c r="T58" i="106"/>
  <c r="P58" i="106"/>
  <c r="H58" i="106"/>
  <c r="L58" i="106" s="1"/>
  <c r="N58" i="106" s="1"/>
  <c r="D58" i="106"/>
  <c r="B58" i="106"/>
  <c r="X57" i="106"/>
  <c r="Z57" i="106" s="1"/>
  <c r="L57" i="106"/>
  <c r="N57" i="106" s="1"/>
  <c r="B57" i="106"/>
  <c r="T56" i="106"/>
  <c r="P56" i="106"/>
  <c r="X56" i="106" s="1"/>
  <c r="Z56" i="106" s="1"/>
  <c r="H56" i="106"/>
  <c r="D56" i="106"/>
  <c r="B56" i="106"/>
  <c r="X55" i="106"/>
  <c r="Z55" i="106" s="1"/>
  <c r="N55" i="106"/>
  <c r="L55" i="106"/>
  <c r="B55" i="106"/>
  <c r="X54" i="106"/>
  <c r="V54" i="106"/>
  <c r="T54" i="106"/>
  <c r="P54" i="106"/>
  <c r="N54" i="106"/>
  <c r="L54" i="106"/>
  <c r="H54" i="106"/>
  <c r="D54" i="106"/>
  <c r="B54" i="106"/>
  <c r="X53" i="106"/>
  <c r="Z53" i="106" s="1"/>
  <c r="L53" i="106"/>
  <c r="N53" i="106" s="1"/>
  <c r="B53" i="106"/>
  <c r="X52" i="106"/>
  <c r="T52" i="106"/>
  <c r="Z52" i="106" s="1"/>
  <c r="P52" i="106"/>
  <c r="J52" i="106"/>
  <c r="H52" i="106"/>
  <c r="D52" i="106"/>
  <c r="B52" i="106"/>
  <c r="Z51" i="106"/>
  <c r="X51" i="106"/>
  <c r="L51" i="106"/>
  <c r="N51" i="106" s="1"/>
  <c r="B51" i="106"/>
  <c r="T50" i="106"/>
  <c r="P50" i="106"/>
  <c r="N50" i="106"/>
  <c r="H50" i="106"/>
  <c r="D50" i="106"/>
  <c r="L50" i="106" s="1"/>
  <c r="B50" i="106"/>
  <c r="X49" i="106"/>
  <c r="Z49" i="106" s="1"/>
  <c r="V49" i="106"/>
  <c r="N49" i="106"/>
  <c r="L49" i="106"/>
  <c r="B49" i="106"/>
  <c r="Z48" i="106"/>
  <c r="X48" i="106"/>
  <c r="T48" i="106"/>
  <c r="P48" i="106"/>
  <c r="L48" i="106"/>
  <c r="H48" i="106"/>
  <c r="N48" i="106" s="1"/>
  <c r="D48" i="106"/>
  <c r="B48" i="106"/>
  <c r="Z47" i="106"/>
  <c r="X47" i="106"/>
  <c r="N47" i="106"/>
  <c r="L47" i="106"/>
  <c r="B47" i="106"/>
  <c r="Z46" i="106"/>
  <c r="X46" i="106"/>
  <c r="N46" i="106"/>
  <c r="L46" i="106"/>
  <c r="B46" i="106"/>
  <c r="X45" i="106"/>
  <c r="Z45" i="106" s="1"/>
  <c r="R45" i="106"/>
  <c r="L45" i="106"/>
  <c r="N45" i="106" s="1"/>
  <c r="B45" i="106"/>
  <c r="Z44" i="106"/>
  <c r="X44" i="106"/>
  <c r="N44" i="106"/>
  <c r="L44" i="106"/>
  <c r="B44" i="106"/>
  <c r="Z43" i="106"/>
  <c r="X43" i="106"/>
  <c r="N43" i="106"/>
  <c r="L43" i="106"/>
  <c r="J43" i="106"/>
  <c r="B43" i="106"/>
  <c r="Z42" i="106"/>
  <c r="X42" i="106"/>
  <c r="N42" i="106"/>
  <c r="L42" i="106"/>
  <c r="B42" i="106"/>
  <c r="Z41" i="106"/>
  <c r="X41" i="106"/>
  <c r="L41" i="106"/>
  <c r="N41" i="106" s="1"/>
  <c r="B41" i="106"/>
  <c r="Z40" i="106"/>
  <c r="X40" i="106"/>
  <c r="N40" i="106"/>
  <c r="L40" i="106"/>
  <c r="J40" i="106"/>
  <c r="B40" i="106"/>
  <c r="X39" i="106"/>
  <c r="Z39" i="106" s="1"/>
  <c r="N39" i="106"/>
  <c r="L39" i="106"/>
  <c r="B39" i="106"/>
  <c r="Z38" i="106"/>
  <c r="X38" i="106"/>
  <c r="V38" i="106"/>
  <c r="N38" i="106"/>
  <c r="L38" i="106"/>
  <c r="B38" i="106"/>
  <c r="X37" i="106"/>
  <c r="Z37" i="106" s="1"/>
  <c r="T37" i="106"/>
  <c r="P37" i="106"/>
  <c r="L37" i="106"/>
  <c r="H37" i="106"/>
  <c r="D37" i="106"/>
  <c r="B37" i="106"/>
  <c r="Z36" i="106"/>
  <c r="X36" i="106"/>
  <c r="V36" i="106"/>
  <c r="N36" i="106"/>
  <c r="L36" i="106"/>
  <c r="B36" i="106"/>
  <c r="Z35" i="106"/>
  <c r="X35" i="106"/>
  <c r="L35" i="106"/>
  <c r="N35" i="106" s="1"/>
  <c r="B35" i="106"/>
  <c r="Z34" i="106"/>
  <c r="X34" i="106"/>
  <c r="L34" i="106"/>
  <c r="N34" i="106" s="1"/>
  <c r="J34" i="106"/>
  <c r="B34" i="106"/>
  <c r="Z33" i="106"/>
  <c r="X33" i="106"/>
  <c r="N33" i="106"/>
  <c r="L33" i="106"/>
  <c r="J33" i="106"/>
  <c r="B33" i="106"/>
  <c r="Z32" i="106"/>
  <c r="X32" i="106"/>
  <c r="V32" i="106"/>
  <c r="N32" i="106"/>
  <c r="L32" i="106"/>
  <c r="B32" i="106"/>
  <c r="Z31" i="106"/>
  <c r="X31" i="106"/>
  <c r="V31" i="106"/>
  <c r="R31" i="106"/>
  <c r="L31" i="106"/>
  <c r="N31" i="106" s="1"/>
  <c r="B31" i="106"/>
  <c r="Z30" i="106"/>
  <c r="X30" i="106"/>
  <c r="L30" i="106"/>
  <c r="N30" i="106" s="1"/>
  <c r="B30" i="106"/>
  <c r="X29" i="106"/>
  <c r="Z29" i="106" s="1"/>
  <c r="V29" i="106"/>
  <c r="L29" i="106"/>
  <c r="N29" i="106" s="1"/>
  <c r="B29" i="106"/>
  <c r="Z28" i="106"/>
  <c r="X28" i="106"/>
  <c r="V28" i="106"/>
  <c r="N28" i="106"/>
  <c r="L28" i="106"/>
  <c r="B28" i="106"/>
  <c r="Z27" i="106"/>
  <c r="X27" i="106"/>
  <c r="L27" i="106"/>
  <c r="N27" i="106" s="1"/>
  <c r="B27" i="106"/>
  <c r="Z26" i="106"/>
  <c r="T26" i="106"/>
  <c r="P26" i="106"/>
  <c r="X26" i="106" s="1"/>
  <c r="N26" i="106"/>
  <c r="J26" i="106"/>
  <c r="H26" i="106"/>
  <c r="D26" i="106"/>
  <c r="L26" i="106" s="1"/>
  <c r="B26" i="106"/>
  <c r="X25" i="106"/>
  <c r="Z25" i="106" s="1"/>
  <c r="T25" i="106"/>
  <c r="P25" i="106"/>
  <c r="H25" i="106"/>
  <c r="D25" i="106"/>
  <c r="L25" i="106" s="1"/>
  <c r="Z21" i="106"/>
  <c r="X21" i="106"/>
  <c r="V21" i="106"/>
  <c r="N21" i="106"/>
  <c r="L21" i="106"/>
  <c r="B21" i="106"/>
  <c r="Z20" i="106"/>
  <c r="X20" i="106"/>
  <c r="V20" i="106"/>
  <c r="N20" i="106"/>
  <c r="L20" i="106"/>
  <c r="B20" i="106"/>
  <c r="X19" i="106"/>
  <c r="Z19" i="106" s="1"/>
  <c r="R19" i="106"/>
  <c r="N19" i="106"/>
  <c r="L19" i="106"/>
  <c r="B19" i="106"/>
  <c r="X18" i="106"/>
  <c r="V18" i="106"/>
  <c r="T18" i="106"/>
  <c r="Z18" i="106" s="1"/>
  <c r="P18" i="106"/>
  <c r="H18" i="106"/>
  <c r="D18" i="106"/>
  <c r="L18" i="106" s="1"/>
  <c r="N18" i="106" s="1"/>
  <c r="Z16" i="106"/>
  <c r="P16" i="106"/>
  <c r="X16" i="106" s="1"/>
  <c r="N16" i="106"/>
  <c r="L16" i="106"/>
  <c r="D16" i="106"/>
  <c r="B16" i="106"/>
  <c r="Z15" i="106"/>
  <c r="X15" i="106"/>
  <c r="P15" i="106"/>
  <c r="N15" i="106"/>
  <c r="L15" i="106"/>
  <c r="D15" i="106"/>
  <c r="B15" i="106"/>
  <c r="Z14" i="106"/>
  <c r="P14" i="106"/>
  <c r="X14" i="106" s="1"/>
  <c r="L14" i="106"/>
  <c r="N14" i="106" s="1"/>
  <c r="D14" i="106"/>
  <c r="B14" i="106"/>
  <c r="Z13" i="106"/>
  <c r="X13" i="106"/>
  <c r="P13" i="106"/>
  <c r="N13" i="106"/>
  <c r="L13" i="106"/>
  <c r="D13" i="106"/>
  <c r="B13" i="106"/>
  <c r="T12" i="106"/>
  <c r="V42" i="106" s="1"/>
  <c r="P12" i="106"/>
  <c r="R80" i="106" s="1"/>
  <c r="H12" i="106"/>
  <c r="J80" i="106" s="1"/>
  <c r="D12" i="106"/>
  <c r="F25" i="106" s="1"/>
  <c r="D6" i="106"/>
  <c r="D4" i="106"/>
  <c r="Z65" i="105"/>
  <c r="X65" i="105"/>
  <c r="L65" i="105"/>
  <c r="N65" i="105" s="1"/>
  <c r="T61" i="105"/>
  <c r="P61" i="105"/>
  <c r="H61" i="105"/>
  <c r="N61" i="105" s="1"/>
  <c r="D61" i="105"/>
  <c r="L61" i="105" s="1"/>
  <c r="Z59" i="105"/>
  <c r="X59" i="105"/>
  <c r="N59" i="105"/>
  <c r="L59" i="105"/>
  <c r="B59" i="105"/>
  <c r="X58" i="105"/>
  <c r="T58" i="105"/>
  <c r="Z58" i="105" s="1"/>
  <c r="P58" i="105"/>
  <c r="H58" i="105"/>
  <c r="N58" i="105" s="1"/>
  <c r="D58" i="105"/>
  <c r="L58" i="105" s="1"/>
  <c r="B58" i="105"/>
  <c r="Z57" i="105"/>
  <c r="X57" i="105"/>
  <c r="V57" i="105"/>
  <c r="N57" i="105"/>
  <c r="L57" i="105"/>
  <c r="B57" i="105"/>
  <c r="X56" i="105"/>
  <c r="Z56" i="105" s="1"/>
  <c r="V56" i="105"/>
  <c r="L56" i="105"/>
  <c r="N56" i="105" s="1"/>
  <c r="B56" i="105"/>
  <c r="Z55" i="105"/>
  <c r="X55" i="105"/>
  <c r="N55" i="105"/>
  <c r="L55" i="105"/>
  <c r="B55" i="105"/>
  <c r="T54" i="105"/>
  <c r="P54" i="105"/>
  <c r="X54" i="105" s="1"/>
  <c r="Z54" i="105" s="1"/>
  <c r="H54" i="105"/>
  <c r="D54" i="105"/>
  <c r="B54" i="105"/>
  <c r="X53" i="105"/>
  <c r="Z53" i="105" s="1"/>
  <c r="V53" i="105"/>
  <c r="N53" i="105"/>
  <c r="L53" i="105"/>
  <c r="B53" i="105"/>
  <c r="T52" i="105"/>
  <c r="P52" i="105"/>
  <c r="X52" i="105" s="1"/>
  <c r="Z52" i="105" s="1"/>
  <c r="N52" i="105"/>
  <c r="H52" i="105"/>
  <c r="D52" i="105"/>
  <c r="L52" i="105" s="1"/>
  <c r="B52" i="105"/>
  <c r="X51" i="105"/>
  <c r="Z51" i="105" s="1"/>
  <c r="N51" i="105"/>
  <c r="L51" i="105"/>
  <c r="B51" i="105"/>
  <c r="T50" i="105"/>
  <c r="P50" i="105"/>
  <c r="H50" i="105"/>
  <c r="D50" i="105"/>
  <c r="L50" i="105" s="1"/>
  <c r="N50" i="105" s="1"/>
  <c r="B50" i="105"/>
  <c r="Z49" i="105"/>
  <c r="X49" i="105"/>
  <c r="N49" i="105"/>
  <c r="L49" i="105"/>
  <c r="B49" i="105"/>
  <c r="T48" i="105"/>
  <c r="P48" i="105"/>
  <c r="X48" i="105" s="1"/>
  <c r="L48" i="105"/>
  <c r="H48" i="105"/>
  <c r="N48" i="105" s="1"/>
  <c r="D48" i="105"/>
  <c r="B48" i="105"/>
  <c r="X47" i="105"/>
  <c r="Z47" i="105" s="1"/>
  <c r="V47" i="105"/>
  <c r="N47" i="105"/>
  <c r="L47" i="105"/>
  <c r="B47" i="105"/>
  <c r="T46" i="105"/>
  <c r="P46" i="105"/>
  <c r="X46" i="105" s="1"/>
  <c r="N46" i="105"/>
  <c r="L46" i="105"/>
  <c r="H46" i="105"/>
  <c r="D46" i="105"/>
  <c r="B46" i="105"/>
  <c r="Z45" i="105"/>
  <c r="X45" i="105"/>
  <c r="N45" i="105"/>
  <c r="L45" i="105"/>
  <c r="B45" i="105"/>
  <c r="Z44" i="105"/>
  <c r="X44" i="105"/>
  <c r="N44" i="105"/>
  <c r="L44" i="105"/>
  <c r="B44" i="105"/>
  <c r="Z43" i="105"/>
  <c r="X43" i="105"/>
  <c r="N43" i="105"/>
  <c r="L43" i="105"/>
  <c r="B43" i="105"/>
  <c r="Z42" i="105"/>
  <c r="X42" i="105"/>
  <c r="V42" i="105"/>
  <c r="N42" i="105"/>
  <c r="L42" i="105"/>
  <c r="B42" i="105"/>
  <c r="Z41" i="105"/>
  <c r="X41" i="105"/>
  <c r="N41" i="105"/>
  <c r="L41" i="105"/>
  <c r="B41" i="105"/>
  <c r="Z40" i="105"/>
  <c r="X40" i="105"/>
  <c r="N40" i="105"/>
  <c r="L40" i="105"/>
  <c r="B40" i="105"/>
  <c r="Z39" i="105"/>
  <c r="X39" i="105"/>
  <c r="N39" i="105"/>
  <c r="L39" i="105"/>
  <c r="B39" i="105"/>
  <c r="Z38" i="105"/>
  <c r="X38" i="105"/>
  <c r="N38" i="105"/>
  <c r="L38" i="105"/>
  <c r="B38" i="105"/>
  <c r="Z37" i="105"/>
  <c r="X37" i="105"/>
  <c r="N37" i="105"/>
  <c r="L37" i="105"/>
  <c r="B37" i="105"/>
  <c r="Z36" i="105"/>
  <c r="X36" i="105"/>
  <c r="V36" i="105"/>
  <c r="N36" i="105"/>
  <c r="L36" i="105"/>
  <c r="B36" i="105"/>
  <c r="X35" i="105"/>
  <c r="Z35" i="105" s="1"/>
  <c r="T35" i="105"/>
  <c r="P35" i="105"/>
  <c r="H35" i="105"/>
  <c r="D35" i="105"/>
  <c r="L35" i="105" s="1"/>
  <c r="N35" i="105" s="1"/>
  <c r="B35" i="105"/>
  <c r="X34" i="105"/>
  <c r="Z34" i="105" s="1"/>
  <c r="L34" i="105"/>
  <c r="N34" i="105" s="1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B31" i="105"/>
  <c r="X30" i="105"/>
  <c r="Z30" i="105" s="1"/>
  <c r="V30" i="105"/>
  <c r="N30" i="105"/>
  <c r="L30" i="105"/>
  <c r="B30" i="105"/>
  <c r="Z29" i="105"/>
  <c r="X29" i="105"/>
  <c r="N29" i="105"/>
  <c r="L29" i="105"/>
  <c r="B29" i="105"/>
  <c r="Z28" i="105"/>
  <c r="X28" i="105"/>
  <c r="L28" i="105"/>
  <c r="N28" i="105" s="1"/>
  <c r="B28" i="105"/>
  <c r="Z27" i="105"/>
  <c r="X27" i="105"/>
  <c r="N27" i="105"/>
  <c r="L27" i="105"/>
  <c r="B27" i="105"/>
  <c r="X26" i="105"/>
  <c r="V26" i="105"/>
  <c r="T26" i="105"/>
  <c r="Z26" i="105" s="1"/>
  <c r="P26" i="105"/>
  <c r="H26" i="105"/>
  <c r="D26" i="105"/>
  <c r="L26" i="105" s="1"/>
  <c r="N26" i="105" s="1"/>
  <c r="B26" i="105"/>
  <c r="T25" i="105"/>
  <c r="P25" i="105"/>
  <c r="X25" i="105" s="1"/>
  <c r="Z25" i="105" s="1"/>
  <c r="H25" i="105"/>
  <c r="D25" i="105"/>
  <c r="L25" i="105" s="1"/>
  <c r="N25" i="105" s="1"/>
  <c r="Z21" i="105"/>
  <c r="X21" i="105"/>
  <c r="N21" i="105"/>
  <c r="L21" i="105"/>
  <c r="B21" i="105"/>
  <c r="Z20" i="105"/>
  <c r="X20" i="105"/>
  <c r="N20" i="105"/>
  <c r="L20" i="105"/>
  <c r="B20" i="105"/>
  <c r="Z19" i="105"/>
  <c r="X19" i="105"/>
  <c r="N19" i="105"/>
  <c r="L19" i="105"/>
  <c r="B19" i="105"/>
  <c r="V18" i="105"/>
  <c r="T18" i="105"/>
  <c r="Z18" i="105" s="1"/>
  <c r="P18" i="105"/>
  <c r="X18" i="105" s="1"/>
  <c r="H18" i="105"/>
  <c r="D18" i="105"/>
  <c r="L18" i="105" s="1"/>
  <c r="Z16" i="105"/>
  <c r="P16" i="105"/>
  <c r="X16" i="105" s="1"/>
  <c r="N16" i="105"/>
  <c r="D16" i="105"/>
  <c r="L16" i="105" s="1"/>
  <c r="B16" i="105"/>
  <c r="Z15" i="105"/>
  <c r="P15" i="105"/>
  <c r="N15" i="105"/>
  <c r="L15" i="105"/>
  <c r="D15" i="105"/>
  <c r="B15" i="105"/>
  <c r="Z14" i="105"/>
  <c r="X14" i="105"/>
  <c r="P14" i="105"/>
  <c r="D14" i="105"/>
  <c r="L14" i="105" s="1"/>
  <c r="N14" i="105" s="1"/>
  <c r="B14" i="105"/>
  <c r="Z13" i="105"/>
  <c r="X13" i="105"/>
  <c r="P13" i="105"/>
  <c r="N13" i="105"/>
  <c r="D13" i="105"/>
  <c r="B13" i="105"/>
  <c r="T12" i="105"/>
  <c r="V65" i="105" s="1"/>
  <c r="H12" i="105"/>
  <c r="D6" i="105"/>
  <c r="D4" i="105"/>
  <c r="Z92" i="104"/>
  <c r="X92" i="104"/>
  <c r="L92" i="104"/>
  <c r="N92" i="104" s="1"/>
  <c r="Z88" i="104"/>
  <c r="T88" i="104"/>
  <c r="P88" i="104"/>
  <c r="X88" i="104" s="1"/>
  <c r="H88" i="104"/>
  <c r="N88" i="104" s="1"/>
  <c r="D88" i="104"/>
  <c r="L88" i="104" s="1"/>
  <c r="Z86" i="104"/>
  <c r="X86" i="104"/>
  <c r="N86" i="104"/>
  <c r="L86" i="104"/>
  <c r="B86" i="104"/>
  <c r="Z85" i="104"/>
  <c r="X85" i="104"/>
  <c r="N85" i="104"/>
  <c r="L85" i="104"/>
  <c r="B85" i="104"/>
  <c r="T84" i="104"/>
  <c r="P84" i="104"/>
  <c r="X84" i="104" s="1"/>
  <c r="N84" i="104"/>
  <c r="H84" i="104"/>
  <c r="D84" i="104"/>
  <c r="L84" i="104" s="1"/>
  <c r="B84" i="104"/>
  <c r="Z83" i="104"/>
  <c r="X83" i="104"/>
  <c r="N83" i="104"/>
  <c r="L83" i="104"/>
  <c r="B83" i="104"/>
  <c r="Z82" i="104"/>
  <c r="T82" i="104"/>
  <c r="P82" i="104"/>
  <c r="X82" i="104" s="1"/>
  <c r="L82" i="104"/>
  <c r="J82" i="104"/>
  <c r="H82" i="104"/>
  <c r="N82" i="104" s="1"/>
  <c r="D82" i="104"/>
  <c r="B82" i="104"/>
  <c r="Z81" i="104"/>
  <c r="X81" i="104"/>
  <c r="N81" i="104"/>
  <c r="L81" i="104"/>
  <c r="B81" i="104"/>
  <c r="T80" i="104"/>
  <c r="P80" i="104"/>
  <c r="X80" i="104" s="1"/>
  <c r="H80" i="104"/>
  <c r="F80" i="104"/>
  <c r="D80" i="104"/>
  <c r="L80" i="104" s="1"/>
  <c r="B80" i="104"/>
  <c r="X79" i="104"/>
  <c r="Z79" i="104" s="1"/>
  <c r="L79" i="104"/>
  <c r="N79" i="104" s="1"/>
  <c r="B79" i="104"/>
  <c r="Z78" i="104"/>
  <c r="X78" i="104"/>
  <c r="N78" i="104"/>
  <c r="L78" i="104"/>
  <c r="B78" i="104"/>
  <c r="Z77" i="104"/>
  <c r="X77" i="104"/>
  <c r="N77" i="104"/>
  <c r="L77" i="104"/>
  <c r="B77" i="104"/>
  <c r="X76" i="104"/>
  <c r="Z76" i="104" s="1"/>
  <c r="L76" i="104"/>
  <c r="N76" i="104" s="1"/>
  <c r="J76" i="104"/>
  <c r="B76" i="104"/>
  <c r="X75" i="104"/>
  <c r="Z75" i="104" s="1"/>
  <c r="L75" i="104"/>
  <c r="N75" i="104" s="1"/>
  <c r="B75" i="104"/>
  <c r="Z74" i="104"/>
  <c r="X74" i="104"/>
  <c r="N74" i="104"/>
  <c r="L74" i="104"/>
  <c r="B74" i="104"/>
  <c r="Z73" i="104"/>
  <c r="X73" i="104"/>
  <c r="L73" i="104"/>
  <c r="N73" i="104" s="1"/>
  <c r="B73" i="104"/>
  <c r="T72" i="104"/>
  <c r="Z72" i="104" s="1"/>
  <c r="P72" i="104"/>
  <c r="X72" i="104" s="1"/>
  <c r="N72" i="104"/>
  <c r="H72" i="104"/>
  <c r="D72" i="104"/>
  <c r="L72" i="104" s="1"/>
  <c r="B72" i="104"/>
  <c r="X71" i="104"/>
  <c r="Z71" i="104" s="1"/>
  <c r="L71" i="104"/>
  <c r="N71" i="104" s="1"/>
  <c r="B71" i="104"/>
  <c r="Z70" i="104"/>
  <c r="X70" i="104"/>
  <c r="N70" i="104"/>
  <c r="L70" i="104"/>
  <c r="B70" i="104"/>
  <c r="X69" i="104"/>
  <c r="Z69" i="104" s="1"/>
  <c r="N69" i="104"/>
  <c r="L69" i="104"/>
  <c r="B69" i="104"/>
  <c r="X68" i="104"/>
  <c r="Z68" i="104" s="1"/>
  <c r="N68" i="104"/>
  <c r="L68" i="104"/>
  <c r="J68" i="104"/>
  <c r="B68" i="104"/>
  <c r="T67" i="104"/>
  <c r="P67" i="104"/>
  <c r="X67" i="104" s="1"/>
  <c r="Z67" i="104" s="1"/>
  <c r="H67" i="104"/>
  <c r="D67" i="104"/>
  <c r="B67" i="104"/>
  <c r="Z66" i="104"/>
  <c r="X66" i="104"/>
  <c r="N66" i="104"/>
  <c r="L66" i="104"/>
  <c r="B66" i="104"/>
  <c r="Z65" i="104"/>
  <c r="X65" i="104"/>
  <c r="N65" i="104"/>
  <c r="L65" i="104"/>
  <c r="J65" i="104"/>
  <c r="B65" i="104"/>
  <c r="T64" i="104"/>
  <c r="P64" i="104"/>
  <c r="X64" i="104" s="1"/>
  <c r="H64" i="104"/>
  <c r="F64" i="104"/>
  <c r="D64" i="104"/>
  <c r="L64" i="104" s="1"/>
  <c r="B64" i="104"/>
  <c r="X63" i="104"/>
  <c r="Z63" i="104" s="1"/>
  <c r="L63" i="104"/>
  <c r="N63" i="104" s="1"/>
  <c r="B63" i="104"/>
  <c r="T62" i="104"/>
  <c r="P62" i="104"/>
  <c r="X62" i="104" s="1"/>
  <c r="Z62" i="104" s="1"/>
  <c r="H62" i="104"/>
  <c r="N62" i="104" s="1"/>
  <c r="D62" i="104"/>
  <c r="L62" i="104" s="1"/>
  <c r="B62" i="104"/>
  <c r="Z61" i="104"/>
  <c r="X61" i="104"/>
  <c r="N61" i="104"/>
  <c r="L61" i="104"/>
  <c r="B61" i="104"/>
  <c r="X60" i="104"/>
  <c r="T60" i="104"/>
  <c r="Z60" i="104" s="1"/>
  <c r="P60" i="104"/>
  <c r="N60" i="104"/>
  <c r="L60" i="104"/>
  <c r="H60" i="104"/>
  <c r="D60" i="104"/>
  <c r="B60" i="104"/>
  <c r="X59" i="104"/>
  <c r="Z59" i="104" s="1"/>
  <c r="L59" i="104"/>
  <c r="N59" i="104" s="1"/>
  <c r="B59" i="104"/>
  <c r="T58" i="104"/>
  <c r="P58" i="104"/>
  <c r="J58" i="104"/>
  <c r="H58" i="104"/>
  <c r="N58" i="104" s="1"/>
  <c r="D58" i="104"/>
  <c r="L58" i="104" s="1"/>
  <c r="B58" i="104"/>
  <c r="Z57" i="104"/>
  <c r="X57" i="104"/>
  <c r="N57" i="104"/>
  <c r="L57" i="104"/>
  <c r="B57" i="104"/>
  <c r="T56" i="104"/>
  <c r="P56" i="104"/>
  <c r="X56" i="104" s="1"/>
  <c r="N56" i="104"/>
  <c r="H56" i="104"/>
  <c r="D56" i="104"/>
  <c r="L56" i="104" s="1"/>
  <c r="B56" i="104"/>
  <c r="X55" i="104"/>
  <c r="Z55" i="104" s="1"/>
  <c r="L55" i="104"/>
  <c r="N55" i="104" s="1"/>
  <c r="B55" i="104"/>
  <c r="Z54" i="104"/>
  <c r="T54" i="104"/>
  <c r="X54" i="104" s="1"/>
  <c r="P54" i="104"/>
  <c r="L54" i="104"/>
  <c r="J54" i="104"/>
  <c r="H54" i="104"/>
  <c r="D54" i="104"/>
  <c r="B54" i="104"/>
  <c r="Z53" i="104"/>
  <c r="X53" i="104"/>
  <c r="N53" i="104"/>
  <c r="L53" i="104"/>
  <c r="J53" i="104"/>
  <c r="B53" i="104"/>
  <c r="T52" i="104"/>
  <c r="Z52" i="104" s="1"/>
  <c r="P52" i="104"/>
  <c r="X52" i="104" s="1"/>
  <c r="H52" i="104"/>
  <c r="D52" i="104"/>
  <c r="B52" i="104"/>
  <c r="X51" i="104"/>
  <c r="Z51" i="104" s="1"/>
  <c r="L51" i="104"/>
  <c r="N51" i="104" s="1"/>
  <c r="B51" i="104"/>
  <c r="T50" i="104"/>
  <c r="P50" i="104"/>
  <c r="X50" i="104" s="1"/>
  <c r="Z50" i="104" s="1"/>
  <c r="H50" i="104"/>
  <c r="N50" i="104" s="1"/>
  <c r="D50" i="104"/>
  <c r="L50" i="104" s="1"/>
  <c r="B50" i="104"/>
  <c r="Z49" i="104"/>
  <c r="X49" i="104"/>
  <c r="N49" i="104"/>
  <c r="L49" i="104"/>
  <c r="B49" i="104"/>
  <c r="X48" i="104"/>
  <c r="T48" i="104"/>
  <c r="P48" i="104"/>
  <c r="H48" i="104"/>
  <c r="L48" i="104" s="1"/>
  <c r="N48" i="104" s="1"/>
  <c r="D48" i="104"/>
  <c r="B48" i="104"/>
  <c r="Z47" i="104"/>
  <c r="X47" i="104"/>
  <c r="N47" i="104"/>
  <c r="L47" i="104"/>
  <c r="B47" i="104"/>
  <c r="Z46" i="104"/>
  <c r="X46" i="104"/>
  <c r="N46" i="104"/>
  <c r="L46" i="104"/>
  <c r="B46" i="104"/>
  <c r="Z45" i="104"/>
  <c r="X45" i="104"/>
  <c r="N45" i="104"/>
  <c r="L45" i="104"/>
  <c r="J45" i="104"/>
  <c r="F45" i="104"/>
  <c r="B45" i="104"/>
  <c r="Z44" i="104"/>
  <c r="X44" i="104"/>
  <c r="N44" i="104"/>
  <c r="L44" i="104"/>
  <c r="B44" i="104"/>
  <c r="Z43" i="104"/>
  <c r="X43" i="104"/>
  <c r="N43" i="104"/>
  <c r="L43" i="104"/>
  <c r="B43" i="104"/>
  <c r="Z42" i="104"/>
  <c r="X42" i="104"/>
  <c r="N42" i="104"/>
  <c r="L42" i="104"/>
  <c r="B42" i="104"/>
  <c r="Z41" i="104"/>
  <c r="X41" i="104"/>
  <c r="N41" i="104"/>
  <c r="L41" i="104"/>
  <c r="J41" i="104"/>
  <c r="F41" i="104"/>
  <c r="B41" i="104"/>
  <c r="Z40" i="104"/>
  <c r="X40" i="104"/>
  <c r="N40" i="104"/>
  <c r="L40" i="104"/>
  <c r="B40" i="104"/>
  <c r="Z39" i="104"/>
  <c r="X39" i="104"/>
  <c r="L39" i="104"/>
  <c r="N39" i="104" s="1"/>
  <c r="B39" i="104"/>
  <c r="Z38" i="104"/>
  <c r="X38" i="104"/>
  <c r="N38" i="104"/>
  <c r="L38" i="104"/>
  <c r="B38" i="104"/>
  <c r="T37" i="104"/>
  <c r="P37" i="104"/>
  <c r="X37" i="104" s="1"/>
  <c r="H37" i="104"/>
  <c r="D37" i="104"/>
  <c r="L37" i="104" s="1"/>
  <c r="N37" i="104" s="1"/>
  <c r="B37" i="104"/>
  <c r="Z36" i="104"/>
  <c r="X36" i="104"/>
  <c r="N36" i="104"/>
  <c r="L36" i="104"/>
  <c r="J36" i="104"/>
  <c r="B36" i="104"/>
  <c r="X35" i="104"/>
  <c r="Z35" i="104" s="1"/>
  <c r="N35" i="104"/>
  <c r="L35" i="104"/>
  <c r="B35" i="104"/>
  <c r="Z34" i="104"/>
  <c r="X34" i="104"/>
  <c r="N34" i="104"/>
  <c r="L34" i="104"/>
  <c r="B34" i="104"/>
  <c r="Z33" i="104"/>
  <c r="X33" i="104"/>
  <c r="N33" i="104"/>
  <c r="L33" i="104"/>
  <c r="B33" i="104"/>
  <c r="Z32" i="104"/>
  <c r="X32" i="104"/>
  <c r="N32" i="104"/>
  <c r="L32" i="104"/>
  <c r="J32" i="104"/>
  <c r="B32" i="104"/>
  <c r="X31" i="104"/>
  <c r="Z31" i="104" s="1"/>
  <c r="L31" i="104"/>
  <c r="N31" i="104" s="1"/>
  <c r="B31" i="104"/>
  <c r="Z30" i="104"/>
  <c r="X30" i="104"/>
  <c r="L30" i="104"/>
  <c r="N30" i="104" s="1"/>
  <c r="B30" i="104"/>
  <c r="Z29" i="104"/>
  <c r="X29" i="104"/>
  <c r="N29" i="104"/>
  <c r="L29" i="104"/>
  <c r="F29" i="104"/>
  <c r="B29" i="104"/>
  <c r="X28" i="104"/>
  <c r="Z28" i="104" s="1"/>
  <c r="L28" i="104"/>
  <c r="N28" i="104" s="1"/>
  <c r="J28" i="104"/>
  <c r="B28" i="104"/>
  <c r="X27" i="104"/>
  <c r="Z27" i="104" s="1"/>
  <c r="L27" i="104"/>
  <c r="N27" i="104" s="1"/>
  <c r="B27" i="104"/>
  <c r="Z26" i="104"/>
  <c r="T26" i="104"/>
  <c r="P26" i="104"/>
  <c r="X26" i="104" s="1"/>
  <c r="L26" i="104"/>
  <c r="J26" i="104"/>
  <c r="H26" i="104"/>
  <c r="N26" i="104" s="1"/>
  <c r="D26" i="104"/>
  <c r="B26" i="104"/>
  <c r="T25" i="104"/>
  <c r="P25" i="104"/>
  <c r="N25" i="104"/>
  <c r="H25" i="104"/>
  <c r="D25" i="104"/>
  <c r="L25" i="104" s="1"/>
  <c r="D23" i="104"/>
  <c r="Z21" i="104"/>
  <c r="X21" i="104"/>
  <c r="N21" i="104"/>
  <c r="L21" i="104"/>
  <c r="J21" i="104"/>
  <c r="B21" i="104"/>
  <c r="Z20" i="104"/>
  <c r="X20" i="104"/>
  <c r="N20" i="104"/>
  <c r="L20" i="104"/>
  <c r="J20" i="104"/>
  <c r="B20" i="104"/>
  <c r="X19" i="104"/>
  <c r="Z19" i="104" s="1"/>
  <c r="N19" i="104"/>
  <c r="L19" i="104"/>
  <c r="B19" i="104"/>
  <c r="X18" i="104"/>
  <c r="Z18" i="104" s="1"/>
  <c r="T18" i="104"/>
  <c r="P18" i="104"/>
  <c r="L18" i="104"/>
  <c r="N18" i="104" s="1"/>
  <c r="J18" i="104"/>
  <c r="H18" i="104"/>
  <c r="D18" i="104"/>
  <c r="Z16" i="104"/>
  <c r="X16" i="104"/>
  <c r="P16" i="104"/>
  <c r="N16" i="104"/>
  <c r="L16" i="104"/>
  <c r="D16" i="104"/>
  <c r="B16" i="104"/>
  <c r="Z15" i="104"/>
  <c r="X15" i="104"/>
  <c r="P15" i="104"/>
  <c r="N15" i="104"/>
  <c r="D15" i="104"/>
  <c r="L15" i="104" s="1"/>
  <c r="B15" i="104"/>
  <c r="P14" i="104"/>
  <c r="X14" i="104" s="1"/>
  <c r="Z14" i="104" s="1"/>
  <c r="L14" i="104"/>
  <c r="N14" i="104" s="1"/>
  <c r="D14" i="104"/>
  <c r="B14" i="104"/>
  <c r="Z13" i="104"/>
  <c r="X13" i="104"/>
  <c r="P13" i="104"/>
  <c r="N13" i="104"/>
  <c r="L13" i="104"/>
  <c r="D13" i="104"/>
  <c r="D12" i="104" s="1"/>
  <c r="F57" i="104" s="1"/>
  <c r="B13" i="104"/>
  <c r="T12" i="104"/>
  <c r="H12" i="104"/>
  <c r="J85" i="104" s="1"/>
  <c r="D6" i="104"/>
  <c r="D4" i="104"/>
  <c r="F70" i="103"/>
  <c r="Z65" i="103"/>
  <c r="X65" i="103"/>
  <c r="V65" i="103"/>
  <c r="N65" i="103"/>
  <c r="L65" i="103"/>
  <c r="F63" i="103"/>
  <c r="T61" i="103"/>
  <c r="Z61" i="103" s="1"/>
  <c r="P61" i="103"/>
  <c r="L61" i="103"/>
  <c r="H61" i="103"/>
  <c r="N61" i="103" s="1"/>
  <c r="D61" i="103"/>
  <c r="Z59" i="103"/>
  <c r="X59" i="103"/>
  <c r="V59" i="103"/>
  <c r="L59" i="103"/>
  <c r="N59" i="103" s="1"/>
  <c r="B59" i="103"/>
  <c r="T58" i="103"/>
  <c r="P58" i="103"/>
  <c r="X58" i="103" s="1"/>
  <c r="Z58" i="103" s="1"/>
  <c r="N58" i="103"/>
  <c r="H58" i="103"/>
  <c r="F58" i="103"/>
  <c r="D58" i="103"/>
  <c r="L58" i="103" s="1"/>
  <c r="B58" i="103"/>
  <c r="X57" i="103"/>
  <c r="Z57" i="103" s="1"/>
  <c r="N57" i="103"/>
  <c r="L57" i="103"/>
  <c r="B57" i="103"/>
  <c r="V56" i="103"/>
  <c r="T56" i="103"/>
  <c r="P56" i="103"/>
  <c r="X56" i="103" s="1"/>
  <c r="Z56" i="103" s="1"/>
  <c r="L56" i="103"/>
  <c r="H56" i="103"/>
  <c r="D56" i="103"/>
  <c r="B56" i="103"/>
  <c r="Z55" i="103"/>
  <c r="X55" i="103"/>
  <c r="V55" i="103"/>
  <c r="N55" i="103"/>
  <c r="L55" i="103"/>
  <c r="B55" i="103"/>
  <c r="T54" i="103"/>
  <c r="P54" i="103"/>
  <c r="X54" i="103" s="1"/>
  <c r="H54" i="103"/>
  <c r="D54" i="103"/>
  <c r="B54" i="103"/>
  <c r="X53" i="103"/>
  <c r="Z53" i="103" s="1"/>
  <c r="R53" i="103"/>
  <c r="L53" i="103"/>
  <c r="N53" i="103" s="1"/>
  <c r="B53" i="103"/>
  <c r="Z52" i="103"/>
  <c r="X52" i="103"/>
  <c r="L52" i="103"/>
  <c r="N52" i="103" s="1"/>
  <c r="F52" i="103"/>
  <c r="B52" i="103"/>
  <c r="Z51" i="103"/>
  <c r="X51" i="103"/>
  <c r="N51" i="103"/>
  <c r="L51" i="103"/>
  <c r="B51" i="103"/>
  <c r="T50" i="103"/>
  <c r="P50" i="103"/>
  <c r="H50" i="103"/>
  <c r="N50" i="103" s="1"/>
  <c r="D50" i="103"/>
  <c r="L50" i="103" s="1"/>
  <c r="B50" i="103"/>
  <c r="Z49" i="103"/>
  <c r="X49" i="103"/>
  <c r="V49" i="103"/>
  <c r="N49" i="103"/>
  <c r="L49" i="103"/>
  <c r="B49" i="103"/>
  <c r="T48" i="103"/>
  <c r="Z48" i="103" s="1"/>
  <c r="P48" i="103"/>
  <c r="L48" i="103"/>
  <c r="H48" i="103"/>
  <c r="N48" i="103" s="1"/>
  <c r="F48" i="103"/>
  <c r="D48" i="103"/>
  <c r="B48" i="103"/>
  <c r="X47" i="103"/>
  <c r="Z47" i="103" s="1"/>
  <c r="N47" i="103"/>
  <c r="L47" i="103"/>
  <c r="F47" i="103"/>
  <c r="B47" i="103"/>
  <c r="Z46" i="103"/>
  <c r="T46" i="103"/>
  <c r="X46" i="103" s="1"/>
  <c r="P46" i="103"/>
  <c r="H46" i="103"/>
  <c r="L46" i="103" s="1"/>
  <c r="N46" i="103" s="1"/>
  <c r="D46" i="103"/>
  <c r="B46" i="103"/>
  <c r="Z45" i="103"/>
  <c r="X45" i="103"/>
  <c r="N45" i="103"/>
  <c r="L45" i="103"/>
  <c r="B45" i="103"/>
  <c r="T44" i="103"/>
  <c r="P44" i="103"/>
  <c r="X44" i="103" s="1"/>
  <c r="H44" i="103"/>
  <c r="D44" i="103"/>
  <c r="B44" i="103"/>
  <c r="X43" i="103"/>
  <c r="Z43" i="103" s="1"/>
  <c r="R43" i="103"/>
  <c r="L43" i="103"/>
  <c r="N43" i="103" s="1"/>
  <c r="B43" i="103"/>
  <c r="T42" i="103"/>
  <c r="P42" i="103"/>
  <c r="H42" i="103"/>
  <c r="D42" i="103"/>
  <c r="B42" i="103"/>
  <c r="Z41" i="103"/>
  <c r="X41" i="103"/>
  <c r="L41" i="103"/>
  <c r="N41" i="103" s="1"/>
  <c r="B41" i="103"/>
  <c r="T40" i="103"/>
  <c r="P40" i="103"/>
  <c r="H40" i="103"/>
  <c r="L40" i="103" s="1"/>
  <c r="N40" i="103" s="1"/>
  <c r="F40" i="103"/>
  <c r="D40" i="103"/>
  <c r="B40" i="103"/>
  <c r="Z39" i="103"/>
  <c r="X39" i="103"/>
  <c r="N39" i="103"/>
  <c r="L39" i="103"/>
  <c r="B39" i="103"/>
  <c r="Z38" i="103"/>
  <c r="X38" i="103"/>
  <c r="V38" i="103"/>
  <c r="N38" i="103"/>
  <c r="L38" i="103"/>
  <c r="B38" i="103"/>
  <c r="Z37" i="103"/>
  <c r="X37" i="103"/>
  <c r="R37" i="103"/>
  <c r="N37" i="103"/>
  <c r="L37" i="103"/>
  <c r="B37" i="103"/>
  <c r="Z36" i="103"/>
  <c r="X36" i="103"/>
  <c r="R36" i="103"/>
  <c r="N36" i="103"/>
  <c r="L36" i="103"/>
  <c r="F36" i="103"/>
  <c r="B36" i="103"/>
  <c r="Z35" i="103"/>
  <c r="X35" i="103"/>
  <c r="N35" i="103"/>
  <c r="L35" i="103"/>
  <c r="B35" i="103"/>
  <c r="Z34" i="103"/>
  <c r="X34" i="103"/>
  <c r="R34" i="103"/>
  <c r="N34" i="103"/>
  <c r="L34" i="103"/>
  <c r="F34" i="103"/>
  <c r="B34" i="103"/>
  <c r="Z33" i="103"/>
  <c r="X33" i="103"/>
  <c r="N33" i="103"/>
  <c r="L33" i="103"/>
  <c r="B33" i="103"/>
  <c r="Z32" i="103"/>
  <c r="X32" i="103"/>
  <c r="N32" i="103"/>
  <c r="L32" i="103"/>
  <c r="F32" i="103"/>
  <c r="B32" i="103"/>
  <c r="Z31" i="103"/>
  <c r="X31" i="103"/>
  <c r="L31" i="103"/>
  <c r="N31" i="103" s="1"/>
  <c r="F31" i="103"/>
  <c r="B31" i="103"/>
  <c r="Z30" i="103"/>
  <c r="X30" i="103"/>
  <c r="V30" i="103"/>
  <c r="N30" i="103"/>
  <c r="L30" i="103"/>
  <c r="B30" i="103"/>
  <c r="T29" i="103"/>
  <c r="Z29" i="103" s="1"/>
  <c r="P29" i="103"/>
  <c r="X29" i="103" s="1"/>
  <c r="L29" i="103"/>
  <c r="N29" i="103" s="1"/>
  <c r="H29" i="103"/>
  <c r="D29" i="103"/>
  <c r="B29" i="103"/>
  <c r="Z28" i="103"/>
  <c r="X28" i="103"/>
  <c r="N28" i="103"/>
  <c r="L28" i="103"/>
  <c r="B28" i="103"/>
  <c r="X27" i="103"/>
  <c r="Z27" i="103" s="1"/>
  <c r="R27" i="103"/>
  <c r="L27" i="103"/>
  <c r="N27" i="103" s="1"/>
  <c r="F27" i="103"/>
  <c r="B27" i="103"/>
  <c r="Z26" i="103"/>
  <c r="X26" i="103"/>
  <c r="N26" i="103"/>
  <c r="L26" i="103"/>
  <c r="B26" i="103"/>
  <c r="Z25" i="103"/>
  <c r="X25" i="103"/>
  <c r="R25" i="103"/>
  <c r="N25" i="103"/>
  <c r="L25" i="103"/>
  <c r="F25" i="103"/>
  <c r="B25" i="103"/>
  <c r="Z24" i="103"/>
  <c r="X24" i="103"/>
  <c r="N24" i="103"/>
  <c r="L24" i="103"/>
  <c r="B24" i="103"/>
  <c r="X23" i="103"/>
  <c r="Z23" i="103" s="1"/>
  <c r="R23" i="103"/>
  <c r="L23" i="103"/>
  <c r="N23" i="103" s="1"/>
  <c r="F23" i="103"/>
  <c r="B23" i="103"/>
  <c r="Z22" i="103"/>
  <c r="X22" i="103"/>
  <c r="N22" i="103"/>
  <c r="L22" i="103"/>
  <c r="B22" i="103"/>
  <c r="X21" i="103"/>
  <c r="Z21" i="103" s="1"/>
  <c r="R21" i="103"/>
  <c r="L21" i="103"/>
  <c r="N21" i="103" s="1"/>
  <c r="F21" i="103"/>
  <c r="B21" i="103"/>
  <c r="Z20" i="103"/>
  <c r="X20" i="103"/>
  <c r="N20" i="103"/>
  <c r="L20" i="103"/>
  <c r="B20" i="103"/>
  <c r="T19" i="103"/>
  <c r="P19" i="103"/>
  <c r="H19" i="103"/>
  <c r="D19" i="103"/>
  <c r="B19" i="103"/>
  <c r="T18" i="103"/>
  <c r="R18" i="103"/>
  <c r="P18" i="103"/>
  <c r="X18" i="103" s="1"/>
  <c r="Z18" i="103" s="1"/>
  <c r="N18" i="103"/>
  <c r="H18" i="103"/>
  <c r="D18" i="103"/>
  <c r="L18" i="103" s="1"/>
  <c r="R16" i="103"/>
  <c r="Z14" i="103"/>
  <c r="T14" i="103"/>
  <c r="R14" i="103"/>
  <c r="P14" i="103"/>
  <c r="X14" i="103" s="1"/>
  <c r="N14" i="103"/>
  <c r="H14" i="103"/>
  <c r="F14" i="103"/>
  <c r="D14" i="103"/>
  <c r="D16" i="103" s="1"/>
  <c r="T12" i="103"/>
  <c r="V40" i="103" s="1"/>
  <c r="P12" i="103"/>
  <c r="R33" i="103" s="1"/>
  <c r="H12" i="103"/>
  <c r="D12" i="103"/>
  <c r="D6" i="103"/>
  <c r="D4" i="103"/>
  <c r="X92" i="102"/>
  <c r="Z92" i="102" s="1"/>
  <c r="N92" i="102"/>
  <c r="L92" i="102"/>
  <c r="Z88" i="102"/>
  <c r="P88" i="102"/>
  <c r="X88" i="102" s="1"/>
  <c r="N88" i="102"/>
  <c r="L88" i="102"/>
  <c r="D88" i="102"/>
  <c r="B88" i="102"/>
  <c r="T87" i="102"/>
  <c r="P87" i="102"/>
  <c r="H87" i="102"/>
  <c r="N87" i="102" s="1"/>
  <c r="D87" i="102"/>
  <c r="X85" i="102"/>
  <c r="Z85" i="102" s="1"/>
  <c r="N85" i="102"/>
  <c r="L85" i="102"/>
  <c r="B85" i="102"/>
  <c r="T84" i="102"/>
  <c r="X84" i="102" s="1"/>
  <c r="Z84" i="102" s="1"/>
  <c r="P84" i="102"/>
  <c r="N84" i="102"/>
  <c r="H84" i="102"/>
  <c r="L84" i="102" s="1"/>
  <c r="D84" i="102"/>
  <c r="B84" i="102"/>
  <c r="X83" i="102"/>
  <c r="Z83" i="102" s="1"/>
  <c r="N83" i="102"/>
  <c r="L83" i="102"/>
  <c r="B83" i="102"/>
  <c r="T82" i="102"/>
  <c r="P82" i="102"/>
  <c r="X82" i="102" s="1"/>
  <c r="Z82" i="102" s="1"/>
  <c r="N82" i="102"/>
  <c r="J82" i="102"/>
  <c r="H82" i="102"/>
  <c r="D82" i="102"/>
  <c r="L82" i="102" s="1"/>
  <c r="B82" i="102"/>
  <c r="X81" i="102"/>
  <c r="Z81" i="102" s="1"/>
  <c r="L81" i="102"/>
  <c r="N81" i="102" s="1"/>
  <c r="B81" i="102"/>
  <c r="X80" i="102"/>
  <c r="Z80" i="102" s="1"/>
  <c r="N80" i="102"/>
  <c r="L80" i="102"/>
  <c r="B80" i="102"/>
  <c r="X79" i="102"/>
  <c r="T79" i="102"/>
  <c r="P79" i="102"/>
  <c r="H79" i="102"/>
  <c r="D79" i="102"/>
  <c r="L79" i="102" s="1"/>
  <c r="B79" i="102"/>
  <c r="Z78" i="102"/>
  <c r="X78" i="102"/>
  <c r="N78" i="102"/>
  <c r="L78" i="102"/>
  <c r="B78" i="102"/>
  <c r="X77" i="102"/>
  <c r="Z77" i="102" s="1"/>
  <c r="N77" i="102"/>
  <c r="L77" i="102"/>
  <c r="B77" i="102"/>
  <c r="Z76" i="102"/>
  <c r="X76" i="102"/>
  <c r="N76" i="102"/>
  <c r="L76" i="102"/>
  <c r="J76" i="102"/>
  <c r="B76" i="102"/>
  <c r="Z75" i="102"/>
  <c r="X75" i="102"/>
  <c r="N75" i="102"/>
  <c r="L75" i="102"/>
  <c r="B75" i="102"/>
  <c r="Z74" i="102"/>
  <c r="X74" i="102"/>
  <c r="N74" i="102"/>
  <c r="L74" i="102"/>
  <c r="B74" i="102"/>
  <c r="Z73" i="102"/>
  <c r="X73" i="102"/>
  <c r="N73" i="102"/>
  <c r="L73" i="102"/>
  <c r="B73" i="102"/>
  <c r="T72" i="102"/>
  <c r="X72" i="102" s="1"/>
  <c r="Z72" i="102" s="1"/>
  <c r="P72" i="102"/>
  <c r="N72" i="102"/>
  <c r="H72" i="102"/>
  <c r="L72" i="102" s="1"/>
  <c r="D72" i="102"/>
  <c r="B72" i="102"/>
  <c r="X71" i="102"/>
  <c r="Z71" i="102" s="1"/>
  <c r="L71" i="102"/>
  <c r="N71" i="102" s="1"/>
  <c r="B71" i="102"/>
  <c r="Z70" i="102"/>
  <c r="X70" i="102"/>
  <c r="N70" i="102"/>
  <c r="L70" i="102"/>
  <c r="J70" i="102"/>
  <c r="B70" i="102"/>
  <c r="T69" i="102"/>
  <c r="P69" i="102"/>
  <c r="X69" i="102" s="1"/>
  <c r="H69" i="102"/>
  <c r="D69" i="102"/>
  <c r="L69" i="102" s="1"/>
  <c r="B69" i="102"/>
  <c r="Z68" i="102"/>
  <c r="X68" i="102"/>
  <c r="N68" i="102"/>
  <c r="L68" i="102"/>
  <c r="B68" i="102"/>
  <c r="X67" i="102"/>
  <c r="Z67" i="102" s="1"/>
  <c r="L67" i="102"/>
  <c r="N67" i="102" s="1"/>
  <c r="B67" i="102"/>
  <c r="Z66" i="102"/>
  <c r="X66" i="102"/>
  <c r="T66" i="102"/>
  <c r="P66" i="102"/>
  <c r="H66" i="102"/>
  <c r="N66" i="102" s="1"/>
  <c r="D66" i="102"/>
  <c r="L66" i="102" s="1"/>
  <c r="B66" i="102"/>
  <c r="X65" i="102"/>
  <c r="Z65" i="102" s="1"/>
  <c r="N65" i="102"/>
  <c r="L65" i="102"/>
  <c r="B65" i="102"/>
  <c r="Z64" i="102"/>
  <c r="X64" i="102"/>
  <c r="N64" i="102"/>
  <c r="L64" i="102"/>
  <c r="J64" i="102"/>
  <c r="B64" i="102"/>
  <c r="Z63" i="102"/>
  <c r="X63" i="102"/>
  <c r="N63" i="102"/>
  <c r="L63" i="102"/>
  <c r="B63" i="102"/>
  <c r="T62" i="102"/>
  <c r="X62" i="102" s="1"/>
  <c r="Z62" i="102" s="1"/>
  <c r="P62" i="102"/>
  <c r="N62" i="102"/>
  <c r="L62" i="102"/>
  <c r="H62" i="102"/>
  <c r="D62" i="102"/>
  <c r="B62" i="102"/>
  <c r="Z61" i="102"/>
  <c r="X61" i="102"/>
  <c r="L61" i="102"/>
  <c r="N61" i="102" s="1"/>
  <c r="B61" i="102"/>
  <c r="T60" i="102"/>
  <c r="P60" i="102"/>
  <c r="X60" i="102" s="1"/>
  <c r="Z60" i="102" s="1"/>
  <c r="H60" i="102"/>
  <c r="D60" i="102"/>
  <c r="L60" i="102" s="1"/>
  <c r="N60" i="102" s="1"/>
  <c r="B60" i="102"/>
  <c r="Z59" i="102"/>
  <c r="X59" i="102"/>
  <c r="N59" i="102"/>
  <c r="L59" i="102"/>
  <c r="B59" i="102"/>
  <c r="Z58" i="102"/>
  <c r="X58" i="102"/>
  <c r="T58" i="102"/>
  <c r="P58" i="102"/>
  <c r="H58" i="102"/>
  <c r="N58" i="102" s="1"/>
  <c r="D58" i="102"/>
  <c r="L58" i="102" s="1"/>
  <c r="B58" i="102"/>
  <c r="Z57" i="102"/>
  <c r="X57" i="102"/>
  <c r="N57" i="102"/>
  <c r="L57" i="102"/>
  <c r="B57" i="102"/>
  <c r="Z56" i="102"/>
  <c r="X56" i="102"/>
  <c r="T56" i="102"/>
  <c r="P56" i="102"/>
  <c r="N56" i="102"/>
  <c r="H56" i="102"/>
  <c r="L56" i="102" s="1"/>
  <c r="D56" i="102"/>
  <c r="B56" i="102"/>
  <c r="X55" i="102"/>
  <c r="Z55" i="102" s="1"/>
  <c r="L55" i="102"/>
  <c r="N55" i="102" s="1"/>
  <c r="B55" i="102"/>
  <c r="Z54" i="102"/>
  <c r="X54" i="102"/>
  <c r="N54" i="102"/>
  <c r="L54" i="102"/>
  <c r="J54" i="102"/>
  <c r="B54" i="102"/>
  <c r="T53" i="102"/>
  <c r="P53" i="102"/>
  <c r="X53" i="102" s="1"/>
  <c r="H53" i="102"/>
  <c r="D53" i="102"/>
  <c r="B53" i="102"/>
  <c r="X52" i="102"/>
  <c r="Z52" i="102" s="1"/>
  <c r="N52" i="102"/>
  <c r="L52" i="102"/>
  <c r="B52" i="102"/>
  <c r="X51" i="102"/>
  <c r="T51" i="102"/>
  <c r="Z51" i="102" s="1"/>
  <c r="P51" i="102"/>
  <c r="H51" i="102"/>
  <c r="D51" i="102"/>
  <c r="L51" i="102" s="1"/>
  <c r="B51" i="102"/>
  <c r="Z50" i="102"/>
  <c r="X50" i="102"/>
  <c r="N50" i="102"/>
  <c r="L50" i="102"/>
  <c r="J50" i="102"/>
  <c r="B50" i="102"/>
  <c r="T49" i="102"/>
  <c r="P49" i="102"/>
  <c r="H49" i="102"/>
  <c r="D49" i="102"/>
  <c r="B49" i="102"/>
  <c r="Z48" i="102"/>
  <c r="X48" i="102"/>
  <c r="V48" i="102"/>
  <c r="L48" i="102"/>
  <c r="N48" i="102" s="1"/>
  <c r="B48" i="102"/>
  <c r="T47" i="102"/>
  <c r="P47" i="102"/>
  <c r="X47" i="102" s="1"/>
  <c r="H47" i="102"/>
  <c r="N47" i="102" s="1"/>
  <c r="D47" i="102"/>
  <c r="L47" i="102" s="1"/>
  <c r="B47" i="102"/>
  <c r="Z46" i="102"/>
  <c r="X46" i="102"/>
  <c r="N46" i="102"/>
  <c r="L46" i="102"/>
  <c r="B46" i="102"/>
  <c r="Z45" i="102"/>
  <c r="X45" i="102"/>
  <c r="N45" i="102"/>
  <c r="L45" i="102"/>
  <c r="B45" i="102"/>
  <c r="X44" i="102"/>
  <c r="Z44" i="102" s="1"/>
  <c r="N44" i="102"/>
  <c r="L44" i="102"/>
  <c r="B44" i="102"/>
  <c r="X43" i="102"/>
  <c r="Z43" i="102" s="1"/>
  <c r="L43" i="102"/>
  <c r="N43" i="102" s="1"/>
  <c r="B43" i="102"/>
  <c r="Z42" i="102"/>
  <c r="X42" i="102"/>
  <c r="N42" i="102"/>
  <c r="L42" i="102"/>
  <c r="B42" i="102"/>
  <c r="Z41" i="102"/>
  <c r="X41" i="102"/>
  <c r="N41" i="102"/>
  <c r="L41" i="102"/>
  <c r="B41" i="102"/>
  <c r="X40" i="102"/>
  <c r="Z40" i="102" s="1"/>
  <c r="N40" i="102"/>
  <c r="L40" i="102"/>
  <c r="B40" i="102"/>
  <c r="Z39" i="102"/>
  <c r="X39" i="102"/>
  <c r="N39" i="102"/>
  <c r="L39" i="102"/>
  <c r="B39" i="102"/>
  <c r="Z38" i="102"/>
  <c r="X38" i="102"/>
  <c r="N38" i="102"/>
  <c r="L38" i="102"/>
  <c r="B38" i="102"/>
  <c r="Z37" i="102"/>
  <c r="X37" i="102"/>
  <c r="N37" i="102"/>
  <c r="L37" i="102"/>
  <c r="B37" i="102"/>
  <c r="T36" i="102"/>
  <c r="P36" i="102"/>
  <c r="X36" i="102" s="1"/>
  <c r="J36" i="102"/>
  <c r="H36" i="102"/>
  <c r="D36" i="102"/>
  <c r="L36" i="102" s="1"/>
  <c r="N36" i="102" s="1"/>
  <c r="B36" i="102"/>
  <c r="X35" i="102"/>
  <c r="Z35" i="102" s="1"/>
  <c r="N35" i="102"/>
  <c r="L35" i="102"/>
  <c r="B35" i="102"/>
  <c r="Z34" i="102"/>
  <c r="X34" i="102"/>
  <c r="N34" i="102"/>
  <c r="L34" i="102"/>
  <c r="J34" i="102"/>
  <c r="B34" i="102"/>
  <c r="X33" i="102"/>
  <c r="Z33" i="102" s="1"/>
  <c r="N33" i="102"/>
  <c r="L33" i="102"/>
  <c r="B33" i="102"/>
  <c r="Z32" i="102"/>
  <c r="X32" i="102"/>
  <c r="N32" i="102"/>
  <c r="L32" i="102"/>
  <c r="J32" i="102"/>
  <c r="B32" i="102"/>
  <c r="X31" i="102"/>
  <c r="Z31" i="102" s="1"/>
  <c r="N31" i="102"/>
  <c r="L31" i="102"/>
  <c r="B31" i="102"/>
  <c r="Z30" i="102"/>
  <c r="X30" i="102"/>
  <c r="N30" i="102"/>
  <c r="L30" i="102"/>
  <c r="J30" i="102"/>
  <c r="B30" i="102"/>
  <c r="X29" i="102"/>
  <c r="Z29" i="102" s="1"/>
  <c r="N29" i="102"/>
  <c r="L29" i="102"/>
  <c r="B29" i="102"/>
  <c r="Z28" i="102"/>
  <c r="X28" i="102"/>
  <c r="N28" i="102"/>
  <c r="L28" i="102"/>
  <c r="J28" i="102"/>
  <c r="B28" i="102"/>
  <c r="X27" i="102"/>
  <c r="Z27" i="102" s="1"/>
  <c r="L27" i="102"/>
  <c r="N27" i="102" s="1"/>
  <c r="B27" i="102"/>
  <c r="Z26" i="102"/>
  <c r="X26" i="102"/>
  <c r="T26" i="102"/>
  <c r="P26" i="102"/>
  <c r="N26" i="102"/>
  <c r="L26" i="102"/>
  <c r="J26" i="102"/>
  <c r="H26" i="102"/>
  <c r="D26" i="102"/>
  <c r="B26" i="102"/>
  <c r="T25" i="102"/>
  <c r="P25" i="102"/>
  <c r="X25" i="102" s="1"/>
  <c r="H25" i="102"/>
  <c r="D25" i="102"/>
  <c r="L25" i="102" s="1"/>
  <c r="H23" i="102"/>
  <c r="Z21" i="102"/>
  <c r="X21" i="102"/>
  <c r="N21" i="102"/>
  <c r="L21" i="102"/>
  <c r="J21" i="102"/>
  <c r="B21" i="102"/>
  <c r="Z20" i="102"/>
  <c r="X20" i="102"/>
  <c r="N20" i="102"/>
  <c r="L20" i="102"/>
  <c r="J20" i="102"/>
  <c r="B20" i="102"/>
  <c r="X19" i="102"/>
  <c r="Z19" i="102" s="1"/>
  <c r="L19" i="102"/>
  <c r="N19" i="102" s="1"/>
  <c r="B19" i="102"/>
  <c r="T18" i="102"/>
  <c r="P18" i="102"/>
  <c r="X18" i="102" s="1"/>
  <c r="Z18" i="102" s="1"/>
  <c r="J18" i="102"/>
  <c r="H18" i="102"/>
  <c r="D18" i="102"/>
  <c r="L18" i="102" s="1"/>
  <c r="N18" i="102" s="1"/>
  <c r="Z16" i="102"/>
  <c r="P16" i="102"/>
  <c r="X16" i="102" s="1"/>
  <c r="N16" i="102"/>
  <c r="L16" i="102"/>
  <c r="D16" i="102"/>
  <c r="B16" i="102"/>
  <c r="Z15" i="102"/>
  <c r="X15" i="102"/>
  <c r="P15" i="102"/>
  <c r="N15" i="102"/>
  <c r="D15" i="102"/>
  <c r="L15" i="102" s="1"/>
  <c r="B15" i="102"/>
  <c r="Z14" i="102"/>
  <c r="P14" i="102"/>
  <c r="X14" i="102" s="1"/>
  <c r="N14" i="102"/>
  <c r="L14" i="102"/>
  <c r="D14" i="102"/>
  <c r="B14" i="102"/>
  <c r="P13" i="102"/>
  <c r="X13" i="102" s="1"/>
  <c r="Z13" i="102" s="1"/>
  <c r="D13" i="102"/>
  <c r="B13" i="102"/>
  <c r="T12" i="102"/>
  <c r="V38" i="102" s="1"/>
  <c r="H12" i="102"/>
  <c r="J83" i="102" s="1"/>
  <c r="D6" i="102"/>
  <c r="D4" i="102"/>
  <c r="F82" i="101"/>
  <c r="X77" i="101"/>
  <c r="Z77" i="101" s="1"/>
  <c r="V77" i="101"/>
  <c r="N77" i="101"/>
  <c r="L77" i="101"/>
  <c r="Z73" i="101"/>
  <c r="P73" i="101"/>
  <c r="X73" i="101" s="1"/>
  <c r="N73" i="101"/>
  <c r="L73" i="101"/>
  <c r="J73" i="101"/>
  <c r="D73" i="101"/>
  <c r="D72" i="101" s="1"/>
  <c r="L72" i="101" s="1"/>
  <c r="B73" i="101"/>
  <c r="X72" i="101"/>
  <c r="T72" i="101"/>
  <c r="Z72" i="101" s="1"/>
  <c r="P72" i="101"/>
  <c r="J72" i="101"/>
  <c r="H72" i="101"/>
  <c r="N72" i="101" s="1"/>
  <c r="Z70" i="101"/>
  <c r="X70" i="101"/>
  <c r="N70" i="101"/>
  <c r="L70" i="101"/>
  <c r="F70" i="101"/>
  <c r="B70" i="101"/>
  <c r="X69" i="101"/>
  <c r="Z69" i="101" s="1"/>
  <c r="N69" i="101"/>
  <c r="L69" i="101"/>
  <c r="J69" i="101"/>
  <c r="B69" i="101"/>
  <c r="X68" i="101"/>
  <c r="T68" i="101"/>
  <c r="P68" i="101"/>
  <c r="L68" i="101"/>
  <c r="H68" i="101"/>
  <c r="N68" i="101" s="1"/>
  <c r="D68" i="101"/>
  <c r="B68" i="101"/>
  <c r="Z67" i="101"/>
  <c r="X67" i="101"/>
  <c r="N67" i="101"/>
  <c r="L67" i="101"/>
  <c r="J67" i="101"/>
  <c r="B67" i="101"/>
  <c r="Z66" i="101"/>
  <c r="X66" i="101"/>
  <c r="N66" i="101"/>
  <c r="L66" i="101"/>
  <c r="J66" i="101"/>
  <c r="B66" i="101"/>
  <c r="Z65" i="101"/>
  <c r="X65" i="101"/>
  <c r="N65" i="101"/>
  <c r="L65" i="101"/>
  <c r="J65" i="101"/>
  <c r="B65" i="101"/>
  <c r="Z64" i="101"/>
  <c r="X64" i="101"/>
  <c r="N64" i="101"/>
  <c r="L64" i="101"/>
  <c r="B64" i="101"/>
  <c r="X63" i="101"/>
  <c r="Z63" i="101" s="1"/>
  <c r="T63" i="101"/>
  <c r="P63" i="101"/>
  <c r="N63" i="101"/>
  <c r="J63" i="101"/>
  <c r="H63" i="101"/>
  <c r="D63" i="101"/>
  <c r="L63" i="101" s="1"/>
  <c r="B63" i="101"/>
  <c r="Z62" i="101"/>
  <c r="X62" i="101"/>
  <c r="N62" i="101"/>
  <c r="L62" i="101"/>
  <c r="B62" i="101"/>
  <c r="T61" i="101"/>
  <c r="P61" i="101"/>
  <c r="N61" i="101"/>
  <c r="J61" i="101"/>
  <c r="H61" i="101"/>
  <c r="D61" i="101"/>
  <c r="L61" i="101" s="1"/>
  <c r="B61" i="101"/>
  <c r="Z60" i="101"/>
  <c r="X60" i="101"/>
  <c r="N60" i="101"/>
  <c r="L60" i="101"/>
  <c r="B60" i="101"/>
  <c r="Z59" i="101"/>
  <c r="X59" i="101"/>
  <c r="N59" i="101"/>
  <c r="L59" i="101"/>
  <c r="J59" i="101"/>
  <c r="B59" i="101"/>
  <c r="X58" i="101"/>
  <c r="T58" i="101"/>
  <c r="Z58" i="101" s="1"/>
  <c r="P58" i="101"/>
  <c r="L58" i="101"/>
  <c r="J58" i="101"/>
  <c r="H58" i="101"/>
  <c r="N58" i="101" s="1"/>
  <c r="D58" i="101"/>
  <c r="B58" i="101"/>
  <c r="Z57" i="101"/>
  <c r="X57" i="101"/>
  <c r="N57" i="101"/>
  <c r="L57" i="101"/>
  <c r="J57" i="101"/>
  <c r="B57" i="101"/>
  <c r="Z56" i="101"/>
  <c r="X56" i="101"/>
  <c r="N56" i="101"/>
  <c r="L56" i="101"/>
  <c r="J56" i="101"/>
  <c r="B56" i="101"/>
  <c r="X55" i="101"/>
  <c r="Z55" i="101" s="1"/>
  <c r="T55" i="101"/>
  <c r="P55" i="101"/>
  <c r="N55" i="101"/>
  <c r="J55" i="101"/>
  <c r="H55" i="101"/>
  <c r="D55" i="101"/>
  <c r="L55" i="101" s="1"/>
  <c r="B55" i="101"/>
  <c r="Z54" i="101"/>
  <c r="X54" i="101"/>
  <c r="N54" i="101"/>
  <c r="L54" i="101"/>
  <c r="B54" i="101"/>
  <c r="T53" i="101"/>
  <c r="Z53" i="101" s="1"/>
  <c r="P53" i="101"/>
  <c r="N53" i="101"/>
  <c r="J53" i="101"/>
  <c r="H53" i="101"/>
  <c r="D53" i="101"/>
  <c r="L53" i="101" s="1"/>
  <c r="B53" i="101"/>
  <c r="X52" i="101"/>
  <c r="Z52" i="101" s="1"/>
  <c r="N52" i="101"/>
  <c r="L52" i="101"/>
  <c r="B52" i="101"/>
  <c r="T51" i="101"/>
  <c r="P51" i="101"/>
  <c r="X51" i="101" s="1"/>
  <c r="Z51" i="101" s="1"/>
  <c r="N51" i="101"/>
  <c r="L51" i="101"/>
  <c r="H51" i="101"/>
  <c r="D51" i="101"/>
  <c r="B51" i="101"/>
  <c r="Z50" i="101"/>
  <c r="X50" i="101"/>
  <c r="N50" i="101"/>
  <c r="L50" i="101"/>
  <c r="J50" i="101"/>
  <c r="B50" i="101"/>
  <c r="T49" i="101"/>
  <c r="P49" i="101"/>
  <c r="X49" i="101" s="1"/>
  <c r="Z49" i="101" s="1"/>
  <c r="N49" i="101"/>
  <c r="L49" i="101"/>
  <c r="J49" i="101"/>
  <c r="H49" i="101"/>
  <c r="D49" i="101"/>
  <c r="B49" i="101"/>
  <c r="X48" i="101"/>
  <c r="Z48" i="101" s="1"/>
  <c r="N48" i="101"/>
  <c r="L48" i="101"/>
  <c r="J48" i="101"/>
  <c r="B48" i="101"/>
  <c r="T47" i="101"/>
  <c r="P47" i="101"/>
  <c r="X47" i="101" s="1"/>
  <c r="J47" i="101"/>
  <c r="H47" i="101"/>
  <c r="N47" i="101" s="1"/>
  <c r="D47" i="101"/>
  <c r="L47" i="101" s="1"/>
  <c r="B47" i="101"/>
  <c r="X46" i="101"/>
  <c r="Z46" i="101" s="1"/>
  <c r="N46" i="101"/>
  <c r="L46" i="101"/>
  <c r="B46" i="101"/>
  <c r="X45" i="101"/>
  <c r="Z45" i="101" s="1"/>
  <c r="T45" i="101"/>
  <c r="P45" i="101"/>
  <c r="N45" i="101"/>
  <c r="H45" i="101"/>
  <c r="D45" i="101"/>
  <c r="L45" i="101" s="1"/>
  <c r="B45" i="101"/>
  <c r="Z44" i="101"/>
  <c r="X44" i="101"/>
  <c r="N44" i="101"/>
  <c r="L44" i="101"/>
  <c r="J44" i="101"/>
  <c r="B44" i="101"/>
  <c r="Z43" i="101"/>
  <c r="X43" i="101"/>
  <c r="N43" i="101"/>
  <c r="L43" i="101"/>
  <c r="J43" i="101"/>
  <c r="B43" i="101"/>
  <c r="Z42" i="101"/>
  <c r="X42" i="101"/>
  <c r="N42" i="101"/>
  <c r="L42" i="101"/>
  <c r="J42" i="101"/>
  <c r="B42" i="101"/>
  <c r="Z41" i="101"/>
  <c r="X41" i="101"/>
  <c r="N41" i="101"/>
  <c r="L41" i="101"/>
  <c r="J41" i="101"/>
  <c r="B41" i="101"/>
  <c r="Z40" i="101"/>
  <c r="X40" i="101"/>
  <c r="N40" i="101"/>
  <c r="L40" i="101"/>
  <c r="J40" i="101"/>
  <c r="B40" i="101"/>
  <c r="X39" i="101"/>
  <c r="Z39" i="101" s="1"/>
  <c r="L39" i="101"/>
  <c r="N39" i="101" s="1"/>
  <c r="J39" i="101"/>
  <c r="B39" i="101"/>
  <c r="Z38" i="101"/>
  <c r="X38" i="101"/>
  <c r="N38" i="101"/>
  <c r="L38" i="101"/>
  <c r="J38" i="101"/>
  <c r="B38" i="101"/>
  <c r="Z37" i="101"/>
  <c r="X37" i="101"/>
  <c r="N37" i="101"/>
  <c r="L37" i="101"/>
  <c r="J37" i="101"/>
  <c r="F37" i="101"/>
  <c r="B37" i="101"/>
  <c r="Z36" i="101"/>
  <c r="X36" i="101"/>
  <c r="N36" i="101"/>
  <c r="L36" i="101"/>
  <c r="J36" i="101"/>
  <c r="B36" i="101"/>
  <c r="Z35" i="101"/>
  <c r="X35" i="101"/>
  <c r="N35" i="101"/>
  <c r="L35" i="101"/>
  <c r="J35" i="101"/>
  <c r="B35" i="101"/>
  <c r="T34" i="101"/>
  <c r="P34" i="101"/>
  <c r="H34" i="101"/>
  <c r="D34" i="101"/>
  <c r="B34" i="101"/>
  <c r="Z33" i="101"/>
  <c r="X33" i="101"/>
  <c r="V33" i="101"/>
  <c r="L33" i="101"/>
  <c r="N33" i="101" s="1"/>
  <c r="B33" i="101"/>
  <c r="Z32" i="101"/>
  <c r="X32" i="101"/>
  <c r="N32" i="101"/>
  <c r="L32" i="101"/>
  <c r="J32" i="101"/>
  <c r="B32" i="101"/>
  <c r="Z31" i="101"/>
  <c r="X31" i="101"/>
  <c r="V31" i="101"/>
  <c r="N31" i="101"/>
  <c r="L31" i="101"/>
  <c r="J31" i="101"/>
  <c r="B31" i="101"/>
  <c r="Z30" i="101"/>
  <c r="X30" i="101"/>
  <c r="N30" i="101"/>
  <c r="L30" i="101"/>
  <c r="B30" i="101"/>
  <c r="Z29" i="101"/>
  <c r="X29" i="101"/>
  <c r="V29" i="101"/>
  <c r="L29" i="101"/>
  <c r="N29" i="101" s="1"/>
  <c r="B29" i="101"/>
  <c r="Z28" i="101"/>
  <c r="X28" i="101"/>
  <c r="N28" i="101"/>
  <c r="L28" i="101"/>
  <c r="J28" i="101"/>
  <c r="B28" i="101"/>
  <c r="Z27" i="101"/>
  <c r="X27" i="101"/>
  <c r="V27" i="101"/>
  <c r="N27" i="101"/>
  <c r="L27" i="101"/>
  <c r="J27" i="101"/>
  <c r="B27" i="101"/>
  <c r="Z26" i="101"/>
  <c r="X26" i="101"/>
  <c r="N26" i="101"/>
  <c r="L26" i="101"/>
  <c r="B26" i="101"/>
  <c r="T25" i="101"/>
  <c r="P25" i="101"/>
  <c r="J25" i="101"/>
  <c r="H25" i="101"/>
  <c r="D25" i="101"/>
  <c r="L25" i="101" s="1"/>
  <c r="B25" i="101"/>
  <c r="X24" i="101"/>
  <c r="T24" i="101"/>
  <c r="Z24" i="101" s="1"/>
  <c r="P24" i="101"/>
  <c r="L24" i="101"/>
  <c r="H24" i="101"/>
  <c r="N24" i="101" s="1"/>
  <c r="D24" i="101"/>
  <c r="H22" i="101"/>
  <c r="Z20" i="101"/>
  <c r="X20" i="101"/>
  <c r="N20" i="101"/>
  <c r="L20" i="101"/>
  <c r="F20" i="101"/>
  <c r="B20" i="101"/>
  <c r="Z19" i="101"/>
  <c r="X19" i="101"/>
  <c r="N19" i="101"/>
  <c r="L19" i="101"/>
  <c r="J19" i="101"/>
  <c r="F19" i="101"/>
  <c r="B19" i="101"/>
  <c r="X18" i="101"/>
  <c r="Z18" i="101" s="1"/>
  <c r="N18" i="101"/>
  <c r="L18" i="101"/>
  <c r="B18" i="101"/>
  <c r="X17" i="101"/>
  <c r="Z17" i="101" s="1"/>
  <c r="T17" i="101"/>
  <c r="P17" i="101"/>
  <c r="N17" i="101"/>
  <c r="J17" i="101"/>
  <c r="H17" i="101"/>
  <c r="D17" i="101"/>
  <c r="L17" i="101" s="1"/>
  <c r="X15" i="101"/>
  <c r="Z15" i="101" s="1"/>
  <c r="P15" i="101"/>
  <c r="N15" i="101"/>
  <c r="L15" i="101"/>
  <c r="D15" i="101"/>
  <c r="B15" i="101"/>
  <c r="Z14" i="101"/>
  <c r="X14" i="101"/>
  <c r="P14" i="101"/>
  <c r="N14" i="101"/>
  <c r="L14" i="101"/>
  <c r="D14" i="101"/>
  <c r="B14" i="101"/>
  <c r="P13" i="101"/>
  <c r="N13" i="101"/>
  <c r="L13" i="101"/>
  <c r="D13" i="101"/>
  <c r="B13" i="101"/>
  <c r="T12" i="101"/>
  <c r="V68" i="101" s="1"/>
  <c r="N12" i="101"/>
  <c r="H12" i="101"/>
  <c r="J68" i="101" s="1"/>
  <c r="D12" i="101"/>
  <c r="F41" i="101" s="1"/>
  <c r="D6" i="101"/>
  <c r="D4" i="101"/>
  <c r="R60" i="100"/>
  <c r="Z55" i="100"/>
  <c r="X55" i="100"/>
  <c r="N55" i="100"/>
  <c r="L55" i="100"/>
  <c r="J55" i="100"/>
  <c r="J53" i="100"/>
  <c r="F53" i="100"/>
  <c r="X51" i="100"/>
  <c r="Z51" i="100" s="1"/>
  <c r="P51" i="100"/>
  <c r="J51" i="100"/>
  <c r="F51" i="100"/>
  <c r="D51" i="100"/>
  <c r="L51" i="100" s="1"/>
  <c r="N51" i="100" s="1"/>
  <c r="B51" i="100"/>
  <c r="V50" i="100"/>
  <c r="T50" i="100"/>
  <c r="P50" i="100"/>
  <c r="X50" i="100" s="1"/>
  <c r="Z50" i="100" s="1"/>
  <c r="J50" i="100"/>
  <c r="H50" i="100"/>
  <c r="F50" i="100"/>
  <c r="D50" i="100"/>
  <c r="L50" i="100" s="1"/>
  <c r="Z48" i="100"/>
  <c r="X48" i="100"/>
  <c r="V48" i="100"/>
  <c r="N48" i="100"/>
  <c r="L48" i="100"/>
  <c r="J48" i="100"/>
  <c r="B48" i="100"/>
  <c r="V47" i="100"/>
  <c r="T47" i="100"/>
  <c r="P47" i="100"/>
  <c r="X47" i="100" s="1"/>
  <c r="Z47" i="100" s="1"/>
  <c r="L47" i="100"/>
  <c r="J47" i="100"/>
  <c r="H47" i="100"/>
  <c r="D47" i="100"/>
  <c r="B47" i="100"/>
  <c r="Z46" i="100"/>
  <c r="X46" i="100"/>
  <c r="N46" i="100"/>
  <c r="L46" i="100"/>
  <c r="J46" i="100"/>
  <c r="F46" i="100"/>
  <c r="B46" i="100"/>
  <c r="X45" i="100"/>
  <c r="T45" i="100"/>
  <c r="Z45" i="100" s="1"/>
  <c r="P45" i="100"/>
  <c r="L45" i="100"/>
  <c r="H45" i="100"/>
  <c r="N45" i="100" s="1"/>
  <c r="F45" i="100"/>
  <c r="D45" i="100"/>
  <c r="B45" i="100"/>
  <c r="X44" i="100"/>
  <c r="Z44" i="100" s="1"/>
  <c r="R44" i="100"/>
  <c r="N44" i="100"/>
  <c r="L44" i="100"/>
  <c r="J44" i="100"/>
  <c r="B44" i="100"/>
  <c r="T43" i="100"/>
  <c r="P43" i="100"/>
  <c r="H43" i="100"/>
  <c r="N43" i="100" s="1"/>
  <c r="D43" i="100"/>
  <c r="L43" i="100" s="1"/>
  <c r="B43" i="100"/>
  <c r="Z42" i="100"/>
  <c r="X42" i="100"/>
  <c r="V42" i="100"/>
  <c r="N42" i="100"/>
  <c r="L42" i="100"/>
  <c r="B42" i="100"/>
  <c r="X41" i="100"/>
  <c r="T41" i="100"/>
  <c r="P41" i="100"/>
  <c r="N41" i="100"/>
  <c r="J41" i="100"/>
  <c r="H41" i="100"/>
  <c r="D41" i="100"/>
  <c r="L41" i="100" s="1"/>
  <c r="B41" i="100"/>
  <c r="Z40" i="100"/>
  <c r="X40" i="100"/>
  <c r="N40" i="100"/>
  <c r="L40" i="100"/>
  <c r="J40" i="100"/>
  <c r="F40" i="100"/>
  <c r="B40" i="100"/>
  <c r="Z39" i="100"/>
  <c r="X39" i="100"/>
  <c r="R39" i="100"/>
  <c r="N39" i="100"/>
  <c r="L39" i="100"/>
  <c r="F39" i="100"/>
  <c r="B39" i="100"/>
  <c r="Z38" i="100"/>
  <c r="X38" i="100"/>
  <c r="N38" i="100"/>
  <c r="L38" i="100"/>
  <c r="J38" i="100"/>
  <c r="F38" i="100"/>
  <c r="B38" i="100"/>
  <c r="Z37" i="100"/>
  <c r="X37" i="100"/>
  <c r="V37" i="100"/>
  <c r="N37" i="100"/>
  <c r="L37" i="100"/>
  <c r="F37" i="100"/>
  <c r="B37" i="100"/>
  <c r="Z36" i="100"/>
  <c r="X36" i="100"/>
  <c r="V36" i="100"/>
  <c r="N36" i="100"/>
  <c r="L36" i="100"/>
  <c r="J36" i="100"/>
  <c r="F36" i="100"/>
  <c r="B36" i="100"/>
  <c r="Z35" i="100"/>
  <c r="X35" i="100"/>
  <c r="N35" i="100"/>
  <c r="L35" i="100"/>
  <c r="F35" i="100"/>
  <c r="B35" i="100"/>
  <c r="Z34" i="100"/>
  <c r="X34" i="100"/>
  <c r="N34" i="100"/>
  <c r="L34" i="100"/>
  <c r="J34" i="100"/>
  <c r="F34" i="100"/>
  <c r="B34" i="100"/>
  <c r="Z33" i="100"/>
  <c r="X33" i="100"/>
  <c r="V33" i="100"/>
  <c r="N33" i="100"/>
  <c r="L33" i="100"/>
  <c r="F33" i="100"/>
  <c r="B33" i="100"/>
  <c r="Z32" i="100"/>
  <c r="X32" i="100"/>
  <c r="V32" i="100"/>
  <c r="N32" i="100"/>
  <c r="L32" i="100"/>
  <c r="J32" i="100"/>
  <c r="F32" i="100"/>
  <c r="B32" i="100"/>
  <c r="X31" i="100"/>
  <c r="Z31" i="100" s="1"/>
  <c r="L31" i="100"/>
  <c r="N31" i="100" s="1"/>
  <c r="F31" i="100"/>
  <c r="B31" i="100"/>
  <c r="X30" i="100"/>
  <c r="Z30" i="100" s="1"/>
  <c r="T30" i="100"/>
  <c r="P30" i="100"/>
  <c r="N30" i="100"/>
  <c r="J30" i="100"/>
  <c r="H30" i="100"/>
  <c r="F30" i="100"/>
  <c r="D30" i="100"/>
  <c r="L30" i="100" s="1"/>
  <c r="B30" i="100"/>
  <c r="Z29" i="100"/>
  <c r="X29" i="100"/>
  <c r="L29" i="100"/>
  <c r="N29" i="100" s="1"/>
  <c r="J29" i="100"/>
  <c r="F29" i="100"/>
  <c r="B29" i="100"/>
  <c r="Z28" i="100"/>
  <c r="X28" i="100"/>
  <c r="V28" i="100"/>
  <c r="N28" i="100"/>
  <c r="L28" i="100"/>
  <c r="J28" i="100"/>
  <c r="B28" i="100"/>
  <c r="Z27" i="100"/>
  <c r="X27" i="100"/>
  <c r="N27" i="100"/>
  <c r="L27" i="100"/>
  <c r="J27" i="100"/>
  <c r="B27" i="100"/>
  <c r="Z26" i="100"/>
  <c r="X26" i="100"/>
  <c r="V26" i="100"/>
  <c r="R26" i="100"/>
  <c r="N26" i="100"/>
  <c r="L26" i="100"/>
  <c r="J26" i="100"/>
  <c r="F26" i="100"/>
  <c r="B26" i="100"/>
  <c r="Z25" i="100"/>
  <c r="X25" i="100"/>
  <c r="L25" i="100"/>
  <c r="N25" i="100" s="1"/>
  <c r="J25" i="100"/>
  <c r="F25" i="100"/>
  <c r="B25" i="100"/>
  <c r="X24" i="100"/>
  <c r="Z24" i="100" s="1"/>
  <c r="V24" i="100"/>
  <c r="N24" i="100"/>
  <c r="L24" i="100"/>
  <c r="J24" i="100"/>
  <c r="B24" i="100"/>
  <c r="X23" i="100"/>
  <c r="Z23" i="100" s="1"/>
  <c r="R23" i="100"/>
  <c r="N23" i="100"/>
  <c r="L23" i="100"/>
  <c r="J23" i="100"/>
  <c r="B23" i="100"/>
  <c r="Z22" i="100"/>
  <c r="X22" i="100"/>
  <c r="N22" i="100"/>
  <c r="L22" i="100"/>
  <c r="J22" i="100"/>
  <c r="F22" i="100"/>
  <c r="B22" i="100"/>
  <c r="Z21" i="100"/>
  <c r="X21" i="100"/>
  <c r="L21" i="100"/>
  <c r="N21" i="100" s="1"/>
  <c r="J21" i="100"/>
  <c r="F21" i="100"/>
  <c r="B21" i="100"/>
  <c r="V20" i="100"/>
  <c r="T20" i="100"/>
  <c r="P20" i="100"/>
  <c r="J20" i="100"/>
  <c r="H20" i="100"/>
  <c r="N20" i="100" s="1"/>
  <c r="F20" i="100"/>
  <c r="D20" i="100"/>
  <c r="L20" i="100" s="1"/>
  <c r="B20" i="100"/>
  <c r="V19" i="100"/>
  <c r="T19" i="100"/>
  <c r="P19" i="100"/>
  <c r="X19" i="100" s="1"/>
  <c r="Z19" i="100" s="1"/>
  <c r="L19" i="100"/>
  <c r="J19" i="100"/>
  <c r="H19" i="100"/>
  <c r="D19" i="100"/>
  <c r="J17" i="100"/>
  <c r="H17" i="100"/>
  <c r="D17" i="100"/>
  <c r="Z15" i="100"/>
  <c r="X15" i="100"/>
  <c r="V15" i="100"/>
  <c r="N15" i="100"/>
  <c r="L15" i="100"/>
  <c r="F15" i="100"/>
  <c r="B15" i="100"/>
  <c r="Z14" i="100"/>
  <c r="V14" i="100"/>
  <c r="T14" i="100"/>
  <c r="P14" i="100"/>
  <c r="X14" i="100" s="1"/>
  <c r="N14" i="100"/>
  <c r="J14" i="100"/>
  <c r="H14" i="100"/>
  <c r="F14" i="100"/>
  <c r="D14" i="100"/>
  <c r="L14" i="100" s="1"/>
  <c r="Z12" i="100"/>
  <c r="T12" i="100"/>
  <c r="V45" i="100" s="1"/>
  <c r="P12" i="100"/>
  <c r="R25" i="100" s="1"/>
  <c r="N12" i="100"/>
  <c r="L12" i="100"/>
  <c r="H12" i="100"/>
  <c r="J42" i="100" s="1"/>
  <c r="D12" i="100"/>
  <c r="F55" i="100" s="1"/>
  <c r="D6" i="100"/>
  <c r="D4" i="100"/>
  <c r="V48" i="99"/>
  <c r="V45" i="99"/>
  <c r="Z43" i="99"/>
  <c r="X43" i="99"/>
  <c r="N43" i="99"/>
  <c r="L43" i="99"/>
  <c r="J43" i="99"/>
  <c r="F43" i="99"/>
  <c r="J41" i="99"/>
  <c r="Z39" i="99"/>
  <c r="T39" i="99"/>
  <c r="R39" i="99"/>
  <c r="P39" i="99"/>
  <c r="X39" i="99" s="1"/>
  <c r="N39" i="99"/>
  <c r="J39" i="99"/>
  <c r="H39" i="99"/>
  <c r="D39" i="99"/>
  <c r="Z37" i="99"/>
  <c r="X37" i="99"/>
  <c r="N37" i="99"/>
  <c r="L37" i="99"/>
  <c r="J37" i="99"/>
  <c r="B37" i="99"/>
  <c r="Z36" i="99"/>
  <c r="X36" i="99"/>
  <c r="V36" i="99"/>
  <c r="T36" i="99"/>
  <c r="P36" i="99"/>
  <c r="L36" i="99"/>
  <c r="J36" i="99"/>
  <c r="H36" i="99"/>
  <c r="N36" i="99" s="1"/>
  <c r="D36" i="99"/>
  <c r="B36" i="99"/>
  <c r="Z35" i="99"/>
  <c r="X35" i="99"/>
  <c r="N35" i="99"/>
  <c r="L35" i="99"/>
  <c r="J35" i="99"/>
  <c r="B35" i="99"/>
  <c r="X34" i="99"/>
  <c r="T34" i="99"/>
  <c r="Z34" i="99" s="1"/>
  <c r="P34" i="99"/>
  <c r="L34" i="99"/>
  <c r="H34" i="99"/>
  <c r="N34" i="99" s="1"/>
  <c r="F34" i="99"/>
  <c r="D34" i="99"/>
  <c r="B34" i="99"/>
  <c r="Z33" i="99"/>
  <c r="X33" i="99"/>
  <c r="V33" i="99"/>
  <c r="N33" i="99"/>
  <c r="L33" i="99"/>
  <c r="J33" i="99"/>
  <c r="B33" i="99"/>
  <c r="Z32" i="99"/>
  <c r="X32" i="99"/>
  <c r="N32" i="99"/>
  <c r="L32" i="99"/>
  <c r="B32" i="99"/>
  <c r="Z31" i="99"/>
  <c r="X31" i="99"/>
  <c r="N31" i="99"/>
  <c r="L31" i="99"/>
  <c r="J31" i="99"/>
  <c r="B31" i="99"/>
  <c r="Z30" i="99"/>
  <c r="X30" i="99"/>
  <c r="N30" i="99"/>
  <c r="L30" i="99"/>
  <c r="J30" i="99"/>
  <c r="B30" i="99"/>
  <c r="X29" i="99"/>
  <c r="T29" i="99"/>
  <c r="Z29" i="99" s="1"/>
  <c r="P29" i="99"/>
  <c r="J29" i="99"/>
  <c r="H29" i="99"/>
  <c r="N29" i="99" s="1"/>
  <c r="D29" i="99"/>
  <c r="L29" i="99" s="1"/>
  <c r="B29" i="99"/>
  <c r="Z28" i="99"/>
  <c r="X28" i="99"/>
  <c r="V28" i="99"/>
  <c r="N28" i="99"/>
  <c r="L28" i="99"/>
  <c r="B28" i="99"/>
  <c r="Z27" i="99"/>
  <c r="X27" i="99"/>
  <c r="N27" i="99"/>
  <c r="L27" i="99"/>
  <c r="B27" i="99"/>
  <c r="Z26" i="99"/>
  <c r="X26" i="99"/>
  <c r="V26" i="99"/>
  <c r="N26" i="99"/>
  <c r="L26" i="99"/>
  <c r="J26" i="99"/>
  <c r="B26" i="99"/>
  <c r="Z25" i="99"/>
  <c r="X25" i="99"/>
  <c r="N25" i="99"/>
  <c r="L25" i="99"/>
  <c r="J25" i="99"/>
  <c r="B25" i="99"/>
  <c r="Z24" i="99"/>
  <c r="X24" i="99"/>
  <c r="N24" i="99"/>
  <c r="L24" i="99"/>
  <c r="B24" i="99"/>
  <c r="Z23" i="99"/>
  <c r="X23" i="99"/>
  <c r="N23" i="99"/>
  <c r="L23" i="99"/>
  <c r="B23" i="99"/>
  <c r="Z22" i="99"/>
  <c r="X22" i="99"/>
  <c r="N22" i="99"/>
  <c r="L22" i="99"/>
  <c r="J22" i="99"/>
  <c r="B22" i="99"/>
  <c r="Z21" i="99"/>
  <c r="T21" i="99"/>
  <c r="P21" i="99"/>
  <c r="X21" i="99" s="1"/>
  <c r="J21" i="99"/>
  <c r="H21" i="99"/>
  <c r="N21" i="99" s="1"/>
  <c r="D21" i="99"/>
  <c r="L21" i="99" s="1"/>
  <c r="B21" i="99"/>
  <c r="T20" i="99"/>
  <c r="Z20" i="99" s="1"/>
  <c r="P20" i="99"/>
  <c r="X20" i="99" s="1"/>
  <c r="J20" i="99"/>
  <c r="H20" i="99"/>
  <c r="N20" i="99" s="1"/>
  <c r="D20" i="99"/>
  <c r="T18" i="99"/>
  <c r="H18" i="99"/>
  <c r="N18" i="99" s="1"/>
  <c r="T16" i="99"/>
  <c r="Z16" i="99" s="1"/>
  <c r="R16" i="99"/>
  <c r="P16" i="99"/>
  <c r="L16" i="99"/>
  <c r="J16" i="99"/>
  <c r="H16" i="99"/>
  <c r="N16" i="99" s="1"/>
  <c r="D16" i="99"/>
  <c r="Z14" i="99"/>
  <c r="X14" i="99"/>
  <c r="P14" i="99"/>
  <c r="N14" i="99"/>
  <c r="D14" i="99"/>
  <c r="L14" i="99" s="1"/>
  <c r="B14" i="99"/>
  <c r="Z13" i="99"/>
  <c r="P13" i="99"/>
  <c r="X13" i="99" s="1"/>
  <c r="N13" i="99"/>
  <c r="L13" i="99"/>
  <c r="D13" i="99"/>
  <c r="B13" i="99"/>
  <c r="T12" i="99"/>
  <c r="V41" i="99" s="1"/>
  <c r="P12" i="99"/>
  <c r="L12" i="99"/>
  <c r="H12" i="99"/>
  <c r="D12" i="99"/>
  <c r="D6" i="99"/>
  <c r="D4" i="99"/>
  <c r="X93" i="98"/>
  <c r="Z93" i="98" s="1"/>
  <c r="L93" i="98"/>
  <c r="N93" i="98" s="1"/>
  <c r="X89" i="98"/>
  <c r="T89" i="98"/>
  <c r="Z89" i="98" s="1"/>
  <c r="P89" i="98"/>
  <c r="H89" i="98"/>
  <c r="N89" i="98" s="1"/>
  <c r="D89" i="98"/>
  <c r="L89" i="98" s="1"/>
  <c r="X87" i="98"/>
  <c r="Z87" i="98" s="1"/>
  <c r="N87" i="98"/>
  <c r="L87" i="98"/>
  <c r="B87" i="98"/>
  <c r="T86" i="98"/>
  <c r="Z86" i="98" s="1"/>
  <c r="P86" i="98"/>
  <c r="X86" i="98" s="1"/>
  <c r="N86" i="98"/>
  <c r="J86" i="98"/>
  <c r="H86" i="98"/>
  <c r="D86" i="98"/>
  <c r="L86" i="98" s="1"/>
  <c r="B86" i="98"/>
  <c r="X85" i="98"/>
  <c r="Z85" i="98" s="1"/>
  <c r="N85" i="98"/>
  <c r="L85" i="98"/>
  <c r="B85" i="98"/>
  <c r="Z84" i="98"/>
  <c r="T84" i="98"/>
  <c r="P84" i="98"/>
  <c r="X84" i="98" s="1"/>
  <c r="N84" i="98"/>
  <c r="H84" i="98"/>
  <c r="D84" i="98"/>
  <c r="L84" i="98" s="1"/>
  <c r="B84" i="98"/>
  <c r="X83" i="98"/>
  <c r="Z83" i="98" s="1"/>
  <c r="N83" i="98"/>
  <c r="L83" i="98"/>
  <c r="B83" i="98"/>
  <c r="T82" i="98"/>
  <c r="P82" i="98"/>
  <c r="L82" i="98"/>
  <c r="N82" i="98" s="1"/>
  <c r="H82" i="98"/>
  <c r="D82" i="98"/>
  <c r="B82" i="98"/>
  <c r="X81" i="98"/>
  <c r="Z81" i="98" s="1"/>
  <c r="V81" i="98"/>
  <c r="N81" i="98"/>
  <c r="L81" i="98"/>
  <c r="J81" i="98"/>
  <c r="B81" i="98"/>
  <c r="Z80" i="98"/>
  <c r="X80" i="98"/>
  <c r="N80" i="98"/>
  <c r="L80" i="98"/>
  <c r="B80" i="98"/>
  <c r="Z79" i="98"/>
  <c r="X79" i="98"/>
  <c r="N79" i="98"/>
  <c r="L79" i="98"/>
  <c r="B79" i="98"/>
  <c r="X78" i="98"/>
  <c r="Z78" i="98" s="1"/>
  <c r="N78" i="98"/>
  <c r="L78" i="98"/>
  <c r="B78" i="98"/>
  <c r="X77" i="98"/>
  <c r="Z77" i="98" s="1"/>
  <c r="V77" i="98"/>
  <c r="N77" i="98"/>
  <c r="L77" i="98"/>
  <c r="J77" i="98"/>
  <c r="B77" i="98"/>
  <c r="Z76" i="98"/>
  <c r="X76" i="98"/>
  <c r="L76" i="98"/>
  <c r="N76" i="98" s="1"/>
  <c r="B76" i="98"/>
  <c r="Z75" i="98"/>
  <c r="X75" i="98"/>
  <c r="N75" i="98"/>
  <c r="L75" i="98"/>
  <c r="B75" i="98"/>
  <c r="X74" i="98"/>
  <c r="T74" i="98"/>
  <c r="P74" i="98"/>
  <c r="H74" i="98"/>
  <c r="D74" i="98"/>
  <c r="L74" i="98" s="1"/>
  <c r="N74" i="98" s="1"/>
  <c r="B74" i="98"/>
  <c r="Z73" i="98"/>
  <c r="X73" i="98"/>
  <c r="L73" i="98"/>
  <c r="N73" i="98" s="1"/>
  <c r="B73" i="98"/>
  <c r="T72" i="98"/>
  <c r="P72" i="98"/>
  <c r="H72" i="98"/>
  <c r="D72" i="98"/>
  <c r="L72" i="98" s="1"/>
  <c r="N72" i="98" s="1"/>
  <c r="B72" i="98"/>
  <c r="Z71" i="98"/>
  <c r="X71" i="98"/>
  <c r="N71" i="98"/>
  <c r="L71" i="98"/>
  <c r="B71" i="98"/>
  <c r="X70" i="98"/>
  <c r="Z70" i="98" s="1"/>
  <c r="L70" i="98"/>
  <c r="N70" i="98" s="1"/>
  <c r="B70" i="98"/>
  <c r="X69" i="98"/>
  <c r="Z69" i="98" s="1"/>
  <c r="L69" i="98"/>
  <c r="N69" i="98" s="1"/>
  <c r="J69" i="98"/>
  <c r="B69" i="98"/>
  <c r="X68" i="98"/>
  <c r="Z68" i="98" s="1"/>
  <c r="T68" i="98"/>
  <c r="P68" i="98"/>
  <c r="H68" i="98"/>
  <c r="D68" i="98"/>
  <c r="B68" i="98"/>
  <c r="Z67" i="98"/>
  <c r="X67" i="98"/>
  <c r="N67" i="98"/>
  <c r="L67" i="98"/>
  <c r="B67" i="98"/>
  <c r="X66" i="98"/>
  <c r="Z66" i="98" s="1"/>
  <c r="N66" i="98"/>
  <c r="L66" i="98"/>
  <c r="J66" i="98"/>
  <c r="B66" i="98"/>
  <c r="Z65" i="98"/>
  <c r="X65" i="98"/>
  <c r="V65" i="98"/>
  <c r="N65" i="98"/>
  <c r="L65" i="98"/>
  <c r="J65" i="98"/>
  <c r="B65" i="98"/>
  <c r="T64" i="98"/>
  <c r="P64" i="98"/>
  <c r="X64" i="98" s="1"/>
  <c r="Z64" i="98" s="1"/>
  <c r="L64" i="98"/>
  <c r="H64" i="98"/>
  <c r="D64" i="98"/>
  <c r="B64" i="98"/>
  <c r="Z63" i="98"/>
  <c r="X63" i="98"/>
  <c r="N63" i="98"/>
  <c r="L63" i="98"/>
  <c r="J63" i="98"/>
  <c r="B63" i="98"/>
  <c r="Z62" i="98"/>
  <c r="X62" i="98"/>
  <c r="L62" i="98"/>
  <c r="N62" i="98" s="1"/>
  <c r="J62" i="98"/>
  <c r="B62" i="98"/>
  <c r="Z61" i="98"/>
  <c r="T61" i="98"/>
  <c r="P61" i="98"/>
  <c r="X61" i="98" s="1"/>
  <c r="H61" i="98"/>
  <c r="D61" i="98"/>
  <c r="B61" i="98"/>
  <c r="X60" i="98"/>
  <c r="Z60" i="98" s="1"/>
  <c r="N60" i="98"/>
  <c r="L60" i="98"/>
  <c r="B60" i="98"/>
  <c r="V59" i="98"/>
  <c r="T59" i="98"/>
  <c r="P59" i="98"/>
  <c r="X59" i="98" s="1"/>
  <c r="Z59" i="98" s="1"/>
  <c r="H59" i="98"/>
  <c r="D59" i="98"/>
  <c r="L59" i="98" s="1"/>
  <c r="B59" i="98"/>
  <c r="X58" i="98"/>
  <c r="Z58" i="98" s="1"/>
  <c r="N58" i="98"/>
  <c r="L58" i="98"/>
  <c r="J58" i="98"/>
  <c r="B58" i="98"/>
  <c r="X57" i="98"/>
  <c r="Z57" i="98" s="1"/>
  <c r="V57" i="98"/>
  <c r="T57" i="98"/>
  <c r="P57" i="98"/>
  <c r="H57" i="98"/>
  <c r="L57" i="98" s="1"/>
  <c r="N57" i="98" s="1"/>
  <c r="D57" i="98"/>
  <c r="B57" i="98"/>
  <c r="X56" i="98"/>
  <c r="Z56" i="98" s="1"/>
  <c r="L56" i="98"/>
  <c r="N56" i="98" s="1"/>
  <c r="J56" i="98"/>
  <c r="B56" i="98"/>
  <c r="X55" i="98"/>
  <c r="Z55" i="98" s="1"/>
  <c r="N55" i="98"/>
  <c r="L55" i="98"/>
  <c r="J55" i="98"/>
  <c r="B55" i="98"/>
  <c r="Z54" i="98"/>
  <c r="X54" i="98"/>
  <c r="L54" i="98"/>
  <c r="N54" i="98" s="1"/>
  <c r="J54" i="98"/>
  <c r="B54" i="98"/>
  <c r="T53" i="98"/>
  <c r="P53" i="98"/>
  <c r="X53" i="98" s="1"/>
  <c r="Z53" i="98" s="1"/>
  <c r="H53" i="98"/>
  <c r="D53" i="98"/>
  <c r="B53" i="98"/>
  <c r="X52" i="98"/>
  <c r="Z52" i="98" s="1"/>
  <c r="N52" i="98"/>
  <c r="L52" i="98"/>
  <c r="B52" i="98"/>
  <c r="T51" i="98"/>
  <c r="P51" i="98"/>
  <c r="X51" i="98" s="1"/>
  <c r="Z51" i="98" s="1"/>
  <c r="H51" i="98"/>
  <c r="D51" i="98"/>
  <c r="L51" i="98" s="1"/>
  <c r="B51" i="98"/>
  <c r="X50" i="98"/>
  <c r="Z50" i="98" s="1"/>
  <c r="N50" i="98"/>
  <c r="L50" i="98"/>
  <c r="J50" i="98"/>
  <c r="B50" i="98"/>
  <c r="X49" i="98"/>
  <c r="Z49" i="98" s="1"/>
  <c r="T49" i="98"/>
  <c r="P49" i="98"/>
  <c r="H49" i="98"/>
  <c r="D49" i="98"/>
  <c r="B49" i="98"/>
  <c r="X48" i="98"/>
  <c r="Z48" i="98" s="1"/>
  <c r="L48" i="98"/>
  <c r="N48" i="98" s="1"/>
  <c r="J48" i="98"/>
  <c r="B48" i="98"/>
  <c r="T47" i="98"/>
  <c r="P47" i="98"/>
  <c r="J47" i="98"/>
  <c r="H47" i="98"/>
  <c r="D47" i="98"/>
  <c r="L47" i="98" s="1"/>
  <c r="N47" i="98" s="1"/>
  <c r="B47" i="98"/>
  <c r="Z46" i="98"/>
  <c r="X46" i="98"/>
  <c r="N46" i="98"/>
  <c r="L46" i="98"/>
  <c r="B46" i="98"/>
  <c r="Z45" i="98"/>
  <c r="X45" i="98"/>
  <c r="N45" i="98"/>
  <c r="L45" i="98"/>
  <c r="J45" i="98"/>
  <c r="B45" i="98"/>
  <c r="X44" i="98"/>
  <c r="Z44" i="98" s="1"/>
  <c r="N44" i="98"/>
  <c r="L44" i="98"/>
  <c r="B44" i="98"/>
  <c r="Z43" i="98"/>
  <c r="X43" i="98"/>
  <c r="V43" i="98"/>
  <c r="N43" i="98"/>
  <c r="L43" i="98"/>
  <c r="B43" i="98"/>
  <c r="Z42" i="98"/>
  <c r="X42" i="98"/>
  <c r="N42" i="98"/>
  <c r="L42" i="98"/>
  <c r="B42" i="98"/>
  <c r="X41" i="98"/>
  <c r="Z41" i="98" s="1"/>
  <c r="L41" i="98"/>
  <c r="N41" i="98" s="1"/>
  <c r="J41" i="98"/>
  <c r="B41" i="98"/>
  <c r="X40" i="98"/>
  <c r="Z40" i="98" s="1"/>
  <c r="N40" i="98"/>
  <c r="L40" i="98"/>
  <c r="B40" i="98"/>
  <c r="Z39" i="98"/>
  <c r="X39" i="98"/>
  <c r="V39" i="98"/>
  <c r="N39" i="98"/>
  <c r="L39" i="98"/>
  <c r="B39" i="98"/>
  <c r="X38" i="98"/>
  <c r="Z38" i="98" s="1"/>
  <c r="L38" i="98"/>
  <c r="N38" i="98" s="1"/>
  <c r="B38" i="98"/>
  <c r="Z37" i="98"/>
  <c r="X37" i="98"/>
  <c r="N37" i="98"/>
  <c r="L37" i="98"/>
  <c r="J37" i="98"/>
  <c r="B37" i="98"/>
  <c r="X36" i="98"/>
  <c r="Z36" i="98" s="1"/>
  <c r="T36" i="98"/>
  <c r="P36" i="98"/>
  <c r="H36" i="98"/>
  <c r="D36" i="98"/>
  <c r="L36" i="98" s="1"/>
  <c r="B36" i="98"/>
  <c r="X35" i="98"/>
  <c r="Z35" i="98" s="1"/>
  <c r="N35" i="98"/>
  <c r="L35" i="98"/>
  <c r="B35" i="98"/>
  <c r="X34" i="98"/>
  <c r="Z34" i="98" s="1"/>
  <c r="N34" i="98"/>
  <c r="L34" i="98"/>
  <c r="J34" i="98"/>
  <c r="B34" i="98"/>
  <c r="X33" i="98"/>
  <c r="Z33" i="98" s="1"/>
  <c r="V33" i="98"/>
  <c r="N33" i="98"/>
  <c r="L33" i="98"/>
  <c r="J33" i="98"/>
  <c r="B33" i="98"/>
  <c r="Z32" i="98"/>
  <c r="X32" i="98"/>
  <c r="N32" i="98"/>
  <c r="L32" i="98"/>
  <c r="B32" i="98"/>
  <c r="X31" i="98"/>
  <c r="Z31" i="98" s="1"/>
  <c r="L31" i="98"/>
  <c r="N31" i="98" s="1"/>
  <c r="B31" i="98"/>
  <c r="X30" i="98"/>
  <c r="Z30" i="98" s="1"/>
  <c r="N30" i="98"/>
  <c r="L30" i="98"/>
  <c r="J30" i="98"/>
  <c r="B30" i="98"/>
  <c r="X29" i="98"/>
  <c r="Z29" i="98" s="1"/>
  <c r="N29" i="98"/>
  <c r="L29" i="98"/>
  <c r="J29" i="98"/>
  <c r="B29" i="98"/>
  <c r="Z28" i="98"/>
  <c r="X28" i="98"/>
  <c r="L28" i="98"/>
  <c r="N28" i="98" s="1"/>
  <c r="B28" i="98"/>
  <c r="X27" i="98"/>
  <c r="Z27" i="98" s="1"/>
  <c r="L27" i="98"/>
  <c r="N27" i="98" s="1"/>
  <c r="B27" i="98"/>
  <c r="X26" i="98"/>
  <c r="T26" i="98"/>
  <c r="Z26" i="98" s="1"/>
  <c r="P26" i="98"/>
  <c r="H26" i="98"/>
  <c r="D26" i="98"/>
  <c r="L26" i="98" s="1"/>
  <c r="N26" i="98" s="1"/>
  <c r="B26" i="98"/>
  <c r="Z25" i="98"/>
  <c r="T25" i="98"/>
  <c r="P25" i="98"/>
  <c r="X25" i="98" s="1"/>
  <c r="H25" i="98"/>
  <c r="D25" i="98"/>
  <c r="Z21" i="98"/>
  <c r="X21" i="98"/>
  <c r="N21" i="98"/>
  <c r="L21" i="98"/>
  <c r="B21" i="98"/>
  <c r="Z20" i="98"/>
  <c r="X20" i="98"/>
  <c r="N20" i="98"/>
  <c r="L20" i="98"/>
  <c r="J20" i="98"/>
  <c r="B20" i="98"/>
  <c r="X19" i="98"/>
  <c r="Z19" i="98" s="1"/>
  <c r="N19" i="98"/>
  <c r="L19" i="98"/>
  <c r="J19" i="98"/>
  <c r="B19" i="98"/>
  <c r="T18" i="98"/>
  <c r="P18" i="98"/>
  <c r="X18" i="98" s="1"/>
  <c r="Z18" i="98" s="1"/>
  <c r="H18" i="98"/>
  <c r="D18" i="98"/>
  <c r="Z16" i="98"/>
  <c r="P16" i="98"/>
  <c r="X16" i="98" s="1"/>
  <c r="N16" i="98"/>
  <c r="L16" i="98"/>
  <c r="D16" i="98"/>
  <c r="B16" i="98"/>
  <c r="P15" i="98"/>
  <c r="X15" i="98" s="1"/>
  <c r="Z15" i="98" s="1"/>
  <c r="D15" i="98"/>
  <c r="L15" i="98" s="1"/>
  <c r="N15" i="98" s="1"/>
  <c r="B15" i="98"/>
  <c r="Z14" i="98"/>
  <c r="P14" i="98"/>
  <c r="X14" i="98" s="1"/>
  <c r="N14" i="98"/>
  <c r="D14" i="98"/>
  <c r="L14" i="98" s="1"/>
  <c r="B14" i="98"/>
  <c r="P13" i="98"/>
  <c r="X13" i="98" s="1"/>
  <c r="Z13" i="98" s="1"/>
  <c r="D13" i="98"/>
  <c r="B13" i="98"/>
  <c r="T12" i="98"/>
  <c r="V87" i="98" s="1"/>
  <c r="H12" i="98"/>
  <c r="J82" i="98" s="1"/>
  <c r="D6" i="98"/>
  <c r="D4" i="98"/>
  <c r="X101" i="96"/>
  <c r="Z101" i="96" s="1"/>
  <c r="N101" i="96"/>
  <c r="L101" i="96"/>
  <c r="J101" i="96"/>
  <c r="T97" i="96"/>
  <c r="Z97" i="96" s="1"/>
  <c r="P97" i="96"/>
  <c r="N97" i="96"/>
  <c r="L97" i="96"/>
  <c r="J97" i="96"/>
  <c r="H97" i="96"/>
  <c r="D97" i="96"/>
  <c r="Z95" i="96"/>
  <c r="X95" i="96"/>
  <c r="V95" i="96"/>
  <c r="L95" i="96"/>
  <c r="N95" i="96" s="1"/>
  <c r="B95" i="96"/>
  <c r="X94" i="96"/>
  <c r="T94" i="96"/>
  <c r="Z94" i="96" s="1"/>
  <c r="P94" i="96"/>
  <c r="J94" i="96"/>
  <c r="H94" i="96"/>
  <c r="D94" i="96"/>
  <c r="L94" i="96" s="1"/>
  <c r="N94" i="96" s="1"/>
  <c r="B94" i="96"/>
  <c r="Z93" i="96"/>
  <c r="X93" i="96"/>
  <c r="N93" i="96"/>
  <c r="L93" i="96"/>
  <c r="B93" i="96"/>
  <c r="X92" i="96"/>
  <c r="Z92" i="96" s="1"/>
  <c r="N92" i="96"/>
  <c r="L92" i="96"/>
  <c r="B92" i="96"/>
  <c r="X91" i="96"/>
  <c r="T91" i="96"/>
  <c r="P91" i="96"/>
  <c r="N91" i="96"/>
  <c r="H91" i="96"/>
  <c r="D91" i="96"/>
  <c r="L91" i="96" s="1"/>
  <c r="B91" i="96"/>
  <c r="Z90" i="96"/>
  <c r="X90" i="96"/>
  <c r="V90" i="96"/>
  <c r="R90" i="96"/>
  <c r="N90" i="96"/>
  <c r="L90" i="96"/>
  <c r="B90" i="96"/>
  <c r="Z89" i="96"/>
  <c r="X89" i="96"/>
  <c r="T89" i="96"/>
  <c r="P89" i="96"/>
  <c r="N89" i="96"/>
  <c r="J89" i="96"/>
  <c r="H89" i="96"/>
  <c r="D89" i="96"/>
  <c r="L89" i="96" s="1"/>
  <c r="B89" i="96"/>
  <c r="Z88" i="96"/>
  <c r="X88" i="96"/>
  <c r="V88" i="96"/>
  <c r="L88" i="96"/>
  <c r="N88" i="96" s="1"/>
  <c r="B88" i="96"/>
  <c r="T87" i="96"/>
  <c r="P87" i="96"/>
  <c r="X87" i="96" s="1"/>
  <c r="L87" i="96"/>
  <c r="N87" i="96" s="1"/>
  <c r="J87" i="96"/>
  <c r="H87" i="96"/>
  <c r="D87" i="96"/>
  <c r="B87" i="96"/>
  <c r="X86" i="96"/>
  <c r="Z86" i="96" s="1"/>
  <c r="V86" i="96"/>
  <c r="N86" i="96"/>
  <c r="L86" i="96"/>
  <c r="B86" i="96"/>
  <c r="Z85" i="96"/>
  <c r="X85" i="96"/>
  <c r="N85" i="96"/>
  <c r="L85" i="96"/>
  <c r="B85" i="96"/>
  <c r="X84" i="96"/>
  <c r="Z84" i="96" s="1"/>
  <c r="N84" i="96"/>
  <c r="L84" i="96"/>
  <c r="B84" i="96"/>
  <c r="X83" i="96"/>
  <c r="Z83" i="96" s="1"/>
  <c r="N83" i="96"/>
  <c r="L83" i="96"/>
  <c r="J83" i="96"/>
  <c r="B83" i="96"/>
  <c r="X82" i="96"/>
  <c r="Z82" i="96" s="1"/>
  <c r="V82" i="96"/>
  <c r="N82" i="96"/>
  <c r="L82" i="96"/>
  <c r="J82" i="96"/>
  <c r="B82" i="96"/>
  <c r="Z81" i="96"/>
  <c r="X81" i="96"/>
  <c r="N81" i="96"/>
  <c r="L81" i="96"/>
  <c r="B81" i="96"/>
  <c r="X80" i="96"/>
  <c r="Z80" i="96" s="1"/>
  <c r="N80" i="96"/>
  <c r="L80" i="96"/>
  <c r="B80" i="96"/>
  <c r="X79" i="96"/>
  <c r="Z79" i="96" s="1"/>
  <c r="N79" i="96"/>
  <c r="L79" i="96"/>
  <c r="J79" i="96"/>
  <c r="B79" i="96"/>
  <c r="X78" i="96"/>
  <c r="Z78" i="96" s="1"/>
  <c r="V78" i="96"/>
  <c r="T78" i="96"/>
  <c r="P78" i="96"/>
  <c r="L78" i="96"/>
  <c r="N78" i="96" s="1"/>
  <c r="H78" i="96"/>
  <c r="D78" i="96"/>
  <c r="B78" i="96"/>
  <c r="Z77" i="96"/>
  <c r="X77" i="96"/>
  <c r="L77" i="96"/>
  <c r="N77" i="96" s="1"/>
  <c r="J77" i="96"/>
  <c r="B77" i="96"/>
  <c r="T76" i="96"/>
  <c r="P76" i="96"/>
  <c r="J76" i="96"/>
  <c r="H76" i="96"/>
  <c r="N76" i="96" s="1"/>
  <c r="D76" i="96"/>
  <c r="L76" i="96" s="1"/>
  <c r="B76" i="96"/>
  <c r="Z75" i="96"/>
  <c r="X75" i="96"/>
  <c r="V75" i="96"/>
  <c r="L75" i="96"/>
  <c r="N75" i="96" s="1"/>
  <c r="B75" i="96"/>
  <c r="X74" i="96"/>
  <c r="Z74" i="96" s="1"/>
  <c r="V74" i="96"/>
  <c r="L74" i="96"/>
  <c r="N74" i="96" s="1"/>
  <c r="J74" i="96"/>
  <c r="B74" i="96"/>
  <c r="X73" i="96"/>
  <c r="Z73" i="96" s="1"/>
  <c r="V73" i="96"/>
  <c r="N73" i="96"/>
  <c r="L73" i="96"/>
  <c r="B73" i="96"/>
  <c r="Z72" i="96"/>
  <c r="X72" i="96"/>
  <c r="V72" i="96"/>
  <c r="N72" i="96"/>
  <c r="L72" i="96"/>
  <c r="B72" i="96"/>
  <c r="Z71" i="96"/>
  <c r="X71" i="96"/>
  <c r="V71" i="96"/>
  <c r="L71" i="96"/>
  <c r="N71" i="96" s="1"/>
  <c r="B71" i="96"/>
  <c r="V70" i="96"/>
  <c r="T70" i="96"/>
  <c r="P70" i="96"/>
  <c r="X70" i="96" s="1"/>
  <c r="J70" i="96"/>
  <c r="H70" i="96"/>
  <c r="D70" i="96"/>
  <c r="L70" i="96" s="1"/>
  <c r="N70" i="96" s="1"/>
  <c r="B70" i="96"/>
  <c r="Z69" i="96"/>
  <c r="X69" i="96"/>
  <c r="V69" i="96"/>
  <c r="N69" i="96"/>
  <c r="L69" i="96"/>
  <c r="B69" i="96"/>
  <c r="Z68" i="96"/>
  <c r="X68" i="96"/>
  <c r="N68" i="96"/>
  <c r="L68" i="96"/>
  <c r="B68" i="96"/>
  <c r="Z67" i="96"/>
  <c r="X67" i="96"/>
  <c r="N67" i="96"/>
  <c r="L67" i="96"/>
  <c r="J67" i="96"/>
  <c r="B67" i="96"/>
  <c r="X66" i="96"/>
  <c r="Z66" i="96" s="1"/>
  <c r="V66" i="96"/>
  <c r="T66" i="96"/>
  <c r="P66" i="96"/>
  <c r="L66" i="96"/>
  <c r="H66" i="96"/>
  <c r="N66" i="96" s="1"/>
  <c r="D66" i="96"/>
  <c r="B66" i="96"/>
  <c r="X65" i="96"/>
  <c r="Z65" i="96" s="1"/>
  <c r="L65" i="96"/>
  <c r="N65" i="96" s="1"/>
  <c r="J65" i="96"/>
  <c r="B65" i="96"/>
  <c r="T64" i="96"/>
  <c r="P64" i="96"/>
  <c r="J64" i="96"/>
  <c r="H64" i="96"/>
  <c r="D64" i="96"/>
  <c r="L64" i="96" s="1"/>
  <c r="N64" i="96" s="1"/>
  <c r="B64" i="96"/>
  <c r="Z63" i="96"/>
  <c r="X63" i="96"/>
  <c r="V63" i="96"/>
  <c r="L63" i="96"/>
  <c r="N63" i="96" s="1"/>
  <c r="B63" i="96"/>
  <c r="V62" i="96"/>
  <c r="T62" i="96"/>
  <c r="P62" i="96"/>
  <c r="X62" i="96" s="1"/>
  <c r="J62" i="96"/>
  <c r="H62" i="96"/>
  <c r="D62" i="96"/>
  <c r="L62" i="96" s="1"/>
  <c r="N62" i="96" s="1"/>
  <c r="B62" i="96"/>
  <c r="Z61" i="96"/>
  <c r="X61" i="96"/>
  <c r="V61" i="96"/>
  <c r="N61" i="96"/>
  <c r="L61" i="96"/>
  <c r="B61" i="96"/>
  <c r="T60" i="96"/>
  <c r="P60" i="96"/>
  <c r="N60" i="96"/>
  <c r="L60" i="96"/>
  <c r="J60" i="96"/>
  <c r="H60" i="96"/>
  <c r="D60" i="96"/>
  <c r="B60" i="96"/>
  <c r="Z59" i="96"/>
  <c r="X59" i="96"/>
  <c r="V59" i="96"/>
  <c r="N59" i="96"/>
  <c r="L59" i="96"/>
  <c r="J59" i="96"/>
  <c r="B59" i="96"/>
  <c r="V58" i="96"/>
  <c r="T58" i="96"/>
  <c r="P58" i="96"/>
  <c r="X58" i="96" s="1"/>
  <c r="Z58" i="96" s="1"/>
  <c r="H58" i="96"/>
  <c r="D58" i="96"/>
  <c r="B58" i="96"/>
  <c r="X57" i="96"/>
  <c r="Z57" i="96" s="1"/>
  <c r="V57" i="96"/>
  <c r="N57" i="96"/>
  <c r="L57" i="96"/>
  <c r="B57" i="96"/>
  <c r="Z56" i="96"/>
  <c r="V56" i="96"/>
  <c r="T56" i="96"/>
  <c r="P56" i="96"/>
  <c r="X56" i="96" s="1"/>
  <c r="H56" i="96"/>
  <c r="D56" i="96"/>
  <c r="L56" i="96" s="1"/>
  <c r="B56" i="96"/>
  <c r="X55" i="96"/>
  <c r="Z55" i="96" s="1"/>
  <c r="V55" i="96"/>
  <c r="N55" i="96"/>
  <c r="L55" i="96"/>
  <c r="J55" i="96"/>
  <c r="B55" i="96"/>
  <c r="X54" i="96"/>
  <c r="Z54" i="96" s="1"/>
  <c r="V54" i="96"/>
  <c r="N54" i="96"/>
  <c r="L54" i="96"/>
  <c r="J54" i="96"/>
  <c r="B54" i="96"/>
  <c r="Z53" i="96"/>
  <c r="X53" i="96"/>
  <c r="V53" i="96"/>
  <c r="L53" i="96"/>
  <c r="N53" i="96" s="1"/>
  <c r="B53" i="96"/>
  <c r="X52" i="96"/>
  <c r="T52" i="96"/>
  <c r="P52" i="96"/>
  <c r="L52" i="96"/>
  <c r="N52" i="96" s="1"/>
  <c r="J52" i="96"/>
  <c r="H52" i="96"/>
  <c r="D52" i="96"/>
  <c r="B52" i="96"/>
  <c r="Z51" i="96"/>
  <c r="X51" i="96"/>
  <c r="V51" i="96"/>
  <c r="N51" i="96"/>
  <c r="L51" i="96"/>
  <c r="J51" i="96"/>
  <c r="B51" i="96"/>
  <c r="T50" i="96"/>
  <c r="V50" i="96" s="1"/>
  <c r="P50" i="96"/>
  <c r="X50" i="96" s="1"/>
  <c r="Z50" i="96" s="1"/>
  <c r="H50" i="96"/>
  <c r="N50" i="96" s="1"/>
  <c r="D50" i="96"/>
  <c r="B50" i="96"/>
  <c r="X49" i="96"/>
  <c r="Z49" i="96" s="1"/>
  <c r="V49" i="96"/>
  <c r="N49" i="96"/>
  <c r="L49" i="96"/>
  <c r="J49" i="96"/>
  <c r="B49" i="96"/>
  <c r="V48" i="96"/>
  <c r="T48" i="96"/>
  <c r="P48" i="96"/>
  <c r="X48" i="96" s="1"/>
  <c r="Z48" i="96" s="1"/>
  <c r="H48" i="96"/>
  <c r="D48" i="96"/>
  <c r="L48" i="96" s="1"/>
  <c r="B48" i="96"/>
  <c r="X47" i="96"/>
  <c r="Z47" i="96" s="1"/>
  <c r="V47" i="96"/>
  <c r="N47" i="96"/>
  <c r="L47" i="96"/>
  <c r="J47" i="96"/>
  <c r="B47" i="96"/>
  <c r="X46" i="96"/>
  <c r="Z46" i="96" s="1"/>
  <c r="V46" i="96"/>
  <c r="T46" i="96"/>
  <c r="P46" i="96"/>
  <c r="H46" i="96"/>
  <c r="D46" i="96"/>
  <c r="L46" i="96" s="1"/>
  <c r="N46" i="96" s="1"/>
  <c r="B46" i="96"/>
  <c r="Z45" i="96"/>
  <c r="X45" i="96"/>
  <c r="N45" i="96"/>
  <c r="L45" i="96"/>
  <c r="J45" i="96"/>
  <c r="B45" i="96"/>
  <c r="Z44" i="96"/>
  <c r="X44" i="96"/>
  <c r="V44" i="96"/>
  <c r="N44" i="96"/>
  <c r="L44" i="96"/>
  <c r="J44" i="96"/>
  <c r="B44" i="96"/>
  <c r="Z43" i="96"/>
  <c r="X43" i="96"/>
  <c r="V43" i="96"/>
  <c r="N43" i="96"/>
  <c r="L43" i="96"/>
  <c r="J43" i="96"/>
  <c r="B43" i="96"/>
  <c r="Z42" i="96"/>
  <c r="X42" i="96"/>
  <c r="V42" i="96"/>
  <c r="N42" i="96"/>
  <c r="L42" i="96"/>
  <c r="J42" i="96"/>
  <c r="B42" i="96"/>
  <c r="Z41" i="96"/>
  <c r="X41" i="96"/>
  <c r="N41" i="96"/>
  <c r="L41" i="96"/>
  <c r="J41" i="96"/>
  <c r="B41" i="96"/>
  <c r="X40" i="96"/>
  <c r="Z40" i="96" s="1"/>
  <c r="V40" i="96"/>
  <c r="N40" i="96"/>
  <c r="L40" i="96"/>
  <c r="J40" i="96"/>
  <c r="B40" i="96"/>
  <c r="Z39" i="96"/>
  <c r="X39" i="96"/>
  <c r="V39" i="96"/>
  <c r="N39" i="96"/>
  <c r="L39" i="96"/>
  <c r="J39" i="96"/>
  <c r="B39" i="96"/>
  <c r="Z38" i="96"/>
  <c r="X38" i="96"/>
  <c r="V38" i="96"/>
  <c r="N38" i="96"/>
  <c r="L38" i="96"/>
  <c r="J38" i="96"/>
  <c r="B38" i="96"/>
  <c r="X37" i="96"/>
  <c r="Z37" i="96" s="1"/>
  <c r="L37" i="96"/>
  <c r="N37" i="96" s="1"/>
  <c r="J37" i="96"/>
  <c r="B37" i="96"/>
  <c r="Z36" i="96"/>
  <c r="X36" i="96"/>
  <c r="V36" i="96"/>
  <c r="N36" i="96"/>
  <c r="L36" i="96"/>
  <c r="J36" i="96"/>
  <c r="B36" i="96"/>
  <c r="T35" i="96"/>
  <c r="P35" i="96"/>
  <c r="H35" i="96"/>
  <c r="D35" i="96"/>
  <c r="B35" i="96"/>
  <c r="X34" i="96"/>
  <c r="Z34" i="96" s="1"/>
  <c r="V34" i="96"/>
  <c r="L34" i="96"/>
  <c r="N34" i="96" s="1"/>
  <c r="J34" i="96"/>
  <c r="B34" i="96"/>
  <c r="X33" i="96"/>
  <c r="Z33" i="96" s="1"/>
  <c r="V33" i="96"/>
  <c r="L33" i="96"/>
  <c r="N33" i="96" s="1"/>
  <c r="J33" i="96"/>
  <c r="B33" i="96"/>
  <c r="Z32" i="96"/>
  <c r="X32" i="96"/>
  <c r="V32" i="96"/>
  <c r="L32" i="96"/>
  <c r="N32" i="96" s="1"/>
  <c r="B32" i="96"/>
  <c r="Z31" i="96"/>
  <c r="X31" i="96"/>
  <c r="V31" i="96"/>
  <c r="N31" i="96"/>
  <c r="L31" i="96"/>
  <c r="B31" i="96"/>
  <c r="X30" i="96"/>
  <c r="Z30" i="96" s="1"/>
  <c r="V30" i="96"/>
  <c r="L30" i="96"/>
  <c r="N30" i="96" s="1"/>
  <c r="J30" i="96"/>
  <c r="B30" i="96"/>
  <c r="X29" i="96"/>
  <c r="Z29" i="96" s="1"/>
  <c r="V29" i="96"/>
  <c r="N29" i="96"/>
  <c r="L29" i="96"/>
  <c r="J29" i="96"/>
  <c r="B29" i="96"/>
  <c r="Z28" i="96"/>
  <c r="X28" i="96"/>
  <c r="V28" i="96"/>
  <c r="L28" i="96"/>
  <c r="N28" i="96" s="1"/>
  <c r="B28" i="96"/>
  <c r="Z27" i="96"/>
  <c r="X27" i="96"/>
  <c r="V27" i="96"/>
  <c r="L27" i="96"/>
  <c r="N27" i="96" s="1"/>
  <c r="B27" i="96"/>
  <c r="X26" i="96"/>
  <c r="Z26" i="96" s="1"/>
  <c r="V26" i="96"/>
  <c r="L26" i="96"/>
  <c r="N26" i="96" s="1"/>
  <c r="J26" i="96"/>
  <c r="B26" i="96"/>
  <c r="X25" i="96"/>
  <c r="Z25" i="96" s="1"/>
  <c r="V25" i="96"/>
  <c r="T25" i="96"/>
  <c r="P25" i="96"/>
  <c r="H25" i="96"/>
  <c r="J25" i="96" s="1"/>
  <c r="D25" i="96"/>
  <c r="L25" i="96" s="1"/>
  <c r="N25" i="96" s="1"/>
  <c r="B25" i="96"/>
  <c r="T24" i="96"/>
  <c r="P24" i="96"/>
  <c r="L24" i="96"/>
  <c r="N24" i="96" s="1"/>
  <c r="J24" i="96"/>
  <c r="H24" i="96"/>
  <c r="D24" i="96"/>
  <c r="T22" i="96"/>
  <c r="Z20" i="96"/>
  <c r="X20" i="96"/>
  <c r="N20" i="96"/>
  <c r="L20" i="96"/>
  <c r="B20" i="96"/>
  <c r="Z19" i="96"/>
  <c r="X19" i="96"/>
  <c r="V19" i="96"/>
  <c r="N19" i="96"/>
  <c r="L19" i="96"/>
  <c r="J19" i="96"/>
  <c r="B19" i="96"/>
  <c r="X18" i="96"/>
  <c r="Z18" i="96" s="1"/>
  <c r="V18" i="96"/>
  <c r="L18" i="96"/>
  <c r="N18" i="96" s="1"/>
  <c r="J18" i="96"/>
  <c r="B18" i="96"/>
  <c r="V17" i="96"/>
  <c r="T17" i="96"/>
  <c r="P17" i="96"/>
  <c r="X17" i="96" s="1"/>
  <c r="Z17" i="96" s="1"/>
  <c r="L17" i="96"/>
  <c r="H17" i="96"/>
  <c r="D17" i="96"/>
  <c r="Z15" i="96"/>
  <c r="P15" i="96"/>
  <c r="X15" i="96" s="1"/>
  <c r="N15" i="96"/>
  <c r="D15" i="96"/>
  <c r="L15" i="96" s="1"/>
  <c r="B15" i="96"/>
  <c r="Z14" i="96"/>
  <c r="P14" i="96"/>
  <c r="X14" i="96" s="1"/>
  <c r="D14" i="96"/>
  <c r="L14" i="96" s="1"/>
  <c r="N14" i="96" s="1"/>
  <c r="B14" i="96"/>
  <c r="Z13" i="96"/>
  <c r="P13" i="96"/>
  <c r="X13" i="96" s="1"/>
  <c r="N13" i="96"/>
  <c r="D13" i="96"/>
  <c r="L13" i="96" s="1"/>
  <c r="B13" i="96"/>
  <c r="T12" i="96"/>
  <c r="P12" i="96"/>
  <c r="H12" i="96"/>
  <c r="J95" i="96" s="1"/>
  <c r="D6" i="96"/>
  <c r="D4" i="96"/>
  <c r="X88" i="95"/>
  <c r="Z88" i="95" s="1"/>
  <c r="L88" i="95"/>
  <c r="N88" i="95" s="1"/>
  <c r="J88" i="95"/>
  <c r="Z84" i="95"/>
  <c r="T84" i="95"/>
  <c r="P84" i="95"/>
  <c r="X84" i="95" s="1"/>
  <c r="L84" i="95"/>
  <c r="H84" i="95"/>
  <c r="N84" i="95" s="1"/>
  <c r="D84" i="95"/>
  <c r="X82" i="95"/>
  <c r="Z82" i="95" s="1"/>
  <c r="N82" i="95"/>
  <c r="L82" i="95"/>
  <c r="J82" i="95"/>
  <c r="B82" i="95"/>
  <c r="T81" i="95"/>
  <c r="P81" i="95"/>
  <c r="X81" i="95" s="1"/>
  <c r="Z81" i="95" s="1"/>
  <c r="H81" i="95"/>
  <c r="D81" i="95"/>
  <c r="B81" i="95"/>
  <c r="Z80" i="95"/>
  <c r="X80" i="95"/>
  <c r="N80" i="95"/>
  <c r="L80" i="95"/>
  <c r="J80" i="95"/>
  <c r="B80" i="95"/>
  <c r="Z79" i="95"/>
  <c r="V79" i="95"/>
  <c r="T79" i="95"/>
  <c r="R79" i="95"/>
  <c r="P79" i="95"/>
  <c r="X79" i="95" s="1"/>
  <c r="H79" i="95"/>
  <c r="D79" i="95"/>
  <c r="L79" i="95" s="1"/>
  <c r="N79" i="95" s="1"/>
  <c r="B79" i="95"/>
  <c r="Z78" i="95"/>
  <c r="X78" i="95"/>
  <c r="N78" i="95"/>
  <c r="L78" i="95"/>
  <c r="J78" i="95"/>
  <c r="B78" i="95"/>
  <c r="Z77" i="95"/>
  <c r="X77" i="95"/>
  <c r="N77" i="95"/>
  <c r="L77" i="95"/>
  <c r="J77" i="95"/>
  <c r="B77" i="95"/>
  <c r="Z76" i="95"/>
  <c r="X76" i="95"/>
  <c r="N76" i="95"/>
  <c r="L76" i="95"/>
  <c r="B76" i="95"/>
  <c r="Z75" i="95"/>
  <c r="X75" i="95"/>
  <c r="L75" i="95"/>
  <c r="N75" i="95" s="1"/>
  <c r="J75" i="95"/>
  <c r="B75" i="95"/>
  <c r="X74" i="95"/>
  <c r="Z74" i="95" s="1"/>
  <c r="L74" i="95"/>
  <c r="N74" i="95" s="1"/>
  <c r="J74" i="95"/>
  <c r="B74" i="95"/>
  <c r="X73" i="95"/>
  <c r="Z73" i="95" s="1"/>
  <c r="N73" i="95"/>
  <c r="L73" i="95"/>
  <c r="J73" i="95"/>
  <c r="B73" i="95"/>
  <c r="Z72" i="95"/>
  <c r="X72" i="95"/>
  <c r="N72" i="95"/>
  <c r="L72" i="95"/>
  <c r="B72" i="95"/>
  <c r="T71" i="95"/>
  <c r="P71" i="95"/>
  <c r="X71" i="95" s="1"/>
  <c r="L71" i="95"/>
  <c r="N71" i="95" s="1"/>
  <c r="J71" i="95"/>
  <c r="H71" i="95"/>
  <c r="D71" i="95"/>
  <c r="B71" i="95"/>
  <c r="Z70" i="95"/>
  <c r="X70" i="95"/>
  <c r="N70" i="95"/>
  <c r="L70" i="95"/>
  <c r="J70" i="95"/>
  <c r="B70" i="95"/>
  <c r="T69" i="95"/>
  <c r="Z69" i="95" s="1"/>
  <c r="P69" i="95"/>
  <c r="H69" i="95"/>
  <c r="N69" i="95" s="1"/>
  <c r="D69" i="95"/>
  <c r="B69" i="95"/>
  <c r="X68" i="95"/>
  <c r="Z68" i="95" s="1"/>
  <c r="R68" i="95"/>
  <c r="N68" i="95"/>
  <c r="L68" i="95"/>
  <c r="J68" i="95"/>
  <c r="B68" i="95"/>
  <c r="Z67" i="95"/>
  <c r="T67" i="95"/>
  <c r="P67" i="95"/>
  <c r="X67" i="95" s="1"/>
  <c r="L67" i="95"/>
  <c r="N67" i="95" s="1"/>
  <c r="H67" i="95"/>
  <c r="D67" i="95"/>
  <c r="B67" i="95"/>
  <c r="X66" i="95"/>
  <c r="Z66" i="95" s="1"/>
  <c r="N66" i="95"/>
  <c r="L66" i="95"/>
  <c r="J66" i="95"/>
  <c r="B66" i="95"/>
  <c r="T65" i="95"/>
  <c r="P65" i="95"/>
  <c r="X65" i="95" s="1"/>
  <c r="Z65" i="95" s="1"/>
  <c r="N65" i="95"/>
  <c r="L65" i="95"/>
  <c r="J65" i="95"/>
  <c r="H65" i="95"/>
  <c r="D65" i="95"/>
  <c r="B65" i="95"/>
  <c r="Z64" i="95"/>
  <c r="X64" i="95"/>
  <c r="N64" i="95"/>
  <c r="L64" i="95"/>
  <c r="J64" i="95"/>
  <c r="B64" i="95"/>
  <c r="Z63" i="95"/>
  <c r="X63" i="95"/>
  <c r="N63" i="95"/>
  <c r="L63" i="95"/>
  <c r="J63" i="95"/>
  <c r="B63" i="95"/>
  <c r="V62" i="95"/>
  <c r="T62" i="95"/>
  <c r="P62" i="95"/>
  <c r="X62" i="95" s="1"/>
  <c r="Z62" i="95" s="1"/>
  <c r="L62" i="95"/>
  <c r="N62" i="95" s="1"/>
  <c r="H62" i="95"/>
  <c r="D62" i="95"/>
  <c r="B62" i="95"/>
  <c r="X61" i="95"/>
  <c r="Z61" i="95" s="1"/>
  <c r="N61" i="95"/>
  <c r="L61" i="95"/>
  <c r="J61" i="95"/>
  <c r="B61" i="95"/>
  <c r="Z60" i="95"/>
  <c r="T60" i="95"/>
  <c r="X60" i="95" s="1"/>
  <c r="P60" i="95"/>
  <c r="L60" i="95"/>
  <c r="N60" i="95" s="1"/>
  <c r="J60" i="95"/>
  <c r="H60" i="95"/>
  <c r="D60" i="95"/>
  <c r="B60" i="95"/>
  <c r="Z59" i="95"/>
  <c r="X59" i="95"/>
  <c r="N59" i="95"/>
  <c r="L59" i="95"/>
  <c r="J59" i="95"/>
  <c r="B59" i="95"/>
  <c r="T58" i="95"/>
  <c r="Z58" i="95" s="1"/>
  <c r="P58" i="95"/>
  <c r="X58" i="95" s="1"/>
  <c r="J58" i="95"/>
  <c r="H58" i="95"/>
  <c r="N58" i="95" s="1"/>
  <c r="D58" i="95"/>
  <c r="L58" i="95" s="1"/>
  <c r="B58" i="95"/>
  <c r="Z57" i="95"/>
  <c r="X57" i="95"/>
  <c r="N57" i="95"/>
  <c r="L57" i="95"/>
  <c r="B57" i="95"/>
  <c r="T56" i="95"/>
  <c r="P56" i="95"/>
  <c r="X56" i="95" s="1"/>
  <c r="H56" i="95"/>
  <c r="D56" i="95"/>
  <c r="B56" i="95"/>
  <c r="Z55" i="95"/>
  <c r="X55" i="95"/>
  <c r="N55" i="95"/>
  <c r="L55" i="95"/>
  <c r="J55" i="95"/>
  <c r="B55" i="95"/>
  <c r="X54" i="95"/>
  <c r="Z54" i="95" s="1"/>
  <c r="V54" i="95"/>
  <c r="L54" i="95"/>
  <c r="N54" i="95" s="1"/>
  <c r="J54" i="95"/>
  <c r="B54" i="95"/>
  <c r="T53" i="95"/>
  <c r="P53" i="95"/>
  <c r="H53" i="95"/>
  <c r="J53" i="95" s="1"/>
  <c r="D53" i="95"/>
  <c r="L53" i="95" s="1"/>
  <c r="B53" i="95"/>
  <c r="X52" i="95"/>
  <c r="Z52" i="95" s="1"/>
  <c r="R52" i="95"/>
  <c r="L52" i="95"/>
  <c r="N52" i="95" s="1"/>
  <c r="J52" i="95"/>
  <c r="B52" i="95"/>
  <c r="Z51" i="95"/>
  <c r="X51" i="95"/>
  <c r="T51" i="95"/>
  <c r="R51" i="95"/>
  <c r="P51" i="95"/>
  <c r="N51" i="95"/>
  <c r="H51" i="95"/>
  <c r="J51" i="95" s="1"/>
  <c r="D51" i="95"/>
  <c r="L51" i="95" s="1"/>
  <c r="B51" i="95"/>
  <c r="X50" i="95"/>
  <c r="Z50" i="95" s="1"/>
  <c r="L50" i="95"/>
  <c r="N50" i="95" s="1"/>
  <c r="B50" i="95"/>
  <c r="V49" i="95"/>
  <c r="T49" i="95"/>
  <c r="R49" i="95"/>
  <c r="P49" i="95"/>
  <c r="N49" i="95"/>
  <c r="J49" i="95"/>
  <c r="H49" i="95"/>
  <c r="D49" i="95"/>
  <c r="L49" i="95" s="1"/>
  <c r="B49" i="95"/>
  <c r="X48" i="95"/>
  <c r="Z48" i="95" s="1"/>
  <c r="R48" i="95"/>
  <c r="L48" i="95"/>
  <c r="N48" i="95" s="1"/>
  <c r="J48" i="95"/>
  <c r="B48" i="95"/>
  <c r="T47" i="95"/>
  <c r="P47" i="95"/>
  <c r="X47" i="95" s="1"/>
  <c r="H47" i="95"/>
  <c r="N47" i="95" s="1"/>
  <c r="D47" i="95"/>
  <c r="L47" i="95" s="1"/>
  <c r="B47" i="95"/>
  <c r="Z46" i="95"/>
  <c r="X46" i="95"/>
  <c r="N46" i="95"/>
  <c r="L46" i="95"/>
  <c r="B46" i="95"/>
  <c r="Z45" i="95"/>
  <c r="X45" i="95"/>
  <c r="N45" i="95"/>
  <c r="L45" i="95"/>
  <c r="J45" i="95"/>
  <c r="B45" i="95"/>
  <c r="X44" i="95"/>
  <c r="Z44" i="95" s="1"/>
  <c r="V44" i="95"/>
  <c r="L44" i="95"/>
  <c r="N44" i="95" s="1"/>
  <c r="J44" i="95"/>
  <c r="B44" i="95"/>
  <c r="Z43" i="95"/>
  <c r="X43" i="95"/>
  <c r="V43" i="95"/>
  <c r="N43" i="95"/>
  <c r="L43" i="95"/>
  <c r="J43" i="95"/>
  <c r="B43" i="95"/>
  <c r="Z42" i="95"/>
  <c r="X42" i="95"/>
  <c r="R42" i="95"/>
  <c r="N42" i="95"/>
  <c r="L42" i="95"/>
  <c r="B42" i="95"/>
  <c r="Z41" i="95"/>
  <c r="X41" i="95"/>
  <c r="N41" i="95"/>
  <c r="L41" i="95"/>
  <c r="J41" i="95"/>
  <c r="B41" i="95"/>
  <c r="X40" i="95"/>
  <c r="Z40" i="95" s="1"/>
  <c r="V40" i="95"/>
  <c r="R40" i="95"/>
  <c r="L40" i="95"/>
  <c r="N40" i="95" s="1"/>
  <c r="J40" i="95"/>
  <c r="B40" i="95"/>
  <c r="Z39" i="95"/>
  <c r="X39" i="95"/>
  <c r="N39" i="95"/>
  <c r="L39" i="95"/>
  <c r="J39" i="95"/>
  <c r="B39" i="95"/>
  <c r="X38" i="95"/>
  <c r="Z38" i="95" s="1"/>
  <c r="L38" i="95"/>
  <c r="N38" i="95" s="1"/>
  <c r="B38" i="95"/>
  <c r="Z37" i="95"/>
  <c r="X37" i="95"/>
  <c r="N37" i="95"/>
  <c r="L37" i="95"/>
  <c r="J37" i="95"/>
  <c r="B37" i="95"/>
  <c r="X36" i="95"/>
  <c r="V36" i="95"/>
  <c r="T36" i="95"/>
  <c r="P36" i="95"/>
  <c r="H36" i="95"/>
  <c r="D36" i="95"/>
  <c r="B36" i="95"/>
  <c r="Z35" i="95"/>
  <c r="X35" i="95"/>
  <c r="V35" i="95"/>
  <c r="N35" i="95"/>
  <c r="L35" i="95"/>
  <c r="J35" i="95"/>
  <c r="B35" i="95"/>
  <c r="Z34" i="95"/>
  <c r="X34" i="95"/>
  <c r="R34" i="95"/>
  <c r="L34" i="95"/>
  <c r="N34" i="95" s="1"/>
  <c r="B34" i="95"/>
  <c r="Z33" i="95"/>
  <c r="X33" i="95"/>
  <c r="N33" i="95"/>
  <c r="L33" i="95"/>
  <c r="J33" i="95"/>
  <c r="B33" i="95"/>
  <c r="Z32" i="95"/>
  <c r="X32" i="95"/>
  <c r="V32" i="95"/>
  <c r="N32" i="95"/>
  <c r="L32" i="95"/>
  <c r="J32" i="95"/>
  <c r="B32" i="95"/>
  <c r="Z31" i="95"/>
  <c r="X31" i="95"/>
  <c r="V31" i="95"/>
  <c r="L31" i="95"/>
  <c r="N31" i="95" s="1"/>
  <c r="J31" i="95"/>
  <c r="B31" i="95"/>
  <c r="X30" i="95"/>
  <c r="Z30" i="95" s="1"/>
  <c r="R30" i="95"/>
  <c r="L30" i="95"/>
  <c r="N30" i="95" s="1"/>
  <c r="B30" i="95"/>
  <c r="X29" i="95"/>
  <c r="Z29" i="95" s="1"/>
  <c r="V29" i="95"/>
  <c r="N29" i="95"/>
  <c r="L29" i="95"/>
  <c r="J29" i="95"/>
  <c r="B29" i="95"/>
  <c r="X28" i="95"/>
  <c r="Z28" i="95" s="1"/>
  <c r="V28" i="95"/>
  <c r="R28" i="95"/>
  <c r="L28" i="95"/>
  <c r="N28" i="95" s="1"/>
  <c r="J28" i="95"/>
  <c r="B28" i="95"/>
  <c r="X27" i="95"/>
  <c r="Z27" i="95" s="1"/>
  <c r="V27" i="95"/>
  <c r="L27" i="95"/>
  <c r="N27" i="95" s="1"/>
  <c r="J27" i="95"/>
  <c r="B27" i="95"/>
  <c r="T26" i="95"/>
  <c r="P26" i="95"/>
  <c r="J26" i="95"/>
  <c r="H26" i="95"/>
  <c r="D26" i="95"/>
  <c r="L26" i="95" s="1"/>
  <c r="B26" i="95"/>
  <c r="T25" i="95"/>
  <c r="R25" i="95"/>
  <c r="P25" i="95"/>
  <c r="J25" i="95"/>
  <c r="H25" i="95"/>
  <c r="D25" i="95"/>
  <c r="L25" i="95" s="1"/>
  <c r="Z21" i="95"/>
  <c r="X21" i="95"/>
  <c r="V21" i="95"/>
  <c r="N21" i="95"/>
  <c r="L21" i="95"/>
  <c r="J21" i="95"/>
  <c r="B21" i="95"/>
  <c r="Z20" i="95"/>
  <c r="X20" i="95"/>
  <c r="V20" i="95"/>
  <c r="R20" i="95"/>
  <c r="N20" i="95"/>
  <c r="L20" i="95"/>
  <c r="J20" i="95"/>
  <c r="B20" i="95"/>
  <c r="Z19" i="95"/>
  <c r="X19" i="95"/>
  <c r="V19" i="95"/>
  <c r="N19" i="95"/>
  <c r="L19" i="95"/>
  <c r="J19" i="95"/>
  <c r="B19" i="95"/>
  <c r="Z18" i="95"/>
  <c r="T18" i="95"/>
  <c r="P18" i="95"/>
  <c r="X18" i="95" s="1"/>
  <c r="H18" i="95"/>
  <c r="D18" i="95"/>
  <c r="L18" i="95" s="1"/>
  <c r="Z16" i="95"/>
  <c r="X16" i="95"/>
  <c r="P16" i="95"/>
  <c r="N16" i="95"/>
  <c r="D16" i="95"/>
  <c r="L16" i="95" s="1"/>
  <c r="B16" i="95"/>
  <c r="P15" i="95"/>
  <c r="X15" i="95" s="1"/>
  <c r="Z15" i="95" s="1"/>
  <c r="L15" i="95"/>
  <c r="N15" i="95" s="1"/>
  <c r="D15" i="95"/>
  <c r="B15" i="95"/>
  <c r="Z14" i="95"/>
  <c r="X14" i="95"/>
  <c r="P14" i="95"/>
  <c r="N14" i="95"/>
  <c r="D14" i="95"/>
  <c r="L14" i="95" s="1"/>
  <c r="B14" i="95"/>
  <c r="P13" i="95"/>
  <c r="X13" i="95" s="1"/>
  <c r="Z13" i="95" s="1"/>
  <c r="N13" i="95"/>
  <c r="L13" i="95"/>
  <c r="D13" i="95"/>
  <c r="B13" i="95"/>
  <c r="T12" i="95"/>
  <c r="V55" i="95" s="1"/>
  <c r="P12" i="95"/>
  <c r="R58" i="95" s="1"/>
  <c r="H12" i="95"/>
  <c r="D6" i="95"/>
  <c r="D4" i="95"/>
  <c r="X81" i="94"/>
  <c r="Z81" i="94" s="1"/>
  <c r="L81" i="94"/>
  <c r="N81" i="94" s="1"/>
  <c r="Z77" i="94"/>
  <c r="X77" i="94"/>
  <c r="P77" i="94"/>
  <c r="N77" i="94"/>
  <c r="D77" i="94"/>
  <c r="L77" i="94" s="1"/>
  <c r="B77" i="94"/>
  <c r="Z76" i="94"/>
  <c r="T76" i="94"/>
  <c r="V76" i="94" s="1"/>
  <c r="P76" i="94"/>
  <c r="N76" i="94"/>
  <c r="H76" i="94"/>
  <c r="Z74" i="94"/>
  <c r="X74" i="94"/>
  <c r="V74" i="94"/>
  <c r="N74" i="94"/>
  <c r="L74" i="94"/>
  <c r="B74" i="94"/>
  <c r="V73" i="94"/>
  <c r="T73" i="94"/>
  <c r="P73" i="94"/>
  <c r="X73" i="94" s="1"/>
  <c r="N73" i="94"/>
  <c r="L73" i="94"/>
  <c r="H73" i="94"/>
  <c r="D73" i="94"/>
  <c r="B73" i="94"/>
  <c r="X72" i="94"/>
  <c r="Z72" i="94" s="1"/>
  <c r="N72" i="94"/>
  <c r="L72" i="94"/>
  <c r="B72" i="94"/>
  <c r="Z71" i="94"/>
  <c r="X71" i="94"/>
  <c r="N71" i="94"/>
  <c r="L71" i="94"/>
  <c r="B71" i="94"/>
  <c r="Z70" i="94"/>
  <c r="T70" i="94"/>
  <c r="V70" i="94" s="1"/>
  <c r="P70" i="94"/>
  <c r="X70" i="94" s="1"/>
  <c r="H70" i="94"/>
  <c r="D70" i="94"/>
  <c r="L70" i="94" s="1"/>
  <c r="N70" i="94" s="1"/>
  <c r="B70" i="94"/>
  <c r="Z69" i="94"/>
  <c r="X69" i="94"/>
  <c r="V69" i="94"/>
  <c r="N69" i="94"/>
  <c r="L69" i="94"/>
  <c r="B69" i="94"/>
  <c r="X68" i="94"/>
  <c r="Z68" i="94" s="1"/>
  <c r="N68" i="94"/>
  <c r="L68" i="94"/>
  <c r="B68" i="94"/>
  <c r="X67" i="94"/>
  <c r="Z67" i="94" s="1"/>
  <c r="N67" i="94"/>
  <c r="L67" i="94"/>
  <c r="B67" i="94"/>
  <c r="Z66" i="94"/>
  <c r="X66" i="94"/>
  <c r="V66" i="94"/>
  <c r="N66" i="94"/>
  <c r="L66" i="94"/>
  <c r="B66" i="94"/>
  <c r="X65" i="94"/>
  <c r="Z65" i="94" s="1"/>
  <c r="N65" i="94"/>
  <c r="L65" i="94"/>
  <c r="F65" i="94"/>
  <c r="B65" i="94"/>
  <c r="X64" i="94"/>
  <c r="Z64" i="94" s="1"/>
  <c r="V64" i="94"/>
  <c r="N64" i="94"/>
  <c r="L64" i="94"/>
  <c r="B64" i="94"/>
  <c r="X63" i="94"/>
  <c r="T63" i="94"/>
  <c r="P63" i="94"/>
  <c r="H63" i="94"/>
  <c r="D63" i="94"/>
  <c r="L63" i="94" s="1"/>
  <c r="B63" i="94"/>
  <c r="Z62" i="94"/>
  <c r="X62" i="94"/>
  <c r="V62" i="94"/>
  <c r="N62" i="94"/>
  <c r="L62" i="94"/>
  <c r="B62" i="94"/>
  <c r="T61" i="94"/>
  <c r="P61" i="94"/>
  <c r="H61" i="94"/>
  <c r="D61" i="94"/>
  <c r="B61" i="94"/>
  <c r="Z60" i="94"/>
  <c r="X60" i="94"/>
  <c r="N60" i="94"/>
  <c r="L60" i="94"/>
  <c r="B60" i="94"/>
  <c r="Z59" i="94"/>
  <c r="X59" i="94"/>
  <c r="N59" i="94"/>
  <c r="L59" i="94"/>
  <c r="B59" i="94"/>
  <c r="Z58" i="94"/>
  <c r="X58" i="94"/>
  <c r="V58" i="94"/>
  <c r="N58" i="94"/>
  <c r="L58" i="94"/>
  <c r="B58" i="94"/>
  <c r="X57" i="94"/>
  <c r="T57" i="94"/>
  <c r="Z57" i="94" s="1"/>
  <c r="P57" i="94"/>
  <c r="N57" i="94"/>
  <c r="J57" i="94"/>
  <c r="H57" i="94"/>
  <c r="L57" i="94" s="1"/>
  <c r="D57" i="94"/>
  <c r="B57" i="94"/>
  <c r="Z56" i="94"/>
  <c r="X56" i="94"/>
  <c r="N56" i="94"/>
  <c r="L56" i="94"/>
  <c r="B56" i="94"/>
  <c r="Z55" i="94"/>
  <c r="X55" i="94"/>
  <c r="T55" i="94"/>
  <c r="P55" i="94"/>
  <c r="H55" i="94"/>
  <c r="N55" i="94" s="1"/>
  <c r="D55" i="94"/>
  <c r="L55" i="94" s="1"/>
  <c r="B55" i="94"/>
  <c r="Z54" i="94"/>
  <c r="X54" i="94"/>
  <c r="V54" i="94"/>
  <c r="N54" i="94"/>
  <c r="L54" i="94"/>
  <c r="B54" i="94"/>
  <c r="X53" i="94"/>
  <c r="T53" i="94"/>
  <c r="P53" i="94"/>
  <c r="N53" i="94"/>
  <c r="H53" i="94"/>
  <c r="D53" i="94"/>
  <c r="L53" i="94" s="1"/>
  <c r="B53" i="94"/>
  <c r="Z52" i="94"/>
  <c r="X52" i="94"/>
  <c r="V52" i="94"/>
  <c r="L52" i="94"/>
  <c r="N52" i="94" s="1"/>
  <c r="J52" i="94"/>
  <c r="B52" i="94"/>
  <c r="T51" i="94"/>
  <c r="P51" i="94"/>
  <c r="X51" i="94" s="1"/>
  <c r="H51" i="94"/>
  <c r="D51" i="94"/>
  <c r="L51" i="94" s="1"/>
  <c r="B51" i="94"/>
  <c r="Z50" i="94"/>
  <c r="X50" i="94"/>
  <c r="N50" i="94"/>
  <c r="L50" i="94"/>
  <c r="B50" i="94"/>
  <c r="V49" i="94"/>
  <c r="T49" i="94"/>
  <c r="P49" i="94"/>
  <c r="H49" i="94"/>
  <c r="D49" i="94"/>
  <c r="B49" i="94"/>
  <c r="Z48" i="94"/>
  <c r="X48" i="94"/>
  <c r="V48" i="94"/>
  <c r="N48" i="94"/>
  <c r="L48" i="94"/>
  <c r="B48" i="94"/>
  <c r="T47" i="94"/>
  <c r="P47" i="94"/>
  <c r="X47" i="94" s="1"/>
  <c r="Z47" i="94" s="1"/>
  <c r="L47" i="94"/>
  <c r="H47" i="94"/>
  <c r="D47" i="94"/>
  <c r="B47" i="94"/>
  <c r="Z46" i="94"/>
  <c r="X46" i="94"/>
  <c r="N46" i="94"/>
  <c r="L46" i="94"/>
  <c r="B46" i="94"/>
  <c r="Z45" i="94"/>
  <c r="X45" i="94"/>
  <c r="N45" i="94"/>
  <c r="L45" i="94"/>
  <c r="B45" i="94"/>
  <c r="X44" i="94"/>
  <c r="Z44" i="94" s="1"/>
  <c r="V44" i="94"/>
  <c r="N44" i="94"/>
  <c r="L44" i="94"/>
  <c r="B44" i="94"/>
  <c r="Z43" i="94"/>
  <c r="X43" i="94"/>
  <c r="V43" i="94"/>
  <c r="N43" i="94"/>
  <c r="L43" i="94"/>
  <c r="B43" i="94"/>
  <c r="Z42" i="94"/>
  <c r="X42" i="94"/>
  <c r="N42" i="94"/>
  <c r="L42" i="94"/>
  <c r="B42" i="94"/>
  <c r="X41" i="94"/>
  <c r="Z41" i="94" s="1"/>
  <c r="V41" i="94"/>
  <c r="L41" i="94"/>
  <c r="N41" i="94" s="1"/>
  <c r="B41" i="94"/>
  <c r="Z40" i="94"/>
  <c r="X40" i="94"/>
  <c r="V40" i="94"/>
  <c r="L40" i="94"/>
  <c r="N40" i="94" s="1"/>
  <c r="B40" i="94"/>
  <c r="Z39" i="94"/>
  <c r="X39" i="94"/>
  <c r="N39" i="94"/>
  <c r="L39" i="94"/>
  <c r="B39" i="94"/>
  <c r="Z38" i="94"/>
  <c r="X38" i="94"/>
  <c r="V38" i="94"/>
  <c r="N38" i="94"/>
  <c r="L38" i="94"/>
  <c r="B38" i="94"/>
  <c r="Z37" i="94"/>
  <c r="X37" i="94"/>
  <c r="V37" i="94"/>
  <c r="N37" i="94"/>
  <c r="L37" i="94"/>
  <c r="J37" i="94"/>
  <c r="B37" i="94"/>
  <c r="V36" i="94"/>
  <c r="T36" i="94"/>
  <c r="P36" i="94"/>
  <c r="X36" i="94" s="1"/>
  <c r="Z36" i="94" s="1"/>
  <c r="H36" i="94"/>
  <c r="F36" i="94"/>
  <c r="D36" i="94"/>
  <c r="B36" i="94"/>
  <c r="Z35" i="94"/>
  <c r="X35" i="94"/>
  <c r="N35" i="94"/>
  <c r="L35" i="94"/>
  <c r="B35" i="94"/>
  <c r="Z34" i="94"/>
  <c r="X34" i="94"/>
  <c r="V34" i="94"/>
  <c r="N34" i="94"/>
  <c r="L34" i="94"/>
  <c r="B34" i="94"/>
  <c r="X33" i="94"/>
  <c r="Z33" i="94" s="1"/>
  <c r="V33" i="94"/>
  <c r="L33" i="94"/>
  <c r="N33" i="94" s="1"/>
  <c r="B33" i="94"/>
  <c r="Z32" i="94"/>
  <c r="X32" i="94"/>
  <c r="V32" i="94"/>
  <c r="N32" i="94"/>
  <c r="L32" i="94"/>
  <c r="B32" i="94"/>
  <c r="Z31" i="94"/>
  <c r="X31" i="94"/>
  <c r="V31" i="94"/>
  <c r="L31" i="94"/>
  <c r="N31" i="94" s="1"/>
  <c r="J31" i="94"/>
  <c r="B31" i="94"/>
  <c r="X30" i="94"/>
  <c r="Z30" i="94" s="1"/>
  <c r="V30" i="94"/>
  <c r="L30" i="94"/>
  <c r="N30" i="94" s="1"/>
  <c r="B30" i="94"/>
  <c r="Z29" i="94"/>
  <c r="X29" i="94"/>
  <c r="V29" i="94"/>
  <c r="L29" i="94"/>
  <c r="N29" i="94" s="1"/>
  <c r="J29" i="94"/>
  <c r="F29" i="94"/>
  <c r="B29" i="94"/>
  <c r="X28" i="94"/>
  <c r="Z28" i="94" s="1"/>
  <c r="V28" i="94"/>
  <c r="L28" i="94"/>
  <c r="N28" i="94" s="1"/>
  <c r="B28" i="94"/>
  <c r="Z27" i="94"/>
  <c r="X27" i="94"/>
  <c r="V27" i="94"/>
  <c r="L27" i="94"/>
  <c r="N27" i="94" s="1"/>
  <c r="J27" i="94"/>
  <c r="B27" i="94"/>
  <c r="T26" i="94"/>
  <c r="P26" i="94"/>
  <c r="X26" i="94" s="1"/>
  <c r="H26" i="94"/>
  <c r="D26" i="94"/>
  <c r="B26" i="94"/>
  <c r="X25" i="94"/>
  <c r="Z25" i="94" s="1"/>
  <c r="T25" i="94"/>
  <c r="V25" i="94" s="1"/>
  <c r="P25" i="94"/>
  <c r="L25" i="94"/>
  <c r="N25" i="94" s="1"/>
  <c r="J25" i="94"/>
  <c r="H25" i="94"/>
  <c r="D25" i="94"/>
  <c r="T23" i="94"/>
  <c r="Z21" i="94"/>
  <c r="X21" i="94"/>
  <c r="V21" i="94"/>
  <c r="N21" i="94"/>
  <c r="L21" i="94"/>
  <c r="B21" i="94"/>
  <c r="Z20" i="94"/>
  <c r="X20" i="94"/>
  <c r="V20" i="94"/>
  <c r="N20" i="94"/>
  <c r="L20" i="94"/>
  <c r="J20" i="94"/>
  <c r="B20" i="94"/>
  <c r="X19" i="94"/>
  <c r="Z19" i="94" s="1"/>
  <c r="V19" i="94"/>
  <c r="L19" i="94"/>
  <c r="N19" i="94" s="1"/>
  <c r="J19" i="94"/>
  <c r="B19" i="94"/>
  <c r="X18" i="94"/>
  <c r="Z18" i="94" s="1"/>
  <c r="T18" i="94"/>
  <c r="P18" i="94"/>
  <c r="H18" i="94"/>
  <c r="D18" i="94"/>
  <c r="Z16" i="94"/>
  <c r="X16" i="94"/>
  <c r="P16" i="94"/>
  <c r="N16" i="94"/>
  <c r="D16" i="94"/>
  <c r="L16" i="94" s="1"/>
  <c r="B16" i="94"/>
  <c r="P15" i="94"/>
  <c r="X15" i="94" s="1"/>
  <c r="Z15" i="94" s="1"/>
  <c r="L15" i="94"/>
  <c r="N15" i="94" s="1"/>
  <c r="D15" i="94"/>
  <c r="B15" i="94"/>
  <c r="Z14" i="94"/>
  <c r="P14" i="94"/>
  <c r="X14" i="94" s="1"/>
  <c r="N14" i="94"/>
  <c r="D14" i="94"/>
  <c r="L14" i="94" s="1"/>
  <c r="B14" i="94"/>
  <c r="P13" i="94"/>
  <c r="L13" i="94"/>
  <c r="N13" i="94" s="1"/>
  <c r="D13" i="94"/>
  <c r="B13" i="94"/>
  <c r="T12" i="94"/>
  <c r="V65" i="94" s="1"/>
  <c r="H12" i="94"/>
  <c r="J72" i="94" s="1"/>
  <c r="D12" i="94"/>
  <c r="F37" i="94" s="1"/>
  <c r="D6" i="94"/>
  <c r="D4" i="94"/>
  <c r="X85" i="93"/>
  <c r="Z85" i="93" s="1"/>
  <c r="L85" i="93"/>
  <c r="N85" i="93" s="1"/>
  <c r="V81" i="93"/>
  <c r="T81" i="93"/>
  <c r="P81" i="93"/>
  <c r="N81" i="93"/>
  <c r="L81" i="93"/>
  <c r="H81" i="93"/>
  <c r="D81" i="93"/>
  <c r="Z79" i="93"/>
  <c r="X79" i="93"/>
  <c r="N79" i="93"/>
  <c r="L79" i="93"/>
  <c r="B79" i="93"/>
  <c r="T78" i="93"/>
  <c r="P78" i="93"/>
  <c r="H78" i="93"/>
  <c r="N78" i="93" s="1"/>
  <c r="D78" i="93"/>
  <c r="B78" i="93"/>
  <c r="X77" i="93"/>
  <c r="Z77" i="93" s="1"/>
  <c r="L77" i="93"/>
  <c r="N77" i="93" s="1"/>
  <c r="B77" i="93"/>
  <c r="Z76" i="93"/>
  <c r="T76" i="93"/>
  <c r="P76" i="93"/>
  <c r="X76" i="93" s="1"/>
  <c r="L76" i="93"/>
  <c r="N76" i="93" s="1"/>
  <c r="J76" i="93"/>
  <c r="H76" i="93"/>
  <c r="D76" i="93"/>
  <c r="B76" i="93"/>
  <c r="X75" i="93"/>
  <c r="Z75" i="93" s="1"/>
  <c r="N75" i="93"/>
  <c r="L75" i="93"/>
  <c r="B75" i="93"/>
  <c r="X74" i="93"/>
  <c r="Z74" i="93" s="1"/>
  <c r="V74" i="93"/>
  <c r="L74" i="93"/>
  <c r="N74" i="93" s="1"/>
  <c r="B74" i="93"/>
  <c r="X73" i="93"/>
  <c r="Z73" i="93" s="1"/>
  <c r="L73" i="93"/>
  <c r="N73" i="93" s="1"/>
  <c r="B73" i="93"/>
  <c r="X72" i="93"/>
  <c r="Z72" i="93" s="1"/>
  <c r="V72" i="93"/>
  <c r="N72" i="93"/>
  <c r="L72" i="93"/>
  <c r="B72" i="93"/>
  <c r="X71" i="93"/>
  <c r="Z71" i="93" s="1"/>
  <c r="N71" i="93"/>
  <c r="L71" i="93"/>
  <c r="B71" i="93"/>
  <c r="X70" i="93"/>
  <c r="Z70" i="93" s="1"/>
  <c r="L70" i="93"/>
  <c r="N70" i="93" s="1"/>
  <c r="B70" i="93"/>
  <c r="T69" i="93"/>
  <c r="P69" i="93"/>
  <c r="X69" i="93" s="1"/>
  <c r="Z69" i="93" s="1"/>
  <c r="H69" i="93"/>
  <c r="D69" i="93"/>
  <c r="B69" i="93"/>
  <c r="Z68" i="93"/>
  <c r="X68" i="93"/>
  <c r="N68" i="93"/>
  <c r="L68" i="93"/>
  <c r="B68" i="93"/>
  <c r="X67" i="93"/>
  <c r="Z67" i="93" s="1"/>
  <c r="V67" i="93"/>
  <c r="N67" i="93"/>
  <c r="L67" i="93"/>
  <c r="B67" i="93"/>
  <c r="X66" i="93"/>
  <c r="Z66" i="93" s="1"/>
  <c r="L66" i="93"/>
  <c r="N66" i="93" s="1"/>
  <c r="J66" i="93"/>
  <c r="B66" i="93"/>
  <c r="Z65" i="93"/>
  <c r="X65" i="93"/>
  <c r="T65" i="93"/>
  <c r="P65" i="93"/>
  <c r="H65" i="93"/>
  <c r="L65" i="93" s="1"/>
  <c r="N65" i="93" s="1"/>
  <c r="D65" i="93"/>
  <c r="B65" i="93"/>
  <c r="Z64" i="93"/>
  <c r="X64" i="93"/>
  <c r="N64" i="93"/>
  <c r="L64" i="93"/>
  <c r="B64" i="93"/>
  <c r="T63" i="93"/>
  <c r="P63" i="93"/>
  <c r="H63" i="93"/>
  <c r="N63" i="93" s="1"/>
  <c r="D63" i="93"/>
  <c r="B63" i="93"/>
  <c r="X62" i="93"/>
  <c r="Z62" i="93" s="1"/>
  <c r="N62" i="93"/>
  <c r="L62" i="93"/>
  <c r="B62" i="93"/>
  <c r="Z61" i="93"/>
  <c r="X61" i="93"/>
  <c r="N61" i="93"/>
  <c r="L61" i="93"/>
  <c r="B61" i="93"/>
  <c r="X60" i="93"/>
  <c r="T60" i="93"/>
  <c r="Z60" i="93" s="1"/>
  <c r="P60" i="93"/>
  <c r="L60" i="93"/>
  <c r="N60" i="93" s="1"/>
  <c r="J60" i="93"/>
  <c r="H60" i="93"/>
  <c r="D60" i="93"/>
  <c r="B60" i="93"/>
  <c r="X59" i="93"/>
  <c r="Z59" i="93" s="1"/>
  <c r="L59" i="93"/>
  <c r="N59" i="93" s="1"/>
  <c r="B59" i="93"/>
  <c r="T58" i="93"/>
  <c r="Z58" i="93" s="1"/>
  <c r="P58" i="93"/>
  <c r="X58" i="93" s="1"/>
  <c r="H58" i="93"/>
  <c r="L58" i="93" s="1"/>
  <c r="D58" i="93"/>
  <c r="B58" i="93"/>
  <c r="Z57" i="93"/>
  <c r="X57" i="93"/>
  <c r="N57" i="93"/>
  <c r="L57" i="93"/>
  <c r="B57" i="93"/>
  <c r="T56" i="93"/>
  <c r="P56" i="93"/>
  <c r="X56" i="93" s="1"/>
  <c r="N56" i="93"/>
  <c r="H56" i="93"/>
  <c r="D56" i="93"/>
  <c r="L56" i="93" s="1"/>
  <c r="B56" i="93"/>
  <c r="X55" i="93"/>
  <c r="Z55" i="93" s="1"/>
  <c r="L55" i="93"/>
  <c r="N55" i="93" s="1"/>
  <c r="J55" i="93"/>
  <c r="B55" i="93"/>
  <c r="X54" i="93"/>
  <c r="Z54" i="93" s="1"/>
  <c r="N54" i="93"/>
  <c r="L54" i="93"/>
  <c r="B54" i="93"/>
  <c r="X53" i="93"/>
  <c r="Z53" i="93" s="1"/>
  <c r="L53" i="93"/>
  <c r="N53" i="93" s="1"/>
  <c r="B53" i="93"/>
  <c r="X52" i="93"/>
  <c r="T52" i="93"/>
  <c r="Z52" i="93" s="1"/>
  <c r="P52" i="93"/>
  <c r="L52" i="93"/>
  <c r="N52" i="93" s="1"/>
  <c r="H52" i="93"/>
  <c r="D52" i="93"/>
  <c r="B52" i="93"/>
  <c r="X51" i="93"/>
  <c r="Z51" i="93" s="1"/>
  <c r="L51" i="93"/>
  <c r="N51" i="93" s="1"/>
  <c r="B51" i="93"/>
  <c r="X50" i="93"/>
  <c r="Z50" i="93" s="1"/>
  <c r="T50" i="93"/>
  <c r="P50" i="93"/>
  <c r="H50" i="93"/>
  <c r="D50" i="93"/>
  <c r="B50" i="93"/>
  <c r="X49" i="93"/>
  <c r="Z49" i="93" s="1"/>
  <c r="V49" i="93"/>
  <c r="N49" i="93"/>
  <c r="L49" i="93"/>
  <c r="B49" i="93"/>
  <c r="V48" i="93"/>
  <c r="T48" i="93"/>
  <c r="Z48" i="93" s="1"/>
  <c r="P48" i="93"/>
  <c r="X48" i="93" s="1"/>
  <c r="L48" i="93"/>
  <c r="N48" i="93" s="1"/>
  <c r="H48" i="93"/>
  <c r="D48" i="93"/>
  <c r="B48" i="93"/>
  <c r="X47" i="93"/>
  <c r="Z47" i="93" s="1"/>
  <c r="N47" i="93"/>
  <c r="L47" i="93"/>
  <c r="B47" i="93"/>
  <c r="T46" i="93"/>
  <c r="P46" i="93"/>
  <c r="X46" i="93" s="1"/>
  <c r="Z46" i="93" s="1"/>
  <c r="L46" i="93"/>
  <c r="H46" i="93"/>
  <c r="N46" i="93" s="1"/>
  <c r="D46" i="93"/>
  <c r="B46" i="93"/>
  <c r="Z45" i="93"/>
  <c r="X45" i="93"/>
  <c r="N45" i="93"/>
  <c r="L45" i="93"/>
  <c r="B45" i="93"/>
  <c r="Z44" i="93"/>
  <c r="X44" i="93"/>
  <c r="N44" i="93"/>
  <c r="L44" i="93"/>
  <c r="B44" i="93"/>
  <c r="Z43" i="93"/>
  <c r="X43" i="93"/>
  <c r="V43" i="93"/>
  <c r="N43" i="93"/>
  <c r="L43" i="93"/>
  <c r="B43" i="93"/>
  <c r="Z42" i="93"/>
  <c r="X42" i="93"/>
  <c r="N42" i="93"/>
  <c r="L42" i="93"/>
  <c r="B42" i="93"/>
  <c r="Z41" i="93"/>
  <c r="X41" i="93"/>
  <c r="N41" i="93"/>
  <c r="L41" i="93"/>
  <c r="B41" i="93"/>
  <c r="Z40" i="93"/>
  <c r="X40" i="93"/>
  <c r="N40" i="93"/>
  <c r="L40" i="93"/>
  <c r="B40" i="93"/>
  <c r="X39" i="93"/>
  <c r="Z39" i="93" s="1"/>
  <c r="L39" i="93"/>
  <c r="N39" i="93" s="1"/>
  <c r="B39" i="93"/>
  <c r="Z38" i="93"/>
  <c r="X38" i="93"/>
  <c r="V38" i="93"/>
  <c r="N38" i="93"/>
  <c r="L38" i="93"/>
  <c r="B38" i="93"/>
  <c r="X37" i="93"/>
  <c r="Z37" i="93" s="1"/>
  <c r="N37" i="93"/>
  <c r="L37" i="93"/>
  <c r="B37" i="93"/>
  <c r="Z36" i="93"/>
  <c r="X36" i="93"/>
  <c r="N36" i="93"/>
  <c r="L36" i="93"/>
  <c r="B36" i="93"/>
  <c r="X35" i="93"/>
  <c r="Z35" i="93" s="1"/>
  <c r="V35" i="93"/>
  <c r="T35" i="93"/>
  <c r="P35" i="93"/>
  <c r="L35" i="93"/>
  <c r="N35" i="93" s="1"/>
  <c r="H35" i="93"/>
  <c r="D35" i="93"/>
  <c r="B35" i="93"/>
  <c r="Z34" i="93"/>
  <c r="X34" i="93"/>
  <c r="V34" i="93"/>
  <c r="N34" i="93"/>
  <c r="L34" i="93"/>
  <c r="B34" i="93"/>
  <c r="Z33" i="93"/>
  <c r="X33" i="93"/>
  <c r="V33" i="93"/>
  <c r="N33" i="93"/>
  <c r="L33" i="93"/>
  <c r="B33" i="93"/>
  <c r="Z32" i="93"/>
  <c r="X32" i="93"/>
  <c r="V32" i="93"/>
  <c r="N32" i="93"/>
  <c r="L32" i="93"/>
  <c r="B32" i="93"/>
  <c r="Z31" i="93"/>
  <c r="X31" i="93"/>
  <c r="V31" i="93"/>
  <c r="N31" i="93"/>
  <c r="L31" i="93"/>
  <c r="B31" i="93"/>
  <c r="Z30" i="93"/>
  <c r="X30" i="93"/>
  <c r="L30" i="93"/>
  <c r="N30" i="93" s="1"/>
  <c r="J30" i="93"/>
  <c r="B30" i="93"/>
  <c r="X29" i="93"/>
  <c r="Z29" i="93" s="1"/>
  <c r="L29" i="93"/>
  <c r="N29" i="93" s="1"/>
  <c r="B29" i="93"/>
  <c r="Z28" i="93"/>
  <c r="X28" i="93"/>
  <c r="V28" i="93"/>
  <c r="L28" i="93"/>
  <c r="N28" i="93" s="1"/>
  <c r="B28" i="93"/>
  <c r="X27" i="93"/>
  <c r="Z27" i="93" s="1"/>
  <c r="L27" i="93"/>
  <c r="N27" i="93" s="1"/>
  <c r="B27" i="93"/>
  <c r="X26" i="93"/>
  <c r="Z26" i="93" s="1"/>
  <c r="N26" i="93"/>
  <c r="L26" i="93"/>
  <c r="B26" i="93"/>
  <c r="T25" i="93"/>
  <c r="P25" i="93"/>
  <c r="H25" i="93"/>
  <c r="D25" i="93"/>
  <c r="B25" i="93"/>
  <c r="T24" i="93"/>
  <c r="P24" i="93"/>
  <c r="J24" i="93"/>
  <c r="H24" i="93"/>
  <c r="D24" i="93"/>
  <c r="L24" i="93" s="1"/>
  <c r="N24" i="93" s="1"/>
  <c r="T22" i="93"/>
  <c r="Z20" i="93"/>
  <c r="X20" i="93"/>
  <c r="N20" i="93"/>
  <c r="L20" i="93"/>
  <c r="B20" i="93"/>
  <c r="X19" i="93"/>
  <c r="Z19" i="93" s="1"/>
  <c r="L19" i="93"/>
  <c r="N19" i="93" s="1"/>
  <c r="J19" i="93"/>
  <c r="B19" i="93"/>
  <c r="V18" i="93"/>
  <c r="T18" i="93"/>
  <c r="P18" i="93"/>
  <c r="X18" i="93" s="1"/>
  <c r="Z18" i="93" s="1"/>
  <c r="H18" i="93"/>
  <c r="D18" i="93"/>
  <c r="Z16" i="93"/>
  <c r="P16" i="93"/>
  <c r="X16" i="93" s="1"/>
  <c r="N16" i="93"/>
  <c r="L16" i="93"/>
  <c r="D16" i="93"/>
  <c r="B16" i="93"/>
  <c r="P15" i="93"/>
  <c r="X15" i="93" s="1"/>
  <c r="Z15" i="93" s="1"/>
  <c r="N15" i="93"/>
  <c r="D15" i="93"/>
  <c r="L15" i="93" s="1"/>
  <c r="B15" i="93"/>
  <c r="Z14" i="93"/>
  <c r="P14" i="93"/>
  <c r="X14" i="93" s="1"/>
  <c r="N14" i="93"/>
  <c r="L14" i="93"/>
  <c r="D14" i="93"/>
  <c r="B14" i="93"/>
  <c r="X13" i="93"/>
  <c r="Z13" i="93" s="1"/>
  <c r="P13" i="93"/>
  <c r="D13" i="93"/>
  <c r="B13" i="93"/>
  <c r="T12" i="93"/>
  <c r="V85" i="93" s="1"/>
  <c r="H12" i="93"/>
  <c r="J79" i="93" s="1"/>
  <c r="D6" i="93"/>
  <c r="D4" i="93"/>
  <c r="V100" i="92"/>
  <c r="J100" i="92"/>
  <c r="V97" i="92"/>
  <c r="J97" i="92"/>
  <c r="Z95" i="92"/>
  <c r="X95" i="92"/>
  <c r="V95" i="92"/>
  <c r="N95" i="92"/>
  <c r="L95" i="92"/>
  <c r="F95" i="92"/>
  <c r="V93" i="92"/>
  <c r="Z91" i="92"/>
  <c r="V91" i="92"/>
  <c r="P91" i="92"/>
  <c r="N91" i="92"/>
  <c r="L91" i="92"/>
  <c r="D91" i="92"/>
  <c r="B91" i="92"/>
  <c r="X90" i="92"/>
  <c r="Z90" i="92" s="1"/>
  <c r="P90" i="92"/>
  <c r="N90" i="92"/>
  <c r="J90" i="92"/>
  <c r="D90" i="92"/>
  <c r="L90" i="92" s="1"/>
  <c r="B90" i="92"/>
  <c r="V89" i="92"/>
  <c r="T89" i="92"/>
  <c r="J89" i="92"/>
  <c r="H89" i="92"/>
  <c r="X87" i="92"/>
  <c r="Z87" i="92" s="1"/>
  <c r="V87" i="92"/>
  <c r="N87" i="92"/>
  <c r="L87" i="92"/>
  <c r="J87" i="92"/>
  <c r="B87" i="92"/>
  <c r="T86" i="92"/>
  <c r="P86" i="92"/>
  <c r="X86" i="92" s="1"/>
  <c r="Z86" i="92" s="1"/>
  <c r="H86" i="92"/>
  <c r="D86" i="92"/>
  <c r="L86" i="92" s="1"/>
  <c r="B86" i="92"/>
  <c r="Z85" i="92"/>
  <c r="X85" i="92"/>
  <c r="R85" i="92"/>
  <c r="N85" i="92"/>
  <c r="L85" i="92"/>
  <c r="B85" i="92"/>
  <c r="Z84" i="92"/>
  <c r="X84" i="92"/>
  <c r="N84" i="92"/>
  <c r="L84" i="92"/>
  <c r="J84" i="92"/>
  <c r="F84" i="92"/>
  <c r="B84" i="92"/>
  <c r="Z83" i="92"/>
  <c r="X83" i="92"/>
  <c r="V83" i="92"/>
  <c r="N83" i="92"/>
  <c r="L83" i="92"/>
  <c r="B83" i="92"/>
  <c r="T82" i="92"/>
  <c r="P82" i="92"/>
  <c r="X82" i="92" s="1"/>
  <c r="Z82" i="92" s="1"/>
  <c r="L82" i="92"/>
  <c r="H82" i="92"/>
  <c r="N82" i="92" s="1"/>
  <c r="D82" i="92"/>
  <c r="B82" i="92"/>
  <c r="Z81" i="92"/>
  <c r="X81" i="92"/>
  <c r="V81" i="92"/>
  <c r="N81" i="92"/>
  <c r="L81" i="92"/>
  <c r="J81" i="92"/>
  <c r="B81" i="92"/>
  <c r="V80" i="92"/>
  <c r="T80" i="92"/>
  <c r="P80" i="92"/>
  <c r="X80" i="92" s="1"/>
  <c r="H80" i="92"/>
  <c r="D80" i="92"/>
  <c r="B80" i="92"/>
  <c r="X79" i="92"/>
  <c r="Z79" i="92" s="1"/>
  <c r="V79" i="92"/>
  <c r="N79" i="92"/>
  <c r="L79" i="92"/>
  <c r="J79" i="92"/>
  <c r="B79" i="92"/>
  <c r="T78" i="92"/>
  <c r="R78" i="92"/>
  <c r="P78" i="92"/>
  <c r="X78" i="92" s="1"/>
  <c r="Z78" i="92" s="1"/>
  <c r="H78" i="92"/>
  <c r="D78" i="92"/>
  <c r="B78" i="92"/>
  <c r="Z77" i="92"/>
  <c r="X77" i="92"/>
  <c r="N77" i="92"/>
  <c r="L77" i="92"/>
  <c r="B77" i="92"/>
  <c r="X76" i="92"/>
  <c r="Z76" i="92" s="1"/>
  <c r="N76" i="92"/>
  <c r="L76" i="92"/>
  <c r="J76" i="92"/>
  <c r="F76" i="92"/>
  <c r="B76" i="92"/>
  <c r="Z75" i="92"/>
  <c r="X75" i="92"/>
  <c r="V75" i="92"/>
  <c r="N75" i="92"/>
  <c r="L75" i="92"/>
  <c r="B75" i="92"/>
  <c r="X74" i="92"/>
  <c r="Z74" i="92" s="1"/>
  <c r="L74" i="92"/>
  <c r="N74" i="92" s="1"/>
  <c r="F74" i="92"/>
  <c r="B74" i="92"/>
  <c r="Z73" i="92"/>
  <c r="X73" i="92"/>
  <c r="N73" i="92"/>
  <c r="L73" i="92"/>
  <c r="B73" i="92"/>
  <c r="X72" i="92"/>
  <c r="Z72" i="92" s="1"/>
  <c r="L72" i="92"/>
  <c r="N72" i="92" s="1"/>
  <c r="J72" i="92"/>
  <c r="F72" i="92"/>
  <c r="B72" i="92"/>
  <c r="Z71" i="92"/>
  <c r="X71" i="92"/>
  <c r="V71" i="92"/>
  <c r="N71" i="92"/>
  <c r="L71" i="92"/>
  <c r="B71" i="92"/>
  <c r="T70" i="92"/>
  <c r="P70" i="92"/>
  <c r="X70" i="92" s="1"/>
  <c r="Z70" i="92" s="1"/>
  <c r="L70" i="92"/>
  <c r="H70" i="92"/>
  <c r="N70" i="92" s="1"/>
  <c r="D70" i="92"/>
  <c r="B70" i="92"/>
  <c r="Z69" i="92"/>
  <c r="X69" i="92"/>
  <c r="V69" i="92"/>
  <c r="N69" i="92"/>
  <c r="L69" i="92"/>
  <c r="J69" i="92"/>
  <c r="B69" i="92"/>
  <c r="X68" i="92"/>
  <c r="Z68" i="92" s="1"/>
  <c r="V68" i="92"/>
  <c r="R68" i="92"/>
  <c r="L68" i="92"/>
  <c r="N68" i="92" s="1"/>
  <c r="F68" i="92"/>
  <c r="B68" i="92"/>
  <c r="Z67" i="92"/>
  <c r="X67" i="92"/>
  <c r="V67" i="92"/>
  <c r="L67" i="92"/>
  <c r="N67" i="92" s="1"/>
  <c r="J67" i="92"/>
  <c r="B67" i="92"/>
  <c r="X66" i="92"/>
  <c r="Z66" i="92" s="1"/>
  <c r="L66" i="92"/>
  <c r="N66" i="92" s="1"/>
  <c r="B66" i="92"/>
  <c r="Z65" i="92"/>
  <c r="X65" i="92"/>
  <c r="V65" i="92"/>
  <c r="N65" i="92"/>
  <c r="L65" i="92"/>
  <c r="J65" i="92"/>
  <c r="B65" i="92"/>
  <c r="V64" i="92"/>
  <c r="T64" i="92"/>
  <c r="P64" i="92"/>
  <c r="L64" i="92"/>
  <c r="H64" i="92"/>
  <c r="D64" i="92"/>
  <c r="B64" i="92"/>
  <c r="X63" i="92"/>
  <c r="Z63" i="92" s="1"/>
  <c r="V63" i="92"/>
  <c r="N63" i="92"/>
  <c r="L63" i="92"/>
  <c r="J63" i="92"/>
  <c r="B63" i="92"/>
  <c r="X62" i="92"/>
  <c r="Z62" i="92" s="1"/>
  <c r="L62" i="92"/>
  <c r="N62" i="92" s="1"/>
  <c r="B62" i="92"/>
  <c r="Z61" i="92"/>
  <c r="X61" i="92"/>
  <c r="V61" i="92"/>
  <c r="N61" i="92"/>
  <c r="L61" i="92"/>
  <c r="F61" i="92"/>
  <c r="B61" i="92"/>
  <c r="V60" i="92"/>
  <c r="T60" i="92"/>
  <c r="P60" i="92"/>
  <c r="H60" i="92"/>
  <c r="F60" i="92"/>
  <c r="D60" i="92"/>
  <c r="L60" i="92" s="1"/>
  <c r="N60" i="92" s="1"/>
  <c r="B60" i="92"/>
  <c r="Z59" i="92"/>
  <c r="X59" i="92"/>
  <c r="V59" i="92"/>
  <c r="N59" i="92"/>
  <c r="L59" i="92"/>
  <c r="J59" i="92"/>
  <c r="B59" i="92"/>
  <c r="Z58" i="92"/>
  <c r="X58" i="92"/>
  <c r="T58" i="92"/>
  <c r="P58" i="92"/>
  <c r="L58" i="92"/>
  <c r="H58" i="92"/>
  <c r="N58" i="92" s="1"/>
  <c r="D58" i="92"/>
  <c r="B58" i="92"/>
  <c r="Z57" i="92"/>
  <c r="X57" i="92"/>
  <c r="V57" i="92"/>
  <c r="N57" i="92"/>
  <c r="L57" i="92"/>
  <c r="J57" i="92"/>
  <c r="B57" i="92"/>
  <c r="V56" i="92"/>
  <c r="T56" i="92"/>
  <c r="P56" i="92"/>
  <c r="H56" i="92"/>
  <c r="D56" i="92"/>
  <c r="B56" i="92"/>
  <c r="X55" i="92"/>
  <c r="Z55" i="92" s="1"/>
  <c r="V55" i="92"/>
  <c r="N55" i="92"/>
  <c r="L55" i="92"/>
  <c r="J55" i="92"/>
  <c r="B55" i="92"/>
  <c r="T54" i="92"/>
  <c r="Z54" i="92" s="1"/>
  <c r="P54" i="92"/>
  <c r="X54" i="92" s="1"/>
  <c r="H54" i="92"/>
  <c r="D54" i="92"/>
  <c r="L54" i="92" s="1"/>
  <c r="B54" i="92"/>
  <c r="Z53" i="92"/>
  <c r="X53" i="92"/>
  <c r="V53" i="92"/>
  <c r="R53" i="92"/>
  <c r="N53" i="92"/>
  <c r="L53" i="92"/>
  <c r="J53" i="92"/>
  <c r="B53" i="92"/>
  <c r="X52" i="92"/>
  <c r="V52" i="92"/>
  <c r="T52" i="92"/>
  <c r="Z52" i="92" s="1"/>
  <c r="P52" i="92"/>
  <c r="L52" i="92"/>
  <c r="N52" i="92" s="1"/>
  <c r="H52" i="92"/>
  <c r="D52" i="92"/>
  <c r="B52" i="92"/>
  <c r="Z51" i="92"/>
  <c r="X51" i="92"/>
  <c r="V51" i="92"/>
  <c r="L51" i="92"/>
  <c r="N51" i="92" s="1"/>
  <c r="J51" i="92"/>
  <c r="B51" i="92"/>
  <c r="T50" i="92"/>
  <c r="P50" i="92"/>
  <c r="J50" i="92"/>
  <c r="H50" i="92"/>
  <c r="D50" i="92"/>
  <c r="B50" i="92"/>
  <c r="Z49" i="92"/>
  <c r="X49" i="92"/>
  <c r="V49" i="92"/>
  <c r="N49" i="92"/>
  <c r="L49" i="92"/>
  <c r="F49" i="92"/>
  <c r="B49" i="92"/>
  <c r="V48" i="92"/>
  <c r="T48" i="92"/>
  <c r="P48" i="92"/>
  <c r="L48" i="92"/>
  <c r="H48" i="92"/>
  <c r="N48" i="92" s="1"/>
  <c r="F48" i="92"/>
  <c r="D48" i="92"/>
  <c r="B48" i="92"/>
  <c r="Z47" i="92"/>
  <c r="X47" i="92"/>
  <c r="V47" i="92"/>
  <c r="N47" i="92"/>
  <c r="L47" i="92"/>
  <c r="J47" i="92"/>
  <c r="B47" i="92"/>
  <c r="X46" i="92"/>
  <c r="Z46" i="92" s="1"/>
  <c r="L46" i="92"/>
  <c r="N46" i="92" s="1"/>
  <c r="F46" i="92"/>
  <c r="B46" i="92"/>
  <c r="Z45" i="92"/>
  <c r="X45" i="92"/>
  <c r="V45" i="92"/>
  <c r="N45" i="92"/>
  <c r="L45" i="92"/>
  <c r="J45" i="92"/>
  <c r="B45" i="92"/>
  <c r="X44" i="92"/>
  <c r="Z44" i="92" s="1"/>
  <c r="V44" i="92"/>
  <c r="R44" i="92"/>
  <c r="L44" i="92"/>
  <c r="N44" i="92" s="1"/>
  <c r="J44" i="92"/>
  <c r="F44" i="92"/>
  <c r="B44" i="92"/>
  <c r="V43" i="92"/>
  <c r="T43" i="92"/>
  <c r="R43" i="92"/>
  <c r="P43" i="92"/>
  <c r="X43" i="92" s="1"/>
  <c r="Z43" i="92" s="1"/>
  <c r="H43" i="92"/>
  <c r="L43" i="92" s="1"/>
  <c r="F43" i="92"/>
  <c r="D43" i="92"/>
  <c r="B43" i="92"/>
  <c r="X42" i="92"/>
  <c r="Z42" i="92" s="1"/>
  <c r="R42" i="92"/>
  <c r="L42" i="92"/>
  <c r="N42" i="92" s="1"/>
  <c r="B42" i="92"/>
  <c r="Z41" i="92"/>
  <c r="V41" i="92"/>
  <c r="T41" i="92"/>
  <c r="P41" i="92"/>
  <c r="X41" i="92" s="1"/>
  <c r="J41" i="92"/>
  <c r="H41" i="92"/>
  <c r="D41" i="92"/>
  <c r="L41" i="92" s="1"/>
  <c r="N41" i="92" s="1"/>
  <c r="B41" i="92"/>
  <c r="Z40" i="92"/>
  <c r="X40" i="92"/>
  <c r="V40" i="92"/>
  <c r="R40" i="92"/>
  <c r="N40" i="92"/>
  <c r="L40" i="92"/>
  <c r="F40" i="92"/>
  <c r="B40" i="92"/>
  <c r="Z39" i="92"/>
  <c r="X39" i="92"/>
  <c r="V39" i="92"/>
  <c r="N39" i="92"/>
  <c r="L39" i="92"/>
  <c r="J39" i="92"/>
  <c r="B39" i="92"/>
  <c r="X38" i="92"/>
  <c r="Z38" i="92" s="1"/>
  <c r="V38" i="92"/>
  <c r="L38" i="92"/>
  <c r="N38" i="92" s="1"/>
  <c r="F38" i="92"/>
  <c r="B38" i="92"/>
  <c r="Z37" i="92"/>
  <c r="X37" i="92"/>
  <c r="V37" i="92"/>
  <c r="N37" i="92"/>
  <c r="L37" i="92"/>
  <c r="F37" i="92"/>
  <c r="B37" i="92"/>
  <c r="Z36" i="92"/>
  <c r="X36" i="92"/>
  <c r="V36" i="92"/>
  <c r="R36" i="92"/>
  <c r="N36" i="92"/>
  <c r="L36" i="92"/>
  <c r="F36" i="92"/>
  <c r="B36" i="92"/>
  <c r="X35" i="92"/>
  <c r="Z35" i="92" s="1"/>
  <c r="V35" i="92"/>
  <c r="N35" i="92"/>
  <c r="L35" i="92"/>
  <c r="J35" i="92"/>
  <c r="B35" i="92"/>
  <c r="X34" i="92"/>
  <c r="Z34" i="92" s="1"/>
  <c r="V34" i="92"/>
  <c r="L34" i="92"/>
  <c r="N34" i="92" s="1"/>
  <c r="F34" i="92"/>
  <c r="B34" i="92"/>
  <c r="Z33" i="92"/>
  <c r="X33" i="92"/>
  <c r="V33" i="92"/>
  <c r="N33" i="92"/>
  <c r="L33" i="92"/>
  <c r="F33" i="92"/>
  <c r="B33" i="92"/>
  <c r="X32" i="92"/>
  <c r="Z32" i="92" s="1"/>
  <c r="V32" i="92"/>
  <c r="R32" i="92"/>
  <c r="L32" i="92"/>
  <c r="N32" i="92" s="1"/>
  <c r="F32" i="92"/>
  <c r="B32" i="92"/>
  <c r="X31" i="92"/>
  <c r="Z31" i="92" s="1"/>
  <c r="V31" i="92"/>
  <c r="N31" i="92"/>
  <c r="L31" i="92"/>
  <c r="J31" i="92"/>
  <c r="B31" i="92"/>
  <c r="V30" i="92"/>
  <c r="T30" i="92"/>
  <c r="R30" i="92"/>
  <c r="P30" i="92"/>
  <c r="X30" i="92" s="1"/>
  <c r="H30" i="92"/>
  <c r="D30" i="92"/>
  <c r="L30" i="92" s="1"/>
  <c r="B30" i="92"/>
  <c r="Z29" i="92"/>
  <c r="X29" i="92"/>
  <c r="V29" i="92"/>
  <c r="R29" i="92"/>
  <c r="N29" i="92"/>
  <c r="L29" i="92"/>
  <c r="J29" i="92"/>
  <c r="B29" i="92"/>
  <c r="X28" i="92"/>
  <c r="Z28" i="92" s="1"/>
  <c r="V28" i="92"/>
  <c r="R28" i="92"/>
  <c r="L28" i="92"/>
  <c r="N28" i="92" s="1"/>
  <c r="J28" i="92"/>
  <c r="F28" i="92"/>
  <c r="B28" i="92"/>
  <c r="Z27" i="92"/>
  <c r="X27" i="92"/>
  <c r="V27" i="92"/>
  <c r="N27" i="92"/>
  <c r="L27" i="92"/>
  <c r="J27" i="92"/>
  <c r="B27" i="92"/>
  <c r="Z26" i="92"/>
  <c r="X26" i="92"/>
  <c r="R26" i="92"/>
  <c r="N26" i="92"/>
  <c r="L26" i="92"/>
  <c r="F26" i="92"/>
  <c r="B26" i="92"/>
  <c r="Z25" i="92"/>
  <c r="X25" i="92"/>
  <c r="V25" i="92"/>
  <c r="N25" i="92"/>
  <c r="L25" i="92"/>
  <c r="J25" i="92"/>
  <c r="B25" i="92"/>
  <c r="X24" i="92"/>
  <c r="Z24" i="92" s="1"/>
  <c r="V24" i="92"/>
  <c r="R24" i="92"/>
  <c r="L24" i="92"/>
  <c r="N24" i="92" s="1"/>
  <c r="J24" i="92"/>
  <c r="F24" i="92"/>
  <c r="B24" i="92"/>
  <c r="Z23" i="92"/>
  <c r="X23" i="92"/>
  <c r="V23" i="92"/>
  <c r="N23" i="92"/>
  <c r="L23" i="92"/>
  <c r="J23" i="92"/>
  <c r="B23" i="92"/>
  <c r="X22" i="92"/>
  <c r="Z22" i="92" s="1"/>
  <c r="R22" i="92"/>
  <c r="L22" i="92"/>
  <c r="N22" i="92" s="1"/>
  <c r="F22" i="92"/>
  <c r="B22" i="92"/>
  <c r="Z21" i="92"/>
  <c r="X21" i="92"/>
  <c r="V21" i="92"/>
  <c r="R21" i="92"/>
  <c r="N21" i="92"/>
  <c r="L21" i="92"/>
  <c r="J21" i="92"/>
  <c r="B21" i="92"/>
  <c r="X20" i="92"/>
  <c r="Z20" i="92" s="1"/>
  <c r="V20" i="92"/>
  <c r="R20" i="92"/>
  <c r="L20" i="92"/>
  <c r="N20" i="92" s="1"/>
  <c r="J20" i="92"/>
  <c r="F20" i="92"/>
  <c r="B20" i="92"/>
  <c r="Z19" i="92"/>
  <c r="V19" i="92"/>
  <c r="T19" i="92"/>
  <c r="R19" i="92"/>
  <c r="P19" i="92"/>
  <c r="X19" i="92" s="1"/>
  <c r="J19" i="92"/>
  <c r="H19" i="92"/>
  <c r="F19" i="92"/>
  <c r="D19" i="92"/>
  <c r="B19" i="92"/>
  <c r="T18" i="92"/>
  <c r="P18" i="92"/>
  <c r="J18" i="92"/>
  <c r="H18" i="92"/>
  <c r="D18" i="92"/>
  <c r="L18" i="92" s="1"/>
  <c r="P16" i="92"/>
  <c r="J16" i="92"/>
  <c r="H16" i="92"/>
  <c r="T14" i="92"/>
  <c r="Z14" i="92" s="1"/>
  <c r="P14" i="92"/>
  <c r="J14" i="92"/>
  <c r="H14" i="92"/>
  <c r="N14" i="92" s="1"/>
  <c r="D14" i="92"/>
  <c r="L14" i="92" s="1"/>
  <c r="Z12" i="92"/>
  <c r="X12" i="92"/>
  <c r="T12" i="92"/>
  <c r="V90" i="92" s="1"/>
  <c r="P12" i="92"/>
  <c r="N12" i="92"/>
  <c r="L12" i="92"/>
  <c r="H12" i="92"/>
  <c r="J62" i="92" s="1"/>
  <c r="D12" i="92"/>
  <c r="F67" i="92" s="1"/>
  <c r="D6" i="92"/>
  <c r="D4" i="92"/>
  <c r="X87" i="89"/>
  <c r="Z87" i="89" s="1"/>
  <c r="L87" i="89"/>
  <c r="N87" i="89" s="1"/>
  <c r="T83" i="89"/>
  <c r="Z83" i="89" s="1"/>
  <c r="P83" i="89"/>
  <c r="X83" i="89" s="1"/>
  <c r="H83" i="89"/>
  <c r="N83" i="89" s="1"/>
  <c r="D83" i="89"/>
  <c r="L83" i="89" s="1"/>
  <c r="Z81" i="89"/>
  <c r="X81" i="89"/>
  <c r="N81" i="89"/>
  <c r="L81" i="89"/>
  <c r="B81" i="89"/>
  <c r="T80" i="89"/>
  <c r="X80" i="89" s="1"/>
  <c r="Z80" i="89" s="1"/>
  <c r="P80" i="89"/>
  <c r="N80" i="89"/>
  <c r="H80" i="89"/>
  <c r="D80" i="89"/>
  <c r="L80" i="89" s="1"/>
  <c r="B80" i="89"/>
  <c r="Z79" i="89"/>
  <c r="X79" i="89"/>
  <c r="N79" i="89"/>
  <c r="L79" i="89"/>
  <c r="B79" i="89"/>
  <c r="T78" i="89"/>
  <c r="P78" i="89"/>
  <c r="X78" i="89" s="1"/>
  <c r="N78" i="89"/>
  <c r="H78" i="89"/>
  <c r="D78" i="89"/>
  <c r="L78" i="89" s="1"/>
  <c r="B78" i="89"/>
  <c r="X77" i="89"/>
  <c r="Z77" i="89" s="1"/>
  <c r="L77" i="89"/>
  <c r="N77" i="89" s="1"/>
  <c r="B77" i="89"/>
  <c r="X76" i="89"/>
  <c r="Z76" i="89" s="1"/>
  <c r="N76" i="89"/>
  <c r="L76" i="89"/>
  <c r="B76" i="89"/>
  <c r="T75" i="89"/>
  <c r="X75" i="89" s="1"/>
  <c r="Z75" i="89" s="1"/>
  <c r="P75" i="89"/>
  <c r="H75" i="89"/>
  <c r="D75" i="89"/>
  <c r="L75" i="89" s="1"/>
  <c r="B75" i="89"/>
  <c r="Z74" i="89"/>
  <c r="X74" i="89"/>
  <c r="N74" i="89"/>
  <c r="L74" i="89"/>
  <c r="B74" i="89"/>
  <c r="Z73" i="89"/>
  <c r="X73" i="89"/>
  <c r="V73" i="89"/>
  <c r="N73" i="89"/>
  <c r="L73" i="89"/>
  <c r="B73" i="89"/>
  <c r="X72" i="89"/>
  <c r="Z72" i="89" s="1"/>
  <c r="L72" i="89"/>
  <c r="N72" i="89" s="1"/>
  <c r="B72" i="89"/>
  <c r="Z71" i="89"/>
  <c r="X71" i="89"/>
  <c r="N71" i="89"/>
  <c r="L71" i="89"/>
  <c r="B71" i="89"/>
  <c r="Z70" i="89"/>
  <c r="X70" i="89"/>
  <c r="N70" i="89"/>
  <c r="L70" i="89"/>
  <c r="B70" i="89"/>
  <c r="X69" i="89"/>
  <c r="Z69" i="89" s="1"/>
  <c r="L69" i="89"/>
  <c r="N69" i="89" s="1"/>
  <c r="B69" i="89"/>
  <c r="X68" i="89"/>
  <c r="Z68" i="89" s="1"/>
  <c r="T68" i="89"/>
  <c r="P68" i="89"/>
  <c r="H68" i="89"/>
  <c r="D68" i="89"/>
  <c r="B68" i="89"/>
  <c r="X67" i="89"/>
  <c r="Z67" i="89" s="1"/>
  <c r="L67" i="89"/>
  <c r="N67" i="89" s="1"/>
  <c r="B67" i="89"/>
  <c r="Z66" i="89"/>
  <c r="X66" i="89"/>
  <c r="V66" i="89"/>
  <c r="L66" i="89"/>
  <c r="N66" i="89" s="1"/>
  <c r="B66" i="89"/>
  <c r="X65" i="89"/>
  <c r="Z65" i="89" s="1"/>
  <c r="L65" i="89"/>
  <c r="N65" i="89" s="1"/>
  <c r="B65" i="89"/>
  <c r="X64" i="89"/>
  <c r="Z64" i="89" s="1"/>
  <c r="T64" i="89"/>
  <c r="P64" i="89"/>
  <c r="H64" i="89"/>
  <c r="D64" i="89"/>
  <c r="B64" i="89"/>
  <c r="X63" i="89"/>
  <c r="Z63" i="89" s="1"/>
  <c r="N63" i="89"/>
  <c r="L63" i="89"/>
  <c r="B63" i="89"/>
  <c r="Z62" i="89"/>
  <c r="X62" i="89"/>
  <c r="N62" i="89"/>
  <c r="L62" i="89"/>
  <c r="B62" i="89"/>
  <c r="X61" i="89"/>
  <c r="Z61" i="89" s="1"/>
  <c r="L61" i="89"/>
  <c r="N61" i="89" s="1"/>
  <c r="B61" i="89"/>
  <c r="X60" i="89"/>
  <c r="Z60" i="89" s="1"/>
  <c r="T60" i="89"/>
  <c r="P60" i="89"/>
  <c r="L60" i="89"/>
  <c r="N60" i="89" s="1"/>
  <c r="J60" i="89"/>
  <c r="H60" i="89"/>
  <c r="D60" i="89"/>
  <c r="B60" i="89"/>
  <c r="Z59" i="89"/>
  <c r="X59" i="89"/>
  <c r="N59" i="89"/>
  <c r="L59" i="89"/>
  <c r="B59" i="89"/>
  <c r="Z58" i="89"/>
  <c r="T58" i="89"/>
  <c r="X58" i="89" s="1"/>
  <c r="P58" i="89"/>
  <c r="H58" i="89"/>
  <c r="N58" i="89" s="1"/>
  <c r="D58" i="89"/>
  <c r="B58" i="89"/>
  <c r="Z57" i="89"/>
  <c r="X57" i="89"/>
  <c r="N57" i="89"/>
  <c r="L57" i="89"/>
  <c r="B57" i="89"/>
  <c r="Z56" i="89"/>
  <c r="V56" i="89"/>
  <c r="T56" i="89"/>
  <c r="P56" i="89"/>
  <c r="X56" i="89" s="1"/>
  <c r="H56" i="89"/>
  <c r="N56" i="89" s="1"/>
  <c r="D56" i="89"/>
  <c r="L56" i="89" s="1"/>
  <c r="B56" i="89"/>
  <c r="X55" i="89"/>
  <c r="Z55" i="89" s="1"/>
  <c r="N55" i="89"/>
  <c r="L55" i="89"/>
  <c r="B55" i="89"/>
  <c r="X54" i="89"/>
  <c r="Z54" i="89" s="1"/>
  <c r="V54" i="89"/>
  <c r="N54" i="89"/>
  <c r="L54" i="89"/>
  <c r="B54" i="89"/>
  <c r="T53" i="89"/>
  <c r="Z53" i="89" s="1"/>
  <c r="P53" i="89"/>
  <c r="X53" i="89" s="1"/>
  <c r="L53" i="89"/>
  <c r="H53" i="89"/>
  <c r="D53" i="89"/>
  <c r="B53" i="89"/>
  <c r="X52" i="89"/>
  <c r="Z52" i="89" s="1"/>
  <c r="N52" i="89"/>
  <c r="L52" i="89"/>
  <c r="J52" i="89"/>
  <c r="B52" i="89"/>
  <c r="T51" i="89"/>
  <c r="P51" i="89"/>
  <c r="X51" i="89" s="1"/>
  <c r="Z51" i="89" s="1"/>
  <c r="H51" i="89"/>
  <c r="D51" i="89"/>
  <c r="B51" i="89"/>
  <c r="X50" i="89"/>
  <c r="Z50" i="89" s="1"/>
  <c r="L50" i="89"/>
  <c r="N50" i="89" s="1"/>
  <c r="J50" i="89"/>
  <c r="B50" i="89"/>
  <c r="T49" i="89"/>
  <c r="P49" i="89"/>
  <c r="X49" i="89" s="1"/>
  <c r="Z49" i="89" s="1"/>
  <c r="H49" i="89"/>
  <c r="D49" i="89"/>
  <c r="B49" i="89"/>
  <c r="X48" i="89"/>
  <c r="Z48" i="89" s="1"/>
  <c r="L48" i="89"/>
  <c r="N48" i="89" s="1"/>
  <c r="B48" i="89"/>
  <c r="X47" i="89"/>
  <c r="T47" i="89"/>
  <c r="Z47" i="89" s="1"/>
  <c r="P47" i="89"/>
  <c r="H47" i="89"/>
  <c r="N47" i="89" s="1"/>
  <c r="D47" i="89"/>
  <c r="L47" i="89" s="1"/>
  <c r="B47" i="89"/>
  <c r="Z46" i="89"/>
  <c r="X46" i="89"/>
  <c r="N46" i="89"/>
  <c r="L46" i="89"/>
  <c r="B46" i="89"/>
  <c r="Z45" i="89"/>
  <c r="X45" i="89"/>
  <c r="N45" i="89"/>
  <c r="L45" i="89"/>
  <c r="B45" i="89"/>
  <c r="X44" i="89"/>
  <c r="Z44" i="89" s="1"/>
  <c r="N44" i="89"/>
  <c r="L44" i="89"/>
  <c r="J44" i="89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N41" i="89"/>
  <c r="L41" i="89"/>
  <c r="B41" i="89"/>
  <c r="X40" i="89"/>
  <c r="Z40" i="89" s="1"/>
  <c r="N40" i="89"/>
  <c r="L40" i="89"/>
  <c r="J40" i="89"/>
  <c r="B40" i="89"/>
  <c r="Z39" i="89"/>
  <c r="X39" i="89"/>
  <c r="N39" i="89"/>
  <c r="L39" i="89"/>
  <c r="B39" i="89"/>
  <c r="Z38" i="89"/>
  <c r="X38" i="89"/>
  <c r="N38" i="89"/>
  <c r="L38" i="89"/>
  <c r="B38" i="89"/>
  <c r="X37" i="89"/>
  <c r="Z37" i="89" s="1"/>
  <c r="L37" i="89"/>
  <c r="N37" i="89" s="1"/>
  <c r="B37" i="89"/>
  <c r="T36" i="89"/>
  <c r="P36" i="89"/>
  <c r="H36" i="89"/>
  <c r="D36" i="89"/>
  <c r="L36" i="89" s="1"/>
  <c r="N36" i="89" s="1"/>
  <c r="B36" i="89"/>
  <c r="Z35" i="89"/>
  <c r="X35" i="89"/>
  <c r="L35" i="89"/>
  <c r="N35" i="89" s="1"/>
  <c r="B35" i="89"/>
  <c r="X34" i="89"/>
  <c r="Z34" i="89" s="1"/>
  <c r="L34" i="89"/>
  <c r="N34" i="89" s="1"/>
  <c r="J34" i="89"/>
  <c r="B34" i="89"/>
  <c r="X33" i="89"/>
  <c r="Z33" i="89" s="1"/>
  <c r="V33" i="89"/>
  <c r="L33" i="89"/>
  <c r="N33" i="89" s="1"/>
  <c r="B33" i="89"/>
  <c r="Z32" i="89"/>
  <c r="X32" i="89"/>
  <c r="V32" i="89"/>
  <c r="N32" i="89"/>
  <c r="L32" i="89"/>
  <c r="B32" i="89"/>
  <c r="Z31" i="89"/>
  <c r="X31" i="89"/>
  <c r="L31" i="89"/>
  <c r="N31" i="89" s="1"/>
  <c r="B31" i="89"/>
  <c r="X30" i="89"/>
  <c r="Z30" i="89" s="1"/>
  <c r="L30" i="89"/>
  <c r="N30" i="89" s="1"/>
  <c r="J30" i="89"/>
  <c r="B30" i="89"/>
  <c r="Z29" i="89"/>
  <c r="X29" i="89"/>
  <c r="V29" i="89"/>
  <c r="N29" i="89"/>
  <c r="L29" i="89"/>
  <c r="B29" i="89"/>
  <c r="Z28" i="89"/>
  <c r="X28" i="89"/>
  <c r="V28" i="89"/>
  <c r="L28" i="89"/>
  <c r="N28" i="89" s="1"/>
  <c r="B28" i="89"/>
  <c r="Z27" i="89"/>
  <c r="X27" i="89"/>
  <c r="V27" i="89"/>
  <c r="L27" i="89"/>
  <c r="N27" i="89" s="1"/>
  <c r="B27" i="89"/>
  <c r="T26" i="89"/>
  <c r="P26" i="89"/>
  <c r="X26" i="89" s="1"/>
  <c r="N26" i="89"/>
  <c r="J26" i="89"/>
  <c r="H26" i="89"/>
  <c r="D26" i="89"/>
  <c r="L26" i="89" s="1"/>
  <c r="B26" i="89"/>
  <c r="T25" i="89"/>
  <c r="P25" i="89"/>
  <c r="X25" i="89" s="1"/>
  <c r="L25" i="89"/>
  <c r="H25" i="89"/>
  <c r="N25" i="89" s="1"/>
  <c r="D25" i="89"/>
  <c r="Z21" i="89"/>
  <c r="X21" i="89"/>
  <c r="N21" i="89"/>
  <c r="L21" i="89"/>
  <c r="B21" i="89"/>
  <c r="Z20" i="89"/>
  <c r="X20" i="89"/>
  <c r="N20" i="89"/>
  <c r="L20" i="89"/>
  <c r="B20" i="89"/>
  <c r="X19" i="89"/>
  <c r="Z19" i="89" s="1"/>
  <c r="N19" i="89"/>
  <c r="L19" i="89"/>
  <c r="B19" i="89"/>
  <c r="X18" i="89"/>
  <c r="Z18" i="89" s="1"/>
  <c r="V18" i="89"/>
  <c r="T18" i="89"/>
  <c r="P18" i="89"/>
  <c r="L18" i="89"/>
  <c r="N18" i="89" s="1"/>
  <c r="H18" i="89"/>
  <c r="D18" i="89"/>
  <c r="Z16" i="89"/>
  <c r="P16" i="89"/>
  <c r="X16" i="89" s="1"/>
  <c r="N16" i="89"/>
  <c r="L16" i="89"/>
  <c r="D16" i="89"/>
  <c r="B16" i="89"/>
  <c r="P15" i="89"/>
  <c r="X15" i="89" s="1"/>
  <c r="Z15" i="89" s="1"/>
  <c r="N15" i="89"/>
  <c r="L15" i="89"/>
  <c r="D15" i="89"/>
  <c r="B15" i="89"/>
  <c r="Z14" i="89"/>
  <c r="P14" i="89"/>
  <c r="N14" i="89"/>
  <c r="D14" i="89"/>
  <c r="L14" i="89" s="1"/>
  <c r="B14" i="89"/>
  <c r="X13" i="89"/>
  <c r="Z13" i="89" s="1"/>
  <c r="P13" i="89"/>
  <c r="D13" i="89"/>
  <c r="B13" i="89"/>
  <c r="T12" i="89"/>
  <c r="V57" i="89" s="1"/>
  <c r="H12" i="89"/>
  <c r="J80" i="89" s="1"/>
  <c r="D6" i="89"/>
  <c r="D4" i="89"/>
  <c r="Z97" i="88"/>
  <c r="X97" i="88"/>
  <c r="V97" i="88"/>
  <c r="L97" i="88"/>
  <c r="N97" i="88" s="1"/>
  <c r="T93" i="88"/>
  <c r="Z93" i="88" s="1"/>
  <c r="P93" i="88"/>
  <c r="N93" i="88"/>
  <c r="H93" i="88"/>
  <c r="D93" i="88"/>
  <c r="L93" i="88" s="1"/>
  <c r="Z91" i="88"/>
  <c r="X91" i="88"/>
  <c r="N91" i="88"/>
  <c r="L91" i="88"/>
  <c r="J91" i="88"/>
  <c r="B91" i="88"/>
  <c r="T90" i="88"/>
  <c r="P90" i="88"/>
  <c r="X90" i="88" s="1"/>
  <c r="Z90" i="88" s="1"/>
  <c r="L90" i="88"/>
  <c r="H90" i="88"/>
  <c r="D90" i="88"/>
  <c r="B90" i="88"/>
  <c r="X89" i="88"/>
  <c r="Z89" i="88" s="1"/>
  <c r="V89" i="88"/>
  <c r="N89" i="88"/>
  <c r="L89" i="88"/>
  <c r="J89" i="88"/>
  <c r="B89" i="88"/>
  <c r="V88" i="88"/>
  <c r="T88" i="88"/>
  <c r="P88" i="88"/>
  <c r="X88" i="88" s="1"/>
  <c r="Z88" i="88" s="1"/>
  <c r="H88" i="88"/>
  <c r="N88" i="88" s="1"/>
  <c r="D88" i="88"/>
  <c r="B88" i="88"/>
  <c r="X87" i="88"/>
  <c r="Z87" i="88" s="1"/>
  <c r="N87" i="88"/>
  <c r="L87" i="88"/>
  <c r="B87" i="88"/>
  <c r="X86" i="88"/>
  <c r="T86" i="88"/>
  <c r="P86" i="88"/>
  <c r="H86" i="88"/>
  <c r="N86" i="88" s="1"/>
  <c r="D86" i="88"/>
  <c r="L86" i="88" s="1"/>
  <c r="B86" i="88"/>
  <c r="Z85" i="88"/>
  <c r="X85" i="88"/>
  <c r="N85" i="88"/>
  <c r="L85" i="88"/>
  <c r="B85" i="88"/>
  <c r="X84" i="88"/>
  <c r="Z84" i="88" s="1"/>
  <c r="L84" i="88"/>
  <c r="N84" i="88" s="1"/>
  <c r="B84" i="88"/>
  <c r="Z83" i="88"/>
  <c r="X83" i="88"/>
  <c r="N83" i="88"/>
  <c r="L83" i="88"/>
  <c r="J83" i="88"/>
  <c r="B83" i="88"/>
  <c r="Z82" i="88"/>
  <c r="X82" i="88"/>
  <c r="N82" i="88"/>
  <c r="L82" i="88"/>
  <c r="B82" i="88"/>
  <c r="Z81" i="88"/>
  <c r="X81" i="88"/>
  <c r="V81" i="88"/>
  <c r="L81" i="88"/>
  <c r="N81" i="88" s="1"/>
  <c r="B81" i="88"/>
  <c r="Z80" i="88"/>
  <c r="X80" i="88"/>
  <c r="N80" i="88"/>
  <c r="L80" i="88"/>
  <c r="B80" i="88"/>
  <c r="Z79" i="88"/>
  <c r="X79" i="88"/>
  <c r="V79" i="88"/>
  <c r="N79" i="88"/>
  <c r="L79" i="88"/>
  <c r="J79" i="88"/>
  <c r="B79" i="88"/>
  <c r="Z78" i="88"/>
  <c r="X78" i="88"/>
  <c r="N78" i="88"/>
  <c r="L78" i="88"/>
  <c r="B78" i="88"/>
  <c r="Z77" i="88"/>
  <c r="X77" i="88"/>
  <c r="V77" i="88"/>
  <c r="L77" i="88"/>
  <c r="N77" i="88" s="1"/>
  <c r="B77" i="88"/>
  <c r="X76" i="88"/>
  <c r="T76" i="88"/>
  <c r="P76" i="88"/>
  <c r="H76" i="88"/>
  <c r="D76" i="88"/>
  <c r="L76" i="88" s="1"/>
  <c r="N76" i="88" s="1"/>
  <c r="B76" i="88"/>
  <c r="Z75" i="88"/>
  <c r="X75" i="88"/>
  <c r="V75" i="88"/>
  <c r="N75" i="88"/>
  <c r="L75" i="88"/>
  <c r="B75" i="88"/>
  <c r="T74" i="88"/>
  <c r="P74" i="88"/>
  <c r="N74" i="88"/>
  <c r="H74" i="88"/>
  <c r="D74" i="88"/>
  <c r="L74" i="88" s="1"/>
  <c r="B74" i="88"/>
  <c r="X73" i="88"/>
  <c r="Z73" i="88" s="1"/>
  <c r="V73" i="88"/>
  <c r="N73" i="88"/>
  <c r="L73" i="88"/>
  <c r="B73" i="88"/>
  <c r="X72" i="88"/>
  <c r="Z72" i="88" s="1"/>
  <c r="V72" i="88"/>
  <c r="L72" i="88"/>
  <c r="N72" i="88" s="1"/>
  <c r="B72" i="88"/>
  <c r="Z71" i="88"/>
  <c r="X71" i="88"/>
  <c r="N71" i="88"/>
  <c r="L71" i="88"/>
  <c r="B71" i="88"/>
  <c r="X70" i="88"/>
  <c r="T70" i="88"/>
  <c r="P70" i="88"/>
  <c r="H70" i="88"/>
  <c r="N70" i="88" s="1"/>
  <c r="D70" i="88"/>
  <c r="L70" i="88" s="1"/>
  <c r="B70" i="88"/>
  <c r="Z69" i="88"/>
  <c r="X69" i="88"/>
  <c r="V69" i="88"/>
  <c r="L69" i="88"/>
  <c r="N69" i="88" s="1"/>
  <c r="B69" i="88"/>
  <c r="X68" i="88"/>
  <c r="T68" i="88"/>
  <c r="P68" i="88"/>
  <c r="H68" i="88"/>
  <c r="D68" i="88"/>
  <c r="L68" i="88" s="1"/>
  <c r="N68" i="88" s="1"/>
  <c r="B68" i="88"/>
  <c r="Z67" i="88"/>
  <c r="X67" i="88"/>
  <c r="V67" i="88"/>
  <c r="N67" i="88"/>
  <c r="L67" i="88"/>
  <c r="B67" i="88"/>
  <c r="X66" i="88"/>
  <c r="Z66" i="88" s="1"/>
  <c r="V66" i="88"/>
  <c r="L66" i="88"/>
  <c r="N66" i="88" s="1"/>
  <c r="B66" i="88"/>
  <c r="X65" i="88"/>
  <c r="Z65" i="88" s="1"/>
  <c r="V65" i="88"/>
  <c r="N65" i="88"/>
  <c r="L65" i="88"/>
  <c r="J65" i="88"/>
  <c r="B65" i="88"/>
  <c r="X64" i="88"/>
  <c r="Z64" i="88" s="1"/>
  <c r="V64" i="88"/>
  <c r="T64" i="88"/>
  <c r="P64" i="88"/>
  <c r="H64" i="88"/>
  <c r="D64" i="88"/>
  <c r="B64" i="88"/>
  <c r="Z63" i="88"/>
  <c r="X63" i="88"/>
  <c r="N63" i="88"/>
  <c r="L63" i="88"/>
  <c r="B63" i="88"/>
  <c r="X62" i="88"/>
  <c r="T62" i="88"/>
  <c r="P62" i="88"/>
  <c r="H62" i="88"/>
  <c r="D62" i="88"/>
  <c r="L62" i="88" s="1"/>
  <c r="B62" i="88"/>
  <c r="Z61" i="88"/>
  <c r="X61" i="88"/>
  <c r="V61" i="88"/>
  <c r="L61" i="88"/>
  <c r="N61" i="88" s="1"/>
  <c r="B61" i="88"/>
  <c r="T60" i="88"/>
  <c r="P60" i="88"/>
  <c r="H60" i="88"/>
  <c r="N60" i="88" s="1"/>
  <c r="D60" i="88"/>
  <c r="L60" i="88" s="1"/>
  <c r="B60" i="88"/>
  <c r="Z59" i="88"/>
  <c r="X59" i="88"/>
  <c r="V59" i="88"/>
  <c r="N59" i="88"/>
  <c r="L59" i="88"/>
  <c r="B59" i="88"/>
  <c r="T58" i="88"/>
  <c r="P58" i="88"/>
  <c r="X58" i="88" s="1"/>
  <c r="L58" i="88"/>
  <c r="N58" i="88" s="1"/>
  <c r="H58" i="88"/>
  <c r="D58" i="88"/>
  <c r="B58" i="88"/>
  <c r="X57" i="88"/>
  <c r="Z57" i="88" s="1"/>
  <c r="V57" i="88"/>
  <c r="N57" i="88"/>
  <c r="L57" i="88"/>
  <c r="J57" i="88"/>
  <c r="B57" i="88"/>
  <c r="T56" i="88"/>
  <c r="P56" i="88"/>
  <c r="X56" i="88" s="1"/>
  <c r="L56" i="88"/>
  <c r="H56" i="88"/>
  <c r="D56" i="88"/>
  <c r="B56" i="88"/>
  <c r="Z55" i="88"/>
  <c r="X55" i="88"/>
  <c r="V55" i="88"/>
  <c r="N55" i="88"/>
  <c r="L55" i="88"/>
  <c r="J55" i="88"/>
  <c r="B55" i="88"/>
  <c r="Z54" i="88"/>
  <c r="X54" i="88"/>
  <c r="V54" i="88"/>
  <c r="L54" i="88"/>
  <c r="N54" i="88" s="1"/>
  <c r="B54" i="88"/>
  <c r="Z53" i="88"/>
  <c r="X53" i="88"/>
  <c r="V53" i="88"/>
  <c r="L53" i="88"/>
  <c r="N53" i="88" s="1"/>
  <c r="B53" i="88"/>
  <c r="T52" i="88"/>
  <c r="P52" i="88"/>
  <c r="H52" i="88"/>
  <c r="N52" i="88" s="1"/>
  <c r="D52" i="88"/>
  <c r="L52" i="88" s="1"/>
  <c r="B52" i="88"/>
  <c r="Z51" i="88"/>
  <c r="X51" i="88"/>
  <c r="V51" i="88"/>
  <c r="N51" i="88"/>
  <c r="L51" i="88"/>
  <c r="B51" i="88"/>
  <c r="T50" i="88"/>
  <c r="P50" i="88"/>
  <c r="X50" i="88" s="1"/>
  <c r="N50" i="88"/>
  <c r="L50" i="88"/>
  <c r="H50" i="88"/>
  <c r="D50" i="88"/>
  <c r="B50" i="88"/>
  <c r="X49" i="88"/>
  <c r="Z49" i="88" s="1"/>
  <c r="V49" i="88"/>
  <c r="N49" i="88"/>
  <c r="L49" i="88"/>
  <c r="J49" i="88"/>
  <c r="B49" i="88"/>
  <c r="T48" i="88"/>
  <c r="Z48" i="88" s="1"/>
  <c r="P48" i="88"/>
  <c r="X48" i="88" s="1"/>
  <c r="L48" i="88"/>
  <c r="H48" i="88"/>
  <c r="D48" i="88"/>
  <c r="B48" i="88"/>
  <c r="Z47" i="88"/>
  <c r="X47" i="88"/>
  <c r="V47" i="88"/>
  <c r="N47" i="88"/>
  <c r="L47" i="88"/>
  <c r="J47" i="88"/>
  <c r="B47" i="88"/>
  <c r="T46" i="88"/>
  <c r="Z46" i="88" s="1"/>
  <c r="P46" i="88"/>
  <c r="X46" i="88" s="1"/>
  <c r="H46" i="88"/>
  <c r="D46" i="88"/>
  <c r="L46" i="88" s="1"/>
  <c r="B46" i="88"/>
  <c r="Z45" i="88"/>
  <c r="X45" i="88"/>
  <c r="V45" i="88"/>
  <c r="N45" i="88"/>
  <c r="L45" i="88"/>
  <c r="J45" i="88"/>
  <c r="B45" i="88"/>
  <c r="Z44" i="88"/>
  <c r="X44" i="88"/>
  <c r="V44" i="88"/>
  <c r="N44" i="88"/>
  <c r="L44" i="88"/>
  <c r="B44" i="88"/>
  <c r="Z43" i="88"/>
  <c r="X43" i="88"/>
  <c r="V43" i="88"/>
  <c r="N43" i="88"/>
  <c r="L43" i="88"/>
  <c r="B43" i="88"/>
  <c r="X42" i="88"/>
  <c r="Z42" i="88" s="1"/>
  <c r="V42" i="88"/>
  <c r="N42" i="88"/>
  <c r="L42" i="88"/>
  <c r="B42" i="88"/>
  <c r="Z41" i="88"/>
  <c r="X41" i="88"/>
  <c r="V41" i="88"/>
  <c r="N41" i="88"/>
  <c r="L41" i="88"/>
  <c r="J41" i="88"/>
  <c r="B41" i="88"/>
  <c r="Z40" i="88"/>
  <c r="X40" i="88"/>
  <c r="V40" i="88"/>
  <c r="N40" i="88"/>
  <c r="L40" i="88"/>
  <c r="B40" i="88"/>
  <c r="Z39" i="88"/>
  <c r="X39" i="88"/>
  <c r="V39" i="88"/>
  <c r="N39" i="88"/>
  <c r="L39" i="88"/>
  <c r="B39" i="88"/>
  <c r="Z38" i="88"/>
  <c r="X38" i="88"/>
  <c r="V38" i="88"/>
  <c r="N38" i="88"/>
  <c r="L38" i="88"/>
  <c r="F38" i="88"/>
  <c r="B38" i="88"/>
  <c r="X37" i="88"/>
  <c r="Z37" i="88" s="1"/>
  <c r="V37" i="88"/>
  <c r="L37" i="88"/>
  <c r="N37" i="88" s="1"/>
  <c r="J37" i="88"/>
  <c r="B37" i="88"/>
  <c r="Z36" i="88"/>
  <c r="X36" i="88"/>
  <c r="V36" i="88"/>
  <c r="N36" i="88"/>
  <c r="L36" i="88"/>
  <c r="B36" i="88"/>
  <c r="Z35" i="88"/>
  <c r="V35" i="88"/>
  <c r="T35" i="88"/>
  <c r="P35" i="88"/>
  <c r="X35" i="88" s="1"/>
  <c r="J35" i="88"/>
  <c r="H35" i="88"/>
  <c r="D35" i="88"/>
  <c r="L35" i="88" s="1"/>
  <c r="B35" i="88"/>
  <c r="Z34" i="88"/>
  <c r="X34" i="88"/>
  <c r="V34" i="88"/>
  <c r="N34" i="88"/>
  <c r="L34" i="88"/>
  <c r="B34" i="88"/>
  <c r="X33" i="88"/>
  <c r="Z33" i="88" s="1"/>
  <c r="V33" i="88"/>
  <c r="N33" i="88"/>
  <c r="L33" i="88"/>
  <c r="J33" i="88"/>
  <c r="B33" i="88"/>
  <c r="X32" i="88"/>
  <c r="Z32" i="88" s="1"/>
  <c r="V32" i="88"/>
  <c r="L32" i="88"/>
  <c r="N32" i="88" s="1"/>
  <c r="F32" i="88"/>
  <c r="B32" i="88"/>
  <c r="Z31" i="88"/>
  <c r="X31" i="88"/>
  <c r="N31" i="88"/>
  <c r="L31" i="88"/>
  <c r="B31" i="88"/>
  <c r="X30" i="88"/>
  <c r="Z30" i="88" s="1"/>
  <c r="V30" i="88"/>
  <c r="N30" i="88"/>
  <c r="L30" i="88"/>
  <c r="B30" i="88"/>
  <c r="X29" i="88"/>
  <c r="Z29" i="88" s="1"/>
  <c r="V29" i="88"/>
  <c r="N29" i="88"/>
  <c r="L29" i="88"/>
  <c r="J29" i="88"/>
  <c r="B29" i="88"/>
  <c r="X28" i="88"/>
  <c r="Z28" i="88" s="1"/>
  <c r="V28" i="88"/>
  <c r="L28" i="88"/>
  <c r="N28" i="88" s="1"/>
  <c r="F28" i="88"/>
  <c r="B28" i="88"/>
  <c r="Z27" i="88"/>
  <c r="X27" i="88"/>
  <c r="N27" i="88"/>
  <c r="L27" i="88"/>
  <c r="B27" i="88"/>
  <c r="X26" i="88"/>
  <c r="Z26" i="88" s="1"/>
  <c r="V26" i="88"/>
  <c r="N26" i="88"/>
  <c r="L26" i="88"/>
  <c r="B26" i="88"/>
  <c r="X25" i="88"/>
  <c r="Z25" i="88" s="1"/>
  <c r="V25" i="88"/>
  <c r="T25" i="88"/>
  <c r="P25" i="88"/>
  <c r="N25" i="88"/>
  <c r="L25" i="88"/>
  <c r="H25" i="88"/>
  <c r="D25" i="88"/>
  <c r="B25" i="88"/>
  <c r="T24" i="88"/>
  <c r="P24" i="88"/>
  <c r="H24" i="88"/>
  <c r="N24" i="88" s="1"/>
  <c r="D24" i="88"/>
  <c r="L24" i="88" s="1"/>
  <c r="T22" i="88"/>
  <c r="H22" i="88"/>
  <c r="H95" i="88" s="1"/>
  <c r="H99" i="88" s="1"/>
  <c r="Z20" i="88"/>
  <c r="X20" i="88"/>
  <c r="N20" i="88"/>
  <c r="L20" i="88"/>
  <c r="B20" i="88"/>
  <c r="Z19" i="88"/>
  <c r="X19" i="88"/>
  <c r="V19" i="88"/>
  <c r="N19" i="88"/>
  <c r="L19" i="88"/>
  <c r="J19" i="88"/>
  <c r="B19" i="88"/>
  <c r="Z18" i="88"/>
  <c r="X18" i="88"/>
  <c r="V18" i="88"/>
  <c r="L18" i="88"/>
  <c r="N18" i="88" s="1"/>
  <c r="F18" i="88"/>
  <c r="B18" i="88"/>
  <c r="V17" i="88"/>
  <c r="T17" i="88"/>
  <c r="P17" i="88"/>
  <c r="X17" i="88" s="1"/>
  <c r="Z17" i="88" s="1"/>
  <c r="J17" i="88"/>
  <c r="H17" i="88"/>
  <c r="L17" i="88" s="1"/>
  <c r="N17" i="88" s="1"/>
  <c r="D17" i="88"/>
  <c r="Z15" i="88"/>
  <c r="P15" i="88"/>
  <c r="N15" i="88"/>
  <c r="D15" i="88"/>
  <c r="L15" i="88" s="1"/>
  <c r="B15" i="88"/>
  <c r="Z14" i="88"/>
  <c r="X14" i="88"/>
  <c r="P14" i="88"/>
  <c r="N14" i="88"/>
  <c r="D14" i="88"/>
  <c r="L14" i="88" s="1"/>
  <c r="B14" i="88"/>
  <c r="Z13" i="88"/>
  <c r="X13" i="88"/>
  <c r="P13" i="88"/>
  <c r="L13" i="88"/>
  <c r="N13" i="88" s="1"/>
  <c r="D13" i="88"/>
  <c r="D12" i="88" s="1"/>
  <c r="B13" i="88"/>
  <c r="T12" i="88"/>
  <c r="V86" i="88" s="1"/>
  <c r="H12" i="88"/>
  <c r="J66" i="88" s="1"/>
  <c r="D6" i="88"/>
  <c r="D4" i="88"/>
  <c r="X34" i="86"/>
  <c r="Z34" i="86" s="1"/>
  <c r="V34" i="86"/>
  <c r="L34" i="86"/>
  <c r="N34" i="86" s="1"/>
  <c r="T30" i="86"/>
  <c r="Z30" i="86" s="1"/>
  <c r="P30" i="86"/>
  <c r="X30" i="86" s="1"/>
  <c r="H30" i="86"/>
  <c r="N30" i="86" s="1"/>
  <c r="D30" i="86"/>
  <c r="L30" i="86" s="1"/>
  <c r="Z28" i="86"/>
  <c r="X28" i="86"/>
  <c r="N28" i="86"/>
  <c r="L28" i="86"/>
  <c r="B28" i="86"/>
  <c r="Z27" i="86"/>
  <c r="V27" i="86"/>
  <c r="T27" i="86"/>
  <c r="X27" i="86" s="1"/>
  <c r="P27" i="86"/>
  <c r="N27" i="86"/>
  <c r="J27" i="86"/>
  <c r="H27" i="86"/>
  <c r="D27" i="86"/>
  <c r="L27" i="86" s="1"/>
  <c r="B27" i="86"/>
  <c r="Z26" i="86"/>
  <c r="X26" i="86"/>
  <c r="V26" i="86"/>
  <c r="N26" i="86"/>
  <c r="L26" i="86"/>
  <c r="B26" i="86"/>
  <c r="V25" i="86"/>
  <c r="T25" i="86"/>
  <c r="Z25" i="86" s="1"/>
  <c r="P25" i="86"/>
  <c r="X25" i="86" s="1"/>
  <c r="N25" i="86"/>
  <c r="J25" i="86"/>
  <c r="H25" i="86"/>
  <c r="D25" i="86"/>
  <c r="L25" i="86" s="1"/>
  <c r="B25" i="86"/>
  <c r="X24" i="86"/>
  <c r="Z24" i="86" s="1"/>
  <c r="V24" i="86"/>
  <c r="L24" i="86"/>
  <c r="N24" i="86" s="1"/>
  <c r="B24" i="86"/>
  <c r="Z23" i="86"/>
  <c r="X23" i="86"/>
  <c r="T23" i="86"/>
  <c r="P23" i="86"/>
  <c r="N23" i="86"/>
  <c r="L23" i="86"/>
  <c r="J23" i="86"/>
  <c r="H23" i="86"/>
  <c r="D23" i="86"/>
  <c r="B23" i="86"/>
  <c r="T22" i="86"/>
  <c r="Z22" i="86" s="1"/>
  <c r="P22" i="86"/>
  <c r="X22" i="86" s="1"/>
  <c r="L22" i="86"/>
  <c r="H22" i="86"/>
  <c r="D22" i="86"/>
  <c r="H20" i="86"/>
  <c r="Z18" i="86"/>
  <c r="X18" i="86"/>
  <c r="V18" i="86"/>
  <c r="N18" i="86"/>
  <c r="L18" i="86"/>
  <c r="B18" i="86"/>
  <c r="Z17" i="86"/>
  <c r="X17" i="86"/>
  <c r="V17" i="86"/>
  <c r="L17" i="86"/>
  <c r="N17" i="86" s="1"/>
  <c r="J17" i="86"/>
  <c r="B17" i="86"/>
  <c r="T16" i="86"/>
  <c r="P16" i="86"/>
  <c r="H16" i="86"/>
  <c r="D16" i="86"/>
  <c r="L16" i="86" s="1"/>
  <c r="Z14" i="86"/>
  <c r="X14" i="86"/>
  <c r="P14" i="86"/>
  <c r="N14" i="86"/>
  <c r="D14" i="86"/>
  <c r="B14" i="86"/>
  <c r="P13" i="86"/>
  <c r="X13" i="86" s="1"/>
  <c r="Z13" i="86" s="1"/>
  <c r="L13" i="86"/>
  <c r="N13" i="86" s="1"/>
  <c r="D13" i="86"/>
  <c r="B13" i="86"/>
  <c r="X12" i="86"/>
  <c r="T12" i="86"/>
  <c r="V23" i="86" s="1"/>
  <c r="P12" i="86"/>
  <c r="H12" i="86"/>
  <c r="J26" i="86" s="1"/>
  <c r="D6" i="86"/>
  <c r="D4" i="86"/>
  <c r="X126" i="85"/>
  <c r="Z126" i="85" s="1"/>
  <c r="L126" i="85"/>
  <c r="N126" i="85" s="1"/>
  <c r="T122" i="85"/>
  <c r="Z122" i="85" s="1"/>
  <c r="P122" i="85"/>
  <c r="X122" i="85" s="1"/>
  <c r="H122" i="85"/>
  <c r="N122" i="85" s="1"/>
  <c r="D122" i="85"/>
  <c r="X120" i="85"/>
  <c r="Z120" i="85" s="1"/>
  <c r="L120" i="85"/>
  <c r="N120" i="85" s="1"/>
  <c r="B120" i="85"/>
  <c r="Z119" i="85"/>
  <c r="X119" i="85"/>
  <c r="T119" i="85"/>
  <c r="P119" i="85"/>
  <c r="N119" i="85"/>
  <c r="L119" i="85"/>
  <c r="J119" i="85"/>
  <c r="H119" i="85"/>
  <c r="D119" i="85"/>
  <c r="B119" i="85"/>
  <c r="Z118" i="85"/>
  <c r="X118" i="85"/>
  <c r="L118" i="85"/>
  <c r="N118" i="85" s="1"/>
  <c r="B118" i="85"/>
  <c r="T117" i="85"/>
  <c r="P117" i="85"/>
  <c r="X117" i="85" s="1"/>
  <c r="Z117" i="85" s="1"/>
  <c r="N117" i="85"/>
  <c r="H117" i="85"/>
  <c r="L117" i="85" s="1"/>
  <c r="D117" i="85"/>
  <c r="B117" i="85"/>
  <c r="Z116" i="85"/>
  <c r="X116" i="85"/>
  <c r="N116" i="85"/>
  <c r="L116" i="85"/>
  <c r="B116" i="85"/>
  <c r="Z115" i="85"/>
  <c r="V115" i="85"/>
  <c r="T115" i="85"/>
  <c r="P115" i="85"/>
  <c r="X115" i="85" s="1"/>
  <c r="J115" i="85"/>
  <c r="H115" i="85"/>
  <c r="N115" i="85" s="1"/>
  <c r="D115" i="85"/>
  <c r="L115" i="85" s="1"/>
  <c r="B115" i="85"/>
  <c r="Z114" i="85"/>
  <c r="X114" i="85"/>
  <c r="N114" i="85"/>
  <c r="L114" i="85"/>
  <c r="B114" i="85"/>
  <c r="Z113" i="85"/>
  <c r="X113" i="85"/>
  <c r="N113" i="85"/>
  <c r="L113" i="85"/>
  <c r="J113" i="85"/>
  <c r="B113" i="85"/>
  <c r="T112" i="85"/>
  <c r="Z112" i="85" s="1"/>
  <c r="P112" i="85"/>
  <c r="X112" i="85" s="1"/>
  <c r="L112" i="85"/>
  <c r="H112" i="85"/>
  <c r="D112" i="85"/>
  <c r="B112" i="85"/>
  <c r="Z111" i="85"/>
  <c r="X111" i="85"/>
  <c r="N111" i="85"/>
  <c r="L111" i="85"/>
  <c r="J111" i="85"/>
  <c r="B111" i="85"/>
  <c r="Z110" i="85"/>
  <c r="X110" i="85"/>
  <c r="L110" i="85"/>
  <c r="N110" i="85" s="1"/>
  <c r="B110" i="85"/>
  <c r="Z109" i="85"/>
  <c r="X109" i="85"/>
  <c r="L109" i="85"/>
  <c r="N109" i="85" s="1"/>
  <c r="J109" i="85"/>
  <c r="B109" i="85"/>
  <c r="X108" i="85"/>
  <c r="Z108" i="85" s="1"/>
  <c r="L108" i="85"/>
  <c r="N108" i="85" s="1"/>
  <c r="B108" i="85"/>
  <c r="Z107" i="85"/>
  <c r="X107" i="85"/>
  <c r="N107" i="85"/>
  <c r="L107" i="85"/>
  <c r="J107" i="85"/>
  <c r="B107" i="85"/>
  <c r="T106" i="85"/>
  <c r="P106" i="85"/>
  <c r="H106" i="85"/>
  <c r="D106" i="85"/>
  <c r="L106" i="85" s="1"/>
  <c r="B106" i="85"/>
  <c r="X105" i="85"/>
  <c r="Z105" i="85" s="1"/>
  <c r="N105" i="85"/>
  <c r="L105" i="85"/>
  <c r="J105" i="85"/>
  <c r="B105" i="85"/>
  <c r="X104" i="85"/>
  <c r="Z104" i="85" s="1"/>
  <c r="N104" i="85"/>
  <c r="L104" i="85"/>
  <c r="B104" i="85"/>
  <c r="Z103" i="85"/>
  <c r="T103" i="85"/>
  <c r="P103" i="85"/>
  <c r="X103" i="85" s="1"/>
  <c r="L103" i="85"/>
  <c r="J103" i="85"/>
  <c r="H103" i="85"/>
  <c r="N103" i="85" s="1"/>
  <c r="D103" i="85"/>
  <c r="B103" i="85"/>
  <c r="X102" i="85"/>
  <c r="Z102" i="85" s="1"/>
  <c r="N102" i="85"/>
  <c r="L102" i="85"/>
  <c r="B102" i="85"/>
  <c r="Z101" i="85"/>
  <c r="X101" i="85"/>
  <c r="N101" i="85"/>
  <c r="L101" i="85"/>
  <c r="J101" i="85"/>
  <c r="B101" i="85"/>
  <c r="X100" i="85"/>
  <c r="Z100" i="85" s="1"/>
  <c r="L100" i="85"/>
  <c r="N100" i="85" s="1"/>
  <c r="B100" i="85"/>
  <c r="Z99" i="85"/>
  <c r="X99" i="85"/>
  <c r="T99" i="85"/>
  <c r="P99" i="85"/>
  <c r="N99" i="85"/>
  <c r="L99" i="85"/>
  <c r="J99" i="85"/>
  <c r="H99" i="85"/>
  <c r="D99" i="85"/>
  <c r="B99" i="85"/>
  <c r="Z98" i="85"/>
  <c r="X98" i="85"/>
  <c r="L98" i="85"/>
  <c r="N98" i="85" s="1"/>
  <c r="B98" i="85"/>
  <c r="Z97" i="85"/>
  <c r="X97" i="85"/>
  <c r="V97" i="85"/>
  <c r="N97" i="85"/>
  <c r="L97" i="85"/>
  <c r="J97" i="85"/>
  <c r="B97" i="85"/>
  <c r="T96" i="85"/>
  <c r="P96" i="85"/>
  <c r="X96" i="85" s="1"/>
  <c r="H96" i="85"/>
  <c r="D96" i="85"/>
  <c r="L96" i="85" s="1"/>
  <c r="B96" i="85"/>
  <c r="Z95" i="85"/>
  <c r="X95" i="85"/>
  <c r="V95" i="85"/>
  <c r="N95" i="85"/>
  <c r="L95" i="85"/>
  <c r="B95" i="85"/>
  <c r="T94" i="85"/>
  <c r="P94" i="85"/>
  <c r="X94" i="85" s="1"/>
  <c r="H94" i="85"/>
  <c r="D94" i="85"/>
  <c r="L94" i="85" s="1"/>
  <c r="N94" i="85" s="1"/>
  <c r="B94" i="85"/>
  <c r="Z93" i="85"/>
  <c r="X93" i="85"/>
  <c r="V93" i="85"/>
  <c r="N93" i="85"/>
  <c r="L93" i="85"/>
  <c r="J93" i="85"/>
  <c r="B93" i="85"/>
  <c r="X92" i="85"/>
  <c r="T92" i="85"/>
  <c r="Z92" i="85" s="1"/>
  <c r="P92" i="85"/>
  <c r="L92" i="85"/>
  <c r="H92" i="85"/>
  <c r="N92" i="85" s="1"/>
  <c r="D92" i="85"/>
  <c r="B92" i="85"/>
  <c r="Z91" i="85"/>
  <c r="X91" i="85"/>
  <c r="N91" i="85"/>
  <c r="L91" i="85"/>
  <c r="J91" i="85"/>
  <c r="B91" i="85"/>
  <c r="T90" i="85"/>
  <c r="P90" i="85"/>
  <c r="H90" i="85"/>
  <c r="D90" i="85"/>
  <c r="L90" i="85" s="1"/>
  <c r="B90" i="85"/>
  <c r="X89" i="85"/>
  <c r="Z89" i="85" s="1"/>
  <c r="N89" i="85"/>
  <c r="L89" i="85"/>
  <c r="J89" i="85"/>
  <c r="B89" i="85"/>
  <c r="T88" i="85"/>
  <c r="P88" i="85"/>
  <c r="X88" i="85" s="1"/>
  <c r="H88" i="85"/>
  <c r="D88" i="85"/>
  <c r="L88" i="85" s="1"/>
  <c r="B88" i="85"/>
  <c r="Z87" i="85"/>
  <c r="X87" i="85"/>
  <c r="N87" i="85"/>
  <c r="L87" i="85"/>
  <c r="B87" i="85"/>
  <c r="T86" i="85"/>
  <c r="P86" i="85"/>
  <c r="H86" i="85"/>
  <c r="N86" i="85" s="1"/>
  <c r="D86" i="85"/>
  <c r="L86" i="85" s="1"/>
  <c r="B86" i="85"/>
  <c r="Z85" i="85"/>
  <c r="X85" i="85"/>
  <c r="L85" i="85"/>
  <c r="N85" i="85" s="1"/>
  <c r="J85" i="85"/>
  <c r="B85" i="85"/>
  <c r="T84" i="85"/>
  <c r="P84" i="85"/>
  <c r="X84" i="85" s="1"/>
  <c r="H84" i="85"/>
  <c r="D84" i="85"/>
  <c r="L84" i="85" s="1"/>
  <c r="B84" i="85"/>
  <c r="Z83" i="85"/>
  <c r="X83" i="85"/>
  <c r="N83" i="85"/>
  <c r="L83" i="85"/>
  <c r="B83" i="85"/>
  <c r="T82" i="85"/>
  <c r="P82" i="85"/>
  <c r="H82" i="85"/>
  <c r="D82" i="85"/>
  <c r="L82" i="85" s="1"/>
  <c r="B82" i="85"/>
  <c r="Z81" i="85"/>
  <c r="X81" i="85"/>
  <c r="N81" i="85"/>
  <c r="L81" i="85"/>
  <c r="J81" i="85"/>
  <c r="B81" i="85"/>
  <c r="T80" i="85"/>
  <c r="P80" i="85"/>
  <c r="L80" i="85"/>
  <c r="H80" i="85"/>
  <c r="D80" i="85"/>
  <c r="B80" i="85"/>
  <c r="Z79" i="85"/>
  <c r="X79" i="85"/>
  <c r="N79" i="85"/>
  <c r="L79" i="85"/>
  <c r="J79" i="85"/>
  <c r="B79" i="85"/>
  <c r="T78" i="85"/>
  <c r="P78" i="85"/>
  <c r="X78" i="85" s="1"/>
  <c r="L78" i="85"/>
  <c r="H78" i="85"/>
  <c r="D78" i="85"/>
  <c r="B78" i="85"/>
  <c r="X77" i="85"/>
  <c r="Z77" i="85" s="1"/>
  <c r="N77" i="85"/>
  <c r="L77" i="85"/>
  <c r="J77" i="85"/>
  <c r="B77" i="85"/>
  <c r="Z76" i="85"/>
  <c r="X76" i="85"/>
  <c r="N76" i="85"/>
  <c r="L76" i="85"/>
  <c r="B76" i="85"/>
  <c r="T75" i="85"/>
  <c r="P75" i="85"/>
  <c r="X75" i="85" s="1"/>
  <c r="Z75" i="85" s="1"/>
  <c r="L75" i="85"/>
  <c r="J75" i="85"/>
  <c r="H75" i="85"/>
  <c r="N75" i="85" s="1"/>
  <c r="D75" i="85"/>
  <c r="B75" i="85"/>
  <c r="X74" i="85"/>
  <c r="Z74" i="85" s="1"/>
  <c r="N74" i="85"/>
  <c r="L74" i="85"/>
  <c r="B74" i="85"/>
  <c r="Z73" i="85"/>
  <c r="X73" i="85"/>
  <c r="V73" i="85"/>
  <c r="T73" i="85"/>
  <c r="P73" i="85"/>
  <c r="H73" i="85"/>
  <c r="D73" i="85"/>
  <c r="L73" i="85" s="1"/>
  <c r="N73" i="85" s="1"/>
  <c r="B73" i="85"/>
  <c r="Z72" i="85"/>
  <c r="X72" i="85"/>
  <c r="N72" i="85"/>
  <c r="L72" i="85"/>
  <c r="B72" i="85"/>
  <c r="Z71" i="85"/>
  <c r="X71" i="85"/>
  <c r="N71" i="85"/>
  <c r="L71" i="85"/>
  <c r="J71" i="85"/>
  <c r="B71" i="85"/>
  <c r="Z70" i="85"/>
  <c r="X70" i="85"/>
  <c r="L70" i="85"/>
  <c r="N70" i="85" s="1"/>
  <c r="B70" i="85"/>
  <c r="Z69" i="85"/>
  <c r="X69" i="85"/>
  <c r="N69" i="85"/>
  <c r="L69" i="85"/>
  <c r="J69" i="85"/>
  <c r="B69" i="85"/>
  <c r="Z68" i="85"/>
  <c r="X68" i="85"/>
  <c r="N68" i="85"/>
  <c r="L68" i="85"/>
  <c r="B68" i="85"/>
  <c r="Z67" i="85"/>
  <c r="X67" i="85"/>
  <c r="N67" i="85"/>
  <c r="L67" i="85"/>
  <c r="J67" i="85"/>
  <c r="B67" i="85"/>
  <c r="Z66" i="85"/>
  <c r="X66" i="85"/>
  <c r="L66" i="85"/>
  <c r="N66" i="85" s="1"/>
  <c r="B66" i="85"/>
  <c r="Z65" i="85"/>
  <c r="X65" i="85"/>
  <c r="V65" i="85"/>
  <c r="N65" i="85"/>
  <c r="L65" i="85"/>
  <c r="J65" i="85"/>
  <c r="B65" i="85"/>
  <c r="X64" i="85"/>
  <c r="Z64" i="85" s="1"/>
  <c r="L64" i="85"/>
  <c r="N64" i="85" s="1"/>
  <c r="B64" i="85"/>
  <c r="Z63" i="85"/>
  <c r="X63" i="85"/>
  <c r="N63" i="85"/>
  <c r="L63" i="85"/>
  <c r="J63" i="85"/>
  <c r="B63" i="85"/>
  <c r="T62" i="85"/>
  <c r="P62" i="85"/>
  <c r="X62" i="85" s="1"/>
  <c r="L62" i="85"/>
  <c r="H62" i="85"/>
  <c r="D62" i="85"/>
  <c r="B62" i="85"/>
  <c r="Z61" i="85"/>
  <c r="X61" i="85"/>
  <c r="V61" i="85"/>
  <c r="N61" i="85"/>
  <c r="L61" i="85"/>
  <c r="J61" i="85"/>
  <c r="B61" i="85"/>
  <c r="X60" i="85"/>
  <c r="Z60" i="85" s="1"/>
  <c r="L60" i="85"/>
  <c r="N60" i="85" s="1"/>
  <c r="B60" i="85"/>
  <c r="Z59" i="85"/>
  <c r="X59" i="85"/>
  <c r="N59" i="85"/>
  <c r="L59" i="85"/>
  <c r="B59" i="85"/>
  <c r="Z58" i="85"/>
  <c r="X58" i="85"/>
  <c r="N58" i="85"/>
  <c r="L58" i="85"/>
  <c r="B58" i="85"/>
  <c r="X57" i="85"/>
  <c r="Z57" i="85" s="1"/>
  <c r="N57" i="85"/>
  <c r="L57" i="85"/>
  <c r="J57" i="85"/>
  <c r="B57" i="85"/>
  <c r="X56" i="85"/>
  <c r="Z56" i="85" s="1"/>
  <c r="L56" i="85"/>
  <c r="N56" i="85" s="1"/>
  <c r="B56" i="85"/>
  <c r="Z55" i="85"/>
  <c r="X55" i="85"/>
  <c r="N55" i="85"/>
  <c r="L55" i="85"/>
  <c r="B55" i="85"/>
  <c r="X54" i="85"/>
  <c r="Z54" i="85" s="1"/>
  <c r="L54" i="85"/>
  <c r="N54" i="85" s="1"/>
  <c r="B54" i="85"/>
  <c r="X53" i="85"/>
  <c r="Z53" i="85" s="1"/>
  <c r="N53" i="85"/>
  <c r="L53" i="85"/>
  <c r="J53" i="85"/>
  <c r="B53" i="85"/>
  <c r="X52" i="85"/>
  <c r="T52" i="85"/>
  <c r="Z52" i="85" s="1"/>
  <c r="P52" i="85"/>
  <c r="H52" i="85"/>
  <c r="D52" i="85"/>
  <c r="B52" i="85"/>
  <c r="T51" i="85"/>
  <c r="P51" i="85"/>
  <c r="X51" i="85" s="1"/>
  <c r="Z51" i="85" s="1"/>
  <c r="J51" i="85"/>
  <c r="H51" i="85"/>
  <c r="D51" i="85"/>
  <c r="L51" i="85" s="1"/>
  <c r="N51" i="85" s="1"/>
  <c r="T49" i="85"/>
  <c r="T124" i="85" s="1"/>
  <c r="Z47" i="85"/>
  <c r="X47" i="85"/>
  <c r="N47" i="85"/>
  <c r="L47" i="85"/>
  <c r="J47" i="85"/>
  <c r="B47" i="85"/>
  <c r="Z46" i="85"/>
  <c r="X46" i="85"/>
  <c r="N46" i="85"/>
  <c r="L46" i="85"/>
  <c r="J46" i="85"/>
  <c r="B46" i="85"/>
  <c r="Z45" i="85"/>
  <c r="X45" i="85"/>
  <c r="V45" i="85"/>
  <c r="N45" i="85"/>
  <c r="L45" i="85"/>
  <c r="J45" i="85"/>
  <c r="B45" i="85"/>
  <c r="Z44" i="85"/>
  <c r="X44" i="85"/>
  <c r="N44" i="85"/>
  <c r="L44" i="85"/>
  <c r="J44" i="85"/>
  <c r="B44" i="85"/>
  <c r="Z43" i="85"/>
  <c r="X43" i="85"/>
  <c r="N43" i="85"/>
  <c r="L43" i="85"/>
  <c r="J43" i="85"/>
  <c r="B43" i="85"/>
  <c r="Z42" i="85"/>
  <c r="X42" i="85"/>
  <c r="V42" i="85"/>
  <c r="N42" i="85"/>
  <c r="L42" i="85"/>
  <c r="J42" i="85"/>
  <c r="B42" i="85"/>
  <c r="Z41" i="85"/>
  <c r="X41" i="85"/>
  <c r="V41" i="85"/>
  <c r="N41" i="85"/>
  <c r="L41" i="85"/>
  <c r="J41" i="85"/>
  <c r="B41" i="85"/>
  <c r="Z40" i="85"/>
  <c r="X40" i="85"/>
  <c r="N40" i="85"/>
  <c r="L40" i="85"/>
  <c r="J40" i="85"/>
  <c r="B40" i="85"/>
  <c r="Z39" i="85"/>
  <c r="X39" i="85"/>
  <c r="N39" i="85"/>
  <c r="L39" i="85"/>
  <c r="J39" i="85"/>
  <c r="B39" i="85"/>
  <c r="Z38" i="85"/>
  <c r="X38" i="85"/>
  <c r="V38" i="85"/>
  <c r="N38" i="85"/>
  <c r="L38" i="85"/>
  <c r="J38" i="85"/>
  <c r="B38" i="85"/>
  <c r="Z37" i="85"/>
  <c r="X37" i="85"/>
  <c r="V37" i="85"/>
  <c r="N37" i="85"/>
  <c r="L37" i="85"/>
  <c r="J37" i="85"/>
  <c r="B37" i="85"/>
  <c r="Z36" i="85"/>
  <c r="X36" i="85"/>
  <c r="N36" i="85"/>
  <c r="L36" i="85"/>
  <c r="J36" i="85"/>
  <c r="B36" i="85"/>
  <c r="Z35" i="85"/>
  <c r="X35" i="85"/>
  <c r="N35" i="85"/>
  <c r="L35" i="85"/>
  <c r="J35" i="85"/>
  <c r="B35" i="85"/>
  <c r="X34" i="85"/>
  <c r="Z34" i="85" s="1"/>
  <c r="V34" i="85"/>
  <c r="N34" i="85"/>
  <c r="L34" i="85"/>
  <c r="J34" i="85"/>
  <c r="B34" i="85"/>
  <c r="Z33" i="85"/>
  <c r="T33" i="85"/>
  <c r="P33" i="85"/>
  <c r="X33" i="85" s="1"/>
  <c r="H33" i="85"/>
  <c r="H49" i="85" s="1"/>
  <c r="D33" i="85"/>
  <c r="L33" i="85" s="1"/>
  <c r="Z31" i="85"/>
  <c r="P31" i="85"/>
  <c r="X31" i="85" s="1"/>
  <c r="N31" i="85"/>
  <c r="L31" i="85"/>
  <c r="D31" i="85"/>
  <c r="B31" i="85"/>
  <c r="Z30" i="85"/>
  <c r="P30" i="85"/>
  <c r="X30" i="85" s="1"/>
  <c r="N30" i="85"/>
  <c r="L30" i="85"/>
  <c r="D30" i="85"/>
  <c r="B30" i="85"/>
  <c r="Z29" i="85"/>
  <c r="X29" i="85"/>
  <c r="P29" i="85"/>
  <c r="N29" i="85"/>
  <c r="L29" i="85"/>
  <c r="D29" i="85"/>
  <c r="B29" i="85"/>
  <c r="Z28" i="85"/>
  <c r="P28" i="85"/>
  <c r="X28" i="85" s="1"/>
  <c r="N28" i="85"/>
  <c r="D28" i="85"/>
  <c r="L28" i="85" s="1"/>
  <c r="B28" i="85"/>
  <c r="Z27" i="85"/>
  <c r="X27" i="85"/>
  <c r="P27" i="85"/>
  <c r="N27" i="85"/>
  <c r="D27" i="85"/>
  <c r="L27" i="85" s="1"/>
  <c r="B27" i="85"/>
  <c r="Z26" i="85"/>
  <c r="X26" i="85"/>
  <c r="P26" i="85"/>
  <c r="N26" i="85"/>
  <c r="L26" i="85"/>
  <c r="D26" i="85"/>
  <c r="B26" i="85"/>
  <c r="Z25" i="85"/>
  <c r="X25" i="85"/>
  <c r="P25" i="85"/>
  <c r="N25" i="85"/>
  <c r="D25" i="85"/>
  <c r="L25" i="85" s="1"/>
  <c r="B25" i="85"/>
  <c r="Z24" i="85"/>
  <c r="P24" i="85"/>
  <c r="X24" i="85" s="1"/>
  <c r="N24" i="85"/>
  <c r="D24" i="85"/>
  <c r="L24" i="85" s="1"/>
  <c r="B24" i="85"/>
  <c r="Z23" i="85"/>
  <c r="X23" i="85"/>
  <c r="P23" i="85"/>
  <c r="N23" i="85"/>
  <c r="L23" i="85"/>
  <c r="D23" i="85"/>
  <c r="B23" i="85"/>
  <c r="Z22" i="85"/>
  <c r="P22" i="85"/>
  <c r="X22" i="85" s="1"/>
  <c r="N22" i="85"/>
  <c r="L22" i="85"/>
  <c r="D22" i="85"/>
  <c r="B22" i="85"/>
  <c r="Z21" i="85"/>
  <c r="P21" i="85"/>
  <c r="X21" i="85" s="1"/>
  <c r="N21" i="85"/>
  <c r="D21" i="85"/>
  <c r="L21" i="85" s="1"/>
  <c r="B21" i="85"/>
  <c r="Z20" i="85"/>
  <c r="X20" i="85"/>
  <c r="P20" i="85"/>
  <c r="N20" i="85"/>
  <c r="L20" i="85"/>
  <c r="D20" i="85"/>
  <c r="B20" i="85"/>
  <c r="Z19" i="85"/>
  <c r="P19" i="85"/>
  <c r="X19" i="85" s="1"/>
  <c r="N19" i="85"/>
  <c r="L19" i="85"/>
  <c r="D19" i="85"/>
  <c r="B19" i="85"/>
  <c r="Z18" i="85"/>
  <c r="P18" i="85"/>
  <c r="X18" i="85" s="1"/>
  <c r="N18" i="85"/>
  <c r="L18" i="85"/>
  <c r="D18" i="85"/>
  <c r="B18" i="85"/>
  <c r="Z17" i="85"/>
  <c r="X17" i="85"/>
  <c r="P17" i="85"/>
  <c r="N17" i="85"/>
  <c r="L17" i="85"/>
  <c r="D17" i="85"/>
  <c r="B17" i="85"/>
  <c r="Z16" i="85"/>
  <c r="X16" i="85"/>
  <c r="P16" i="85"/>
  <c r="N16" i="85"/>
  <c r="D16" i="85"/>
  <c r="L16" i="85" s="1"/>
  <c r="B16" i="85"/>
  <c r="Z15" i="85"/>
  <c r="P15" i="85"/>
  <c r="N15" i="85"/>
  <c r="D15" i="85"/>
  <c r="L15" i="85" s="1"/>
  <c r="B15" i="85"/>
  <c r="Z14" i="85"/>
  <c r="X14" i="85"/>
  <c r="P14" i="85"/>
  <c r="N14" i="85"/>
  <c r="D14" i="85"/>
  <c r="L14" i="85" s="1"/>
  <c r="B14" i="85"/>
  <c r="P13" i="85"/>
  <c r="X13" i="85" s="1"/>
  <c r="Z13" i="85" s="1"/>
  <c r="L13" i="85"/>
  <c r="N13" i="85" s="1"/>
  <c r="D13" i="85"/>
  <c r="B13" i="85"/>
  <c r="T12" i="85"/>
  <c r="V105" i="85" s="1"/>
  <c r="H12" i="85"/>
  <c r="D6" i="85"/>
  <c r="D4" i="85"/>
  <c r="X98" i="84"/>
  <c r="Z98" i="84" s="1"/>
  <c r="N98" i="84"/>
  <c r="L98" i="84"/>
  <c r="J98" i="84"/>
  <c r="X94" i="84"/>
  <c r="V94" i="84"/>
  <c r="T94" i="84"/>
  <c r="Z94" i="84" s="1"/>
  <c r="P94" i="84"/>
  <c r="H94" i="84"/>
  <c r="N94" i="84" s="1"/>
  <c r="D94" i="84"/>
  <c r="L94" i="84" s="1"/>
  <c r="X92" i="84"/>
  <c r="Z92" i="84" s="1"/>
  <c r="V92" i="84"/>
  <c r="N92" i="84"/>
  <c r="L92" i="84"/>
  <c r="B92" i="84"/>
  <c r="V91" i="84"/>
  <c r="T91" i="84"/>
  <c r="P91" i="84"/>
  <c r="X91" i="84" s="1"/>
  <c r="Z91" i="84" s="1"/>
  <c r="N91" i="84"/>
  <c r="H91" i="84"/>
  <c r="D91" i="84"/>
  <c r="L91" i="84" s="1"/>
  <c r="B91" i="84"/>
  <c r="X90" i="84"/>
  <c r="Z90" i="84" s="1"/>
  <c r="L90" i="84"/>
  <c r="N90" i="84" s="1"/>
  <c r="B90" i="84"/>
  <c r="X89" i="84"/>
  <c r="V89" i="84"/>
  <c r="T89" i="84"/>
  <c r="Z89" i="84" s="1"/>
  <c r="P89" i="84"/>
  <c r="N89" i="84"/>
  <c r="L89" i="84"/>
  <c r="J89" i="84"/>
  <c r="H89" i="84"/>
  <c r="D89" i="84"/>
  <c r="B89" i="84"/>
  <c r="X88" i="84"/>
  <c r="Z88" i="84" s="1"/>
  <c r="N88" i="84"/>
  <c r="L88" i="84"/>
  <c r="J88" i="84"/>
  <c r="B88" i="84"/>
  <c r="T87" i="84"/>
  <c r="Z87" i="84" s="1"/>
  <c r="P87" i="84"/>
  <c r="X87" i="84" s="1"/>
  <c r="H87" i="84"/>
  <c r="N87" i="84" s="1"/>
  <c r="D87" i="84"/>
  <c r="B87" i="84"/>
  <c r="X86" i="84"/>
  <c r="Z86" i="84" s="1"/>
  <c r="V86" i="84"/>
  <c r="L86" i="84"/>
  <c r="N86" i="84" s="1"/>
  <c r="B86" i="84"/>
  <c r="T85" i="84"/>
  <c r="P85" i="84"/>
  <c r="X85" i="84" s="1"/>
  <c r="Z85" i="84" s="1"/>
  <c r="J85" i="84"/>
  <c r="H85" i="84"/>
  <c r="D85" i="84"/>
  <c r="L85" i="84" s="1"/>
  <c r="N85" i="84" s="1"/>
  <c r="B85" i="84"/>
  <c r="Z84" i="84"/>
  <c r="X84" i="84"/>
  <c r="N84" i="84"/>
  <c r="L84" i="84"/>
  <c r="B84" i="84"/>
  <c r="Z83" i="84"/>
  <c r="X83" i="84"/>
  <c r="V83" i="84"/>
  <c r="N83" i="84"/>
  <c r="L83" i="84"/>
  <c r="B83" i="84"/>
  <c r="X82" i="84"/>
  <c r="Z82" i="84" s="1"/>
  <c r="N82" i="84"/>
  <c r="L82" i="84"/>
  <c r="B82" i="84"/>
  <c r="Z81" i="84"/>
  <c r="X81" i="84"/>
  <c r="V81" i="84"/>
  <c r="N81" i="84"/>
  <c r="L81" i="84"/>
  <c r="J81" i="84"/>
  <c r="F81" i="84"/>
  <c r="B81" i="84"/>
  <c r="Z80" i="84"/>
  <c r="X80" i="84"/>
  <c r="N80" i="84"/>
  <c r="L80" i="84"/>
  <c r="B80" i="84"/>
  <c r="X79" i="84"/>
  <c r="Z79" i="84" s="1"/>
  <c r="V79" i="84"/>
  <c r="N79" i="84"/>
  <c r="L79" i="84"/>
  <c r="B79" i="84"/>
  <c r="X78" i="84"/>
  <c r="Z78" i="84" s="1"/>
  <c r="N78" i="84"/>
  <c r="L78" i="84"/>
  <c r="B78" i="84"/>
  <c r="X77" i="84"/>
  <c r="V77" i="84"/>
  <c r="T77" i="84"/>
  <c r="Z77" i="84" s="1"/>
  <c r="P77" i="84"/>
  <c r="N77" i="84"/>
  <c r="L77" i="84"/>
  <c r="J77" i="84"/>
  <c r="H77" i="84"/>
  <c r="D77" i="84"/>
  <c r="B77" i="84"/>
  <c r="X76" i="84"/>
  <c r="Z76" i="84" s="1"/>
  <c r="L76" i="84"/>
  <c r="N76" i="84" s="1"/>
  <c r="J76" i="84"/>
  <c r="B76" i="84"/>
  <c r="T75" i="84"/>
  <c r="Z75" i="84" s="1"/>
  <c r="P75" i="84"/>
  <c r="X75" i="84" s="1"/>
  <c r="H75" i="84"/>
  <c r="F75" i="84"/>
  <c r="D75" i="84"/>
  <c r="L75" i="84" s="1"/>
  <c r="B75" i="84"/>
  <c r="X74" i="84"/>
  <c r="Z74" i="84" s="1"/>
  <c r="V74" i="84"/>
  <c r="L74" i="84"/>
  <c r="N74" i="84" s="1"/>
  <c r="B74" i="84"/>
  <c r="Z73" i="84"/>
  <c r="X73" i="84"/>
  <c r="L73" i="84"/>
  <c r="N73" i="84" s="1"/>
  <c r="J73" i="84"/>
  <c r="B73" i="84"/>
  <c r="X72" i="84"/>
  <c r="Z72" i="84" s="1"/>
  <c r="V72" i="84"/>
  <c r="N72" i="84"/>
  <c r="L72" i="84"/>
  <c r="B72" i="84"/>
  <c r="Z71" i="84"/>
  <c r="X71" i="84"/>
  <c r="V71" i="84"/>
  <c r="N71" i="84"/>
  <c r="L71" i="84"/>
  <c r="J71" i="84"/>
  <c r="B71" i="84"/>
  <c r="T70" i="84"/>
  <c r="P70" i="84"/>
  <c r="X70" i="84" s="1"/>
  <c r="L70" i="84"/>
  <c r="J70" i="84"/>
  <c r="H70" i="84"/>
  <c r="D70" i="84"/>
  <c r="B70" i="84"/>
  <c r="X69" i="84"/>
  <c r="Z69" i="84" s="1"/>
  <c r="V69" i="84"/>
  <c r="N69" i="84"/>
  <c r="L69" i="84"/>
  <c r="J69" i="84"/>
  <c r="B69" i="84"/>
  <c r="Z68" i="84"/>
  <c r="X68" i="84"/>
  <c r="N68" i="84"/>
  <c r="L68" i="84"/>
  <c r="B68" i="84"/>
  <c r="Z67" i="84"/>
  <c r="X67" i="84"/>
  <c r="V67" i="84"/>
  <c r="N67" i="84"/>
  <c r="L67" i="84"/>
  <c r="B67" i="84"/>
  <c r="T66" i="84"/>
  <c r="P66" i="84"/>
  <c r="X66" i="84" s="1"/>
  <c r="H66" i="84"/>
  <c r="D66" i="84"/>
  <c r="L66" i="84" s="1"/>
  <c r="N66" i="84" s="1"/>
  <c r="B66" i="84"/>
  <c r="Z65" i="84"/>
  <c r="X65" i="84"/>
  <c r="V65" i="84"/>
  <c r="N65" i="84"/>
  <c r="L65" i="84"/>
  <c r="B65" i="84"/>
  <c r="T64" i="84"/>
  <c r="P64" i="84"/>
  <c r="X64" i="84" s="1"/>
  <c r="N64" i="84"/>
  <c r="L64" i="84"/>
  <c r="H64" i="84"/>
  <c r="D64" i="84"/>
  <c r="B64" i="84"/>
  <c r="Z63" i="84"/>
  <c r="X63" i="84"/>
  <c r="V63" i="84"/>
  <c r="L63" i="84"/>
  <c r="N63" i="84" s="1"/>
  <c r="J63" i="84"/>
  <c r="B63" i="84"/>
  <c r="T62" i="84"/>
  <c r="Z62" i="84" s="1"/>
  <c r="P62" i="84"/>
  <c r="X62" i="84" s="1"/>
  <c r="J62" i="84"/>
  <c r="H62" i="84"/>
  <c r="D62" i="84"/>
  <c r="B62" i="84"/>
  <c r="X61" i="84"/>
  <c r="Z61" i="84" s="1"/>
  <c r="V61" i="84"/>
  <c r="N61" i="84"/>
  <c r="L61" i="84"/>
  <c r="J61" i="84"/>
  <c r="B61" i="84"/>
  <c r="T60" i="84"/>
  <c r="P60" i="84"/>
  <c r="X60" i="84" s="1"/>
  <c r="Z60" i="84" s="1"/>
  <c r="H60" i="84"/>
  <c r="D60" i="84"/>
  <c r="B60" i="84"/>
  <c r="Z59" i="84"/>
  <c r="X59" i="84"/>
  <c r="N59" i="84"/>
  <c r="L59" i="84"/>
  <c r="J59" i="84"/>
  <c r="B59" i="84"/>
  <c r="Z58" i="84"/>
  <c r="X58" i="84"/>
  <c r="T58" i="84"/>
  <c r="V58" i="84" s="1"/>
  <c r="P58" i="84"/>
  <c r="H58" i="84"/>
  <c r="D58" i="84"/>
  <c r="B58" i="84"/>
  <c r="Z57" i="84"/>
  <c r="X57" i="84"/>
  <c r="V57" i="84"/>
  <c r="L57" i="84"/>
  <c r="N57" i="84" s="1"/>
  <c r="J57" i="84"/>
  <c r="B57" i="84"/>
  <c r="X56" i="84"/>
  <c r="V56" i="84"/>
  <c r="T56" i="84"/>
  <c r="P56" i="84"/>
  <c r="H56" i="84"/>
  <c r="D56" i="84"/>
  <c r="L56" i="84" s="1"/>
  <c r="B56" i="84"/>
  <c r="X55" i="84"/>
  <c r="Z55" i="84" s="1"/>
  <c r="V55" i="84"/>
  <c r="N55" i="84"/>
  <c r="L55" i="84"/>
  <c r="B55" i="84"/>
  <c r="X54" i="84"/>
  <c r="Z54" i="84" s="1"/>
  <c r="N54" i="84"/>
  <c r="L54" i="84"/>
  <c r="B54" i="84"/>
  <c r="X53" i="84"/>
  <c r="Z53" i="84" s="1"/>
  <c r="V53" i="84"/>
  <c r="N53" i="84"/>
  <c r="L53" i="84"/>
  <c r="J53" i="84"/>
  <c r="F53" i="84"/>
  <c r="B53" i="84"/>
  <c r="T52" i="84"/>
  <c r="P52" i="84"/>
  <c r="X52" i="84" s="1"/>
  <c r="Z52" i="84" s="1"/>
  <c r="L52" i="84"/>
  <c r="H52" i="84"/>
  <c r="D52" i="84"/>
  <c r="B52" i="84"/>
  <c r="Z51" i="84"/>
  <c r="X51" i="84"/>
  <c r="V51" i="84"/>
  <c r="N51" i="84"/>
  <c r="L51" i="84"/>
  <c r="J51" i="84"/>
  <c r="B51" i="84"/>
  <c r="Z50" i="84"/>
  <c r="X50" i="84"/>
  <c r="T50" i="84"/>
  <c r="V50" i="84" s="1"/>
  <c r="P50" i="84"/>
  <c r="H50" i="84"/>
  <c r="D50" i="84"/>
  <c r="L50" i="84" s="1"/>
  <c r="B50" i="84"/>
  <c r="Z49" i="84"/>
  <c r="X49" i="84"/>
  <c r="V49" i="84"/>
  <c r="L49" i="84"/>
  <c r="N49" i="84" s="1"/>
  <c r="J49" i="84"/>
  <c r="B49" i="84"/>
  <c r="X48" i="84"/>
  <c r="V48" i="84"/>
  <c r="T48" i="84"/>
  <c r="P48" i="84"/>
  <c r="H48" i="84"/>
  <c r="D48" i="84"/>
  <c r="L48" i="84" s="1"/>
  <c r="B48" i="84"/>
  <c r="Z47" i="84"/>
  <c r="X47" i="84"/>
  <c r="V47" i="84"/>
  <c r="N47" i="84"/>
  <c r="L47" i="84"/>
  <c r="B47" i="84"/>
  <c r="T46" i="84"/>
  <c r="P46" i="84"/>
  <c r="X46" i="84" s="1"/>
  <c r="H46" i="84"/>
  <c r="D46" i="84"/>
  <c r="L46" i="84" s="1"/>
  <c r="N46" i="84" s="1"/>
  <c r="B46" i="84"/>
  <c r="Z45" i="84"/>
  <c r="X45" i="84"/>
  <c r="V45" i="84"/>
  <c r="N45" i="84"/>
  <c r="L45" i="84"/>
  <c r="B45" i="84"/>
  <c r="Z44" i="84"/>
  <c r="X44" i="84"/>
  <c r="V44" i="84"/>
  <c r="N44" i="84"/>
  <c r="L44" i="84"/>
  <c r="J44" i="84"/>
  <c r="B44" i="84"/>
  <c r="Z43" i="84"/>
  <c r="X43" i="84"/>
  <c r="V43" i="84"/>
  <c r="N43" i="84"/>
  <c r="L43" i="84"/>
  <c r="J43" i="84"/>
  <c r="B43" i="84"/>
  <c r="Z42" i="84"/>
  <c r="X42" i="84"/>
  <c r="V42" i="84"/>
  <c r="N42" i="84"/>
  <c r="L42" i="84"/>
  <c r="J42" i="84"/>
  <c r="B42" i="84"/>
  <c r="Z41" i="84"/>
  <c r="X41" i="84"/>
  <c r="V41" i="84"/>
  <c r="N41" i="84"/>
  <c r="L41" i="84"/>
  <c r="B41" i="84"/>
  <c r="X40" i="84"/>
  <c r="Z40" i="84" s="1"/>
  <c r="V40" i="84"/>
  <c r="L40" i="84"/>
  <c r="N40" i="84" s="1"/>
  <c r="J40" i="84"/>
  <c r="B40" i="84"/>
  <c r="Z39" i="84"/>
  <c r="X39" i="84"/>
  <c r="V39" i="84"/>
  <c r="N39" i="84"/>
  <c r="L39" i="84"/>
  <c r="J39" i="84"/>
  <c r="B39" i="84"/>
  <c r="Z38" i="84"/>
  <c r="X38" i="84"/>
  <c r="V38" i="84"/>
  <c r="N38" i="84"/>
  <c r="L38" i="84"/>
  <c r="J38" i="84"/>
  <c r="B38" i="84"/>
  <c r="Z37" i="84"/>
  <c r="X37" i="84"/>
  <c r="V37" i="84"/>
  <c r="N37" i="84"/>
  <c r="L37" i="84"/>
  <c r="B37" i="84"/>
  <c r="Z36" i="84"/>
  <c r="X36" i="84"/>
  <c r="V36" i="84"/>
  <c r="N36" i="84"/>
  <c r="L36" i="84"/>
  <c r="J36" i="84"/>
  <c r="B36" i="84"/>
  <c r="T35" i="84"/>
  <c r="P35" i="84"/>
  <c r="X35" i="84" s="1"/>
  <c r="J35" i="84"/>
  <c r="H35" i="84"/>
  <c r="N35" i="84" s="1"/>
  <c r="D35" i="84"/>
  <c r="L35" i="84" s="1"/>
  <c r="B35" i="84"/>
  <c r="X34" i="84"/>
  <c r="Z34" i="84" s="1"/>
  <c r="V34" i="84"/>
  <c r="N34" i="84"/>
  <c r="L34" i="84"/>
  <c r="B34" i="84"/>
  <c r="Z33" i="84"/>
  <c r="X33" i="84"/>
  <c r="V33" i="84"/>
  <c r="L33" i="84"/>
  <c r="N33" i="84" s="1"/>
  <c r="J33" i="84"/>
  <c r="B33" i="84"/>
  <c r="X32" i="84"/>
  <c r="Z32" i="84" s="1"/>
  <c r="V32" i="84"/>
  <c r="N32" i="84"/>
  <c r="L32" i="84"/>
  <c r="B32" i="84"/>
  <c r="Z31" i="84"/>
  <c r="X31" i="84"/>
  <c r="V31" i="84"/>
  <c r="N31" i="84"/>
  <c r="L31" i="84"/>
  <c r="J31" i="84"/>
  <c r="B31" i="84"/>
  <c r="X30" i="84"/>
  <c r="Z30" i="84" s="1"/>
  <c r="V30" i="84"/>
  <c r="L30" i="84"/>
  <c r="N30" i="84" s="1"/>
  <c r="B30" i="84"/>
  <c r="Z29" i="84"/>
  <c r="X29" i="84"/>
  <c r="V29" i="84"/>
  <c r="L29" i="84"/>
  <c r="N29" i="84" s="1"/>
  <c r="J29" i="84"/>
  <c r="B29" i="84"/>
  <c r="X28" i="84"/>
  <c r="Z28" i="84" s="1"/>
  <c r="V28" i="84"/>
  <c r="N28" i="84"/>
  <c r="L28" i="84"/>
  <c r="B28" i="84"/>
  <c r="Z27" i="84"/>
  <c r="X27" i="84"/>
  <c r="V27" i="84"/>
  <c r="L27" i="84"/>
  <c r="N27" i="84" s="1"/>
  <c r="J27" i="84"/>
  <c r="B27" i="84"/>
  <c r="X26" i="84"/>
  <c r="Z26" i="84" s="1"/>
  <c r="V26" i="84"/>
  <c r="L26" i="84"/>
  <c r="N26" i="84" s="1"/>
  <c r="B26" i="84"/>
  <c r="V25" i="84"/>
  <c r="T25" i="84"/>
  <c r="P25" i="84"/>
  <c r="X25" i="84" s="1"/>
  <c r="Z25" i="84" s="1"/>
  <c r="N25" i="84"/>
  <c r="J25" i="84"/>
  <c r="H25" i="84"/>
  <c r="D25" i="84"/>
  <c r="L25" i="84" s="1"/>
  <c r="B25" i="84"/>
  <c r="T24" i="84"/>
  <c r="P24" i="84"/>
  <c r="X24" i="84" s="1"/>
  <c r="H24" i="84"/>
  <c r="D24" i="84"/>
  <c r="T22" i="84"/>
  <c r="H22" i="84"/>
  <c r="Z20" i="84"/>
  <c r="X20" i="84"/>
  <c r="N20" i="84"/>
  <c r="L20" i="84"/>
  <c r="F20" i="84"/>
  <c r="B20" i="84"/>
  <c r="Z19" i="84"/>
  <c r="X19" i="84"/>
  <c r="V19" i="84"/>
  <c r="N19" i="84"/>
  <c r="L19" i="84"/>
  <c r="J19" i="84"/>
  <c r="B19" i="84"/>
  <c r="X18" i="84"/>
  <c r="Z18" i="84" s="1"/>
  <c r="L18" i="84"/>
  <c r="N18" i="84" s="1"/>
  <c r="B18" i="84"/>
  <c r="X17" i="84"/>
  <c r="Z17" i="84" s="1"/>
  <c r="V17" i="84"/>
  <c r="T17" i="84"/>
  <c r="P17" i="84"/>
  <c r="L17" i="84"/>
  <c r="N17" i="84" s="1"/>
  <c r="J17" i="84"/>
  <c r="H17" i="84"/>
  <c r="D17" i="84"/>
  <c r="Z15" i="84"/>
  <c r="P15" i="84"/>
  <c r="X15" i="84" s="1"/>
  <c r="N15" i="84"/>
  <c r="L15" i="84"/>
  <c r="D15" i="84"/>
  <c r="B15" i="84"/>
  <c r="Z14" i="84"/>
  <c r="X14" i="84"/>
  <c r="P14" i="84"/>
  <c r="N14" i="84"/>
  <c r="D14" i="84"/>
  <c r="L14" i="84" s="1"/>
  <c r="B14" i="84"/>
  <c r="P13" i="84"/>
  <c r="D13" i="84"/>
  <c r="L13" i="84" s="1"/>
  <c r="N13" i="84" s="1"/>
  <c r="B13" i="84"/>
  <c r="T12" i="84"/>
  <c r="V87" i="84" s="1"/>
  <c r="H12" i="84"/>
  <c r="J86" i="84" s="1"/>
  <c r="D12" i="84"/>
  <c r="F87" i="84" s="1"/>
  <c r="D6" i="84"/>
  <c r="D4" i="84"/>
  <c r="X30" i="83"/>
  <c r="Z30" i="83" s="1"/>
  <c r="V30" i="83"/>
  <c r="L30" i="83"/>
  <c r="N30" i="83" s="1"/>
  <c r="J30" i="83"/>
  <c r="T26" i="83"/>
  <c r="R26" i="83"/>
  <c r="P26" i="83"/>
  <c r="H26" i="83"/>
  <c r="N26" i="83" s="1"/>
  <c r="D26" i="83"/>
  <c r="L26" i="83" s="1"/>
  <c r="T24" i="83"/>
  <c r="Z24" i="83" s="1"/>
  <c r="P24" i="83"/>
  <c r="X24" i="83" s="1"/>
  <c r="H24" i="83"/>
  <c r="N24" i="83" s="1"/>
  <c r="D24" i="83"/>
  <c r="L24" i="83" s="1"/>
  <c r="T22" i="83"/>
  <c r="H22" i="83"/>
  <c r="Z20" i="83"/>
  <c r="X20" i="83"/>
  <c r="N20" i="83"/>
  <c r="L20" i="83"/>
  <c r="B20" i="83"/>
  <c r="Z19" i="83"/>
  <c r="X19" i="83"/>
  <c r="V19" i="83"/>
  <c r="N19" i="83"/>
  <c r="L19" i="83"/>
  <c r="J19" i="83"/>
  <c r="B19" i="83"/>
  <c r="X18" i="83"/>
  <c r="Z18" i="83" s="1"/>
  <c r="N18" i="83"/>
  <c r="L18" i="83"/>
  <c r="B18" i="83"/>
  <c r="Z17" i="83"/>
  <c r="X17" i="83"/>
  <c r="V17" i="83"/>
  <c r="T17" i="83"/>
  <c r="P17" i="83"/>
  <c r="L17" i="83"/>
  <c r="N17" i="83" s="1"/>
  <c r="J17" i="83"/>
  <c r="H17" i="83"/>
  <c r="D17" i="83"/>
  <c r="Z15" i="83"/>
  <c r="P15" i="83"/>
  <c r="X15" i="83" s="1"/>
  <c r="L15" i="83"/>
  <c r="N15" i="83" s="1"/>
  <c r="D15" i="83"/>
  <c r="B15" i="83"/>
  <c r="Z14" i="83"/>
  <c r="X14" i="83"/>
  <c r="P14" i="83"/>
  <c r="N14" i="83"/>
  <c r="D14" i="83"/>
  <c r="L14" i="83" s="1"/>
  <c r="B14" i="83"/>
  <c r="Z13" i="83"/>
  <c r="P13" i="83"/>
  <c r="X13" i="83" s="1"/>
  <c r="N13" i="83"/>
  <c r="D13" i="83"/>
  <c r="B13" i="83"/>
  <c r="T12" i="83"/>
  <c r="V18" i="83" s="1"/>
  <c r="P12" i="83"/>
  <c r="R20" i="83" s="1"/>
  <c r="H12" i="83"/>
  <c r="J20" i="83" s="1"/>
  <c r="D6" i="83"/>
  <c r="D4" i="83"/>
  <c r="Z84" i="81"/>
  <c r="X84" i="81"/>
  <c r="L84" i="81"/>
  <c r="N84" i="81" s="1"/>
  <c r="T80" i="81"/>
  <c r="Z80" i="81" s="1"/>
  <c r="P80" i="81"/>
  <c r="L80" i="81"/>
  <c r="H80" i="81"/>
  <c r="N80" i="81" s="1"/>
  <c r="D80" i="81"/>
  <c r="Z78" i="81"/>
  <c r="X78" i="81"/>
  <c r="N78" i="81"/>
  <c r="L78" i="81"/>
  <c r="B78" i="81"/>
  <c r="Z77" i="81"/>
  <c r="X77" i="81"/>
  <c r="T77" i="81"/>
  <c r="P77" i="81"/>
  <c r="N77" i="81"/>
  <c r="L77" i="81"/>
  <c r="H77" i="81"/>
  <c r="D77" i="81"/>
  <c r="B77" i="81"/>
  <c r="Z76" i="81"/>
  <c r="X76" i="81"/>
  <c r="L76" i="81"/>
  <c r="N76" i="81" s="1"/>
  <c r="B76" i="81"/>
  <c r="X75" i="81"/>
  <c r="V75" i="81"/>
  <c r="T75" i="81"/>
  <c r="P75" i="81"/>
  <c r="H75" i="81"/>
  <c r="N75" i="81" s="1"/>
  <c r="D75" i="81"/>
  <c r="L75" i="81" s="1"/>
  <c r="B75" i="81"/>
  <c r="X74" i="81"/>
  <c r="Z74" i="81" s="1"/>
  <c r="V74" i="81"/>
  <c r="L74" i="81"/>
  <c r="N74" i="81" s="1"/>
  <c r="B74" i="81"/>
  <c r="Z73" i="81"/>
  <c r="X73" i="81"/>
  <c r="V73" i="81"/>
  <c r="N73" i="81"/>
  <c r="L73" i="81"/>
  <c r="J73" i="81"/>
  <c r="B73" i="81"/>
  <c r="Z72" i="81"/>
  <c r="X72" i="81"/>
  <c r="N72" i="81"/>
  <c r="L72" i="81"/>
  <c r="F72" i="81"/>
  <c r="B72" i="81"/>
  <c r="Z71" i="81"/>
  <c r="X71" i="81"/>
  <c r="N71" i="81"/>
  <c r="L71" i="81"/>
  <c r="B71" i="81"/>
  <c r="Z70" i="81"/>
  <c r="X70" i="81"/>
  <c r="V70" i="81"/>
  <c r="N70" i="81"/>
  <c r="L70" i="81"/>
  <c r="B70" i="81"/>
  <c r="V69" i="81"/>
  <c r="T69" i="81"/>
  <c r="P69" i="81"/>
  <c r="X69" i="81" s="1"/>
  <c r="Z69" i="81" s="1"/>
  <c r="N69" i="81"/>
  <c r="H69" i="81"/>
  <c r="D69" i="81"/>
  <c r="L69" i="81" s="1"/>
  <c r="B69" i="81"/>
  <c r="Z68" i="81"/>
  <c r="X68" i="81"/>
  <c r="N68" i="81"/>
  <c r="L68" i="81"/>
  <c r="B68" i="81"/>
  <c r="Z67" i="81"/>
  <c r="X67" i="81"/>
  <c r="N67" i="81"/>
  <c r="L67" i="81"/>
  <c r="J67" i="81"/>
  <c r="B67" i="81"/>
  <c r="Z66" i="81"/>
  <c r="X66" i="81"/>
  <c r="N66" i="81"/>
  <c r="L66" i="81"/>
  <c r="J66" i="81"/>
  <c r="B66" i="81"/>
  <c r="Z65" i="81"/>
  <c r="X65" i="81"/>
  <c r="V65" i="81"/>
  <c r="T65" i="81"/>
  <c r="P65" i="81"/>
  <c r="H65" i="81"/>
  <c r="N65" i="81" s="1"/>
  <c r="D65" i="81"/>
  <c r="B65" i="81"/>
  <c r="X64" i="81"/>
  <c r="Z64" i="81" s="1"/>
  <c r="L64" i="81"/>
  <c r="N64" i="81" s="1"/>
  <c r="B64" i="81"/>
  <c r="Z63" i="81"/>
  <c r="X63" i="81"/>
  <c r="V63" i="81"/>
  <c r="N63" i="81"/>
  <c r="L63" i="81"/>
  <c r="B63" i="81"/>
  <c r="Z62" i="81"/>
  <c r="X62" i="81"/>
  <c r="V62" i="81"/>
  <c r="N62" i="81"/>
  <c r="L62" i="81"/>
  <c r="J62" i="81"/>
  <c r="B62" i="81"/>
  <c r="T61" i="81"/>
  <c r="P61" i="81"/>
  <c r="X61" i="81" s="1"/>
  <c r="Z61" i="81" s="1"/>
  <c r="J61" i="81"/>
  <c r="H61" i="81"/>
  <c r="F61" i="81"/>
  <c r="D61" i="81"/>
  <c r="B61" i="81"/>
  <c r="X60" i="81"/>
  <c r="Z60" i="81" s="1"/>
  <c r="N60" i="81"/>
  <c r="L60" i="81"/>
  <c r="B60" i="81"/>
  <c r="T59" i="81"/>
  <c r="P59" i="81"/>
  <c r="X59" i="81" s="1"/>
  <c r="Z59" i="81" s="1"/>
  <c r="J59" i="81"/>
  <c r="H59" i="81"/>
  <c r="D59" i="81"/>
  <c r="L59" i="81" s="1"/>
  <c r="N59" i="81" s="1"/>
  <c r="B59" i="81"/>
  <c r="X58" i="81"/>
  <c r="Z58" i="81" s="1"/>
  <c r="L58" i="81"/>
  <c r="N58" i="81" s="1"/>
  <c r="J58" i="81"/>
  <c r="B58" i="81"/>
  <c r="Z57" i="81"/>
  <c r="X57" i="81"/>
  <c r="V57" i="81"/>
  <c r="T57" i="81"/>
  <c r="P57" i="81"/>
  <c r="H57" i="81"/>
  <c r="D57" i="81"/>
  <c r="B57" i="81"/>
  <c r="Z56" i="81"/>
  <c r="X56" i="81"/>
  <c r="N56" i="81"/>
  <c r="L56" i="81"/>
  <c r="B56" i="81"/>
  <c r="T55" i="81"/>
  <c r="P55" i="81"/>
  <c r="N55" i="81"/>
  <c r="H55" i="81"/>
  <c r="D55" i="81"/>
  <c r="L55" i="81" s="1"/>
  <c r="B55" i="81"/>
  <c r="X54" i="81"/>
  <c r="Z54" i="81" s="1"/>
  <c r="V54" i="81"/>
  <c r="L54" i="81"/>
  <c r="N54" i="81" s="1"/>
  <c r="B54" i="81"/>
  <c r="X53" i="81"/>
  <c r="Z53" i="81" s="1"/>
  <c r="V53" i="81"/>
  <c r="N53" i="81"/>
  <c r="L53" i="81"/>
  <c r="J53" i="81"/>
  <c r="B53" i="81"/>
  <c r="T52" i="81"/>
  <c r="P52" i="81"/>
  <c r="X52" i="81" s="1"/>
  <c r="J52" i="81"/>
  <c r="H52" i="81"/>
  <c r="D52" i="81"/>
  <c r="B52" i="81"/>
  <c r="X51" i="81"/>
  <c r="Z51" i="81" s="1"/>
  <c r="N51" i="81"/>
  <c r="L51" i="81"/>
  <c r="J51" i="81"/>
  <c r="B51" i="81"/>
  <c r="T50" i="81"/>
  <c r="Z50" i="81" s="1"/>
  <c r="P50" i="81"/>
  <c r="X50" i="81" s="1"/>
  <c r="H50" i="81"/>
  <c r="D50" i="81"/>
  <c r="B50" i="81"/>
  <c r="Z49" i="81"/>
  <c r="X49" i="81"/>
  <c r="N49" i="81"/>
  <c r="L49" i="81"/>
  <c r="J49" i="81"/>
  <c r="B49" i="81"/>
  <c r="Z48" i="81"/>
  <c r="X48" i="81"/>
  <c r="T48" i="81"/>
  <c r="P48" i="81"/>
  <c r="J48" i="81"/>
  <c r="H48" i="81"/>
  <c r="N48" i="81" s="1"/>
  <c r="D48" i="81"/>
  <c r="L48" i="81" s="1"/>
  <c r="B48" i="81"/>
  <c r="Z47" i="81"/>
  <c r="X47" i="81"/>
  <c r="N47" i="81"/>
  <c r="L47" i="81"/>
  <c r="J47" i="81"/>
  <c r="B47" i="81"/>
  <c r="X46" i="81"/>
  <c r="V46" i="81"/>
  <c r="T46" i="81"/>
  <c r="Z46" i="81" s="1"/>
  <c r="P46" i="81"/>
  <c r="H46" i="81"/>
  <c r="N46" i="81" s="1"/>
  <c r="D46" i="81"/>
  <c r="L46" i="81" s="1"/>
  <c r="B46" i="81"/>
  <c r="Z45" i="81"/>
  <c r="X45" i="81"/>
  <c r="V45" i="81"/>
  <c r="N45" i="81"/>
  <c r="L45" i="81"/>
  <c r="B45" i="81"/>
  <c r="Z44" i="81"/>
  <c r="X44" i="81"/>
  <c r="N44" i="81"/>
  <c r="L44" i="81"/>
  <c r="B44" i="81"/>
  <c r="X43" i="81"/>
  <c r="Z43" i="81" s="1"/>
  <c r="N43" i="81"/>
  <c r="L43" i="81"/>
  <c r="J43" i="81"/>
  <c r="B43" i="81"/>
  <c r="X42" i="81"/>
  <c r="Z42" i="81" s="1"/>
  <c r="N42" i="81"/>
  <c r="L42" i="81"/>
  <c r="J42" i="81"/>
  <c r="B42" i="81"/>
  <c r="Z41" i="81"/>
  <c r="X41" i="81"/>
  <c r="V41" i="81"/>
  <c r="N41" i="81"/>
  <c r="L41" i="81"/>
  <c r="B41" i="81"/>
  <c r="Z40" i="81"/>
  <c r="X40" i="81"/>
  <c r="N40" i="81"/>
  <c r="L40" i="81"/>
  <c r="B40" i="81"/>
  <c r="Z39" i="81"/>
  <c r="X39" i="81"/>
  <c r="N39" i="81"/>
  <c r="L39" i="81"/>
  <c r="J39" i="81"/>
  <c r="B39" i="81"/>
  <c r="Z38" i="81"/>
  <c r="X38" i="81"/>
  <c r="N38" i="81"/>
  <c r="L38" i="81"/>
  <c r="J38" i="81"/>
  <c r="B38" i="81"/>
  <c r="Z37" i="81"/>
  <c r="X37" i="81"/>
  <c r="V37" i="81"/>
  <c r="N37" i="81"/>
  <c r="L37" i="81"/>
  <c r="B37" i="81"/>
  <c r="Z36" i="81"/>
  <c r="X36" i="81"/>
  <c r="N36" i="81"/>
  <c r="L36" i="81"/>
  <c r="B36" i="81"/>
  <c r="T35" i="81"/>
  <c r="P35" i="81"/>
  <c r="L35" i="81"/>
  <c r="N35" i="81" s="1"/>
  <c r="J35" i="81"/>
  <c r="H35" i="81"/>
  <c r="D35" i="81"/>
  <c r="B35" i="81"/>
  <c r="Z34" i="81"/>
  <c r="X34" i="81"/>
  <c r="V34" i="81"/>
  <c r="N34" i="81"/>
  <c r="L34" i="81"/>
  <c r="J34" i="81"/>
  <c r="B34" i="81"/>
  <c r="Z33" i="81"/>
  <c r="X33" i="81"/>
  <c r="L33" i="81"/>
  <c r="N33" i="81" s="1"/>
  <c r="J33" i="81"/>
  <c r="B33" i="81"/>
  <c r="Z32" i="81"/>
  <c r="X32" i="81"/>
  <c r="L32" i="81"/>
  <c r="N32" i="81" s="1"/>
  <c r="J32" i="81"/>
  <c r="B32" i="81"/>
  <c r="Z31" i="81"/>
  <c r="X31" i="81"/>
  <c r="V31" i="81"/>
  <c r="N31" i="81"/>
  <c r="L31" i="81"/>
  <c r="J31" i="81"/>
  <c r="B31" i="81"/>
  <c r="X30" i="81"/>
  <c r="Z30" i="81" s="1"/>
  <c r="V30" i="81"/>
  <c r="L30" i="81"/>
  <c r="N30" i="81" s="1"/>
  <c r="J30" i="81"/>
  <c r="B30" i="81"/>
  <c r="Z29" i="81"/>
  <c r="X29" i="81"/>
  <c r="L29" i="81"/>
  <c r="N29" i="81" s="1"/>
  <c r="J29" i="81"/>
  <c r="B29" i="81"/>
  <c r="X28" i="81"/>
  <c r="Z28" i="81" s="1"/>
  <c r="L28" i="81"/>
  <c r="N28" i="81" s="1"/>
  <c r="J28" i="81"/>
  <c r="B28" i="81"/>
  <c r="Z27" i="81"/>
  <c r="X27" i="81"/>
  <c r="V27" i="81"/>
  <c r="N27" i="81"/>
  <c r="L27" i="81"/>
  <c r="J27" i="81"/>
  <c r="B27" i="81"/>
  <c r="X26" i="81"/>
  <c r="Z26" i="81" s="1"/>
  <c r="V26" i="81"/>
  <c r="L26" i="81"/>
  <c r="N26" i="81" s="1"/>
  <c r="J26" i="81"/>
  <c r="B26" i="81"/>
  <c r="T25" i="81"/>
  <c r="P25" i="81"/>
  <c r="X25" i="81" s="1"/>
  <c r="J25" i="81"/>
  <c r="H25" i="81"/>
  <c r="F25" i="81"/>
  <c r="D25" i="81"/>
  <c r="L25" i="81" s="1"/>
  <c r="B25" i="81"/>
  <c r="T24" i="81"/>
  <c r="P24" i="81"/>
  <c r="X24" i="81" s="1"/>
  <c r="H24" i="81"/>
  <c r="D24" i="81"/>
  <c r="T22" i="81"/>
  <c r="H22" i="81"/>
  <c r="Z20" i="81"/>
  <c r="X20" i="81"/>
  <c r="N20" i="81"/>
  <c r="L20" i="81"/>
  <c r="B20" i="81"/>
  <c r="Z19" i="81"/>
  <c r="X19" i="81"/>
  <c r="V19" i="81"/>
  <c r="N19" i="81"/>
  <c r="L19" i="81"/>
  <c r="J19" i="81"/>
  <c r="B19" i="81"/>
  <c r="X18" i="81"/>
  <c r="Z18" i="81" s="1"/>
  <c r="V18" i="81"/>
  <c r="L18" i="81"/>
  <c r="N18" i="81" s="1"/>
  <c r="B18" i="81"/>
  <c r="V17" i="81"/>
  <c r="T17" i="81"/>
  <c r="P17" i="81"/>
  <c r="X17" i="81" s="1"/>
  <c r="Z17" i="81" s="1"/>
  <c r="J17" i="81"/>
  <c r="H17" i="81"/>
  <c r="D17" i="81"/>
  <c r="L17" i="81" s="1"/>
  <c r="N17" i="81" s="1"/>
  <c r="Z15" i="81"/>
  <c r="X15" i="81"/>
  <c r="P15" i="81"/>
  <c r="N15" i="81"/>
  <c r="L15" i="81"/>
  <c r="D15" i="81"/>
  <c r="B15" i="81"/>
  <c r="X14" i="81"/>
  <c r="Z14" i="81" s="1"/>
  <c r="P14" i="81"/>
  <c r="D14" i="81"/>
  <c r="L14" i="81" s="1"/>
  <c r="N14" i="81" s="1"/>
  <c r="B14" i="81"/>
  <c r="Z13" i="81"/>
  <c r="P13" i="81"/>
  <c r="N13" i="81"/>
  <c r="L13" i="81"/>
  <c r="D13" i="81"/>
  <c r="B13" i="81"/>
  <c r="T12" i="81"/>
  <c r="V67" i="81" s="1"/>
  <c r="H12" i="81"/>
  <c r="D12" i="81"/>
  <c r="F78" i="81" s="1"/>
  <c r="D6" i="81"/>
  <c r="D4" i="81"/>
  <c r="X83" i="80"/>
  <c r="Z83" i="80" s="1"/>
  <c r="L83" i="80"/>
  <c r="N83" i="80" s="1"/>
  <c r="X79" i="80"/>
  <c r="V79" i="80"/>
  <c r="T79" i="80"/>
  <c r="Z79" i="80" s="1"/>
  <c r="P79" i="80"/>
  <c r="H79" i="80"/>
  <c r="N79" i="80" s="1"/>
  <c r="D79" i="80"/>
  <c r="L79" i="80" s="1"/>
  <c r="X77" i="80"/>
  <c r="Z77" i="80" s="1"/>
  <c r="V77" i="80"/>
  <c r="L77" i="80"/>
  <c r="N77" i="80" s="1"/>
  <c r="B77" i="80"/>
  <c r="T76" i="80"/>
  <c r="P76" i="80"/>
  <c r="X76" i="80" s="1"/>
  <c r="Z76" i="80" s="1"/>
  <c r="N76" i="80"/>
  <c r="H76" i="80"/>
  <c r="D76" i="80"/>
  <c r="L76" i="80" s="1"/>
  <c r="B76" i="80"/>
  <c r="Z75" i="80"/>
  <c r="X75" i="80"/>
  <c r="N75" i="80"/>
  <c r="L75" i="80"/>
  <c r="B75" i="80"/>
  <c r="T74" i="80"/>
  <c r="P74" i="80"/>
  <c r="N74" i="80"/>
  <c r="L74" i="80"/>
  <c r="H74" i="80"/>
  <c r="D74" i="80"/>
  <c r="B74" i="80"/>
  <c r="X73" i="80"/>
  <c r="Z73" i="80" s="1"/>
  <c r="L73" i="80"/>
  <c r="N73" i="80" s="1"/>
  <c r="B73" i="80"/>
  <c r="Z72" i="80"/>
  <c r="X72" i="80"/>
  <c r="N72" i="80"/>
  <c r="L72" i="80"/>
  <c r="B72" i="80"/>
  <c r="Z71" i="80"/>
  <c r="X71" i="80"/>
  <c r="N71" i="80"/>
  <c r="L71" i="80"/>
  <c r="B71" i="80"/>
  <c r="T70" i="80"/>
  <c r="P70" i="80"/>
  <c r="X70" i="80" s="1"/>
  <c r="H70" i="80"/>
  <c r="D70" i="80"/>
  <c r="L70" i="80" s="1"/>
  <c r="N70" i="80" s="1"/>
  <c r="B70" i="80"/>
  <c r="Z69" i="80"/>
  <c r="X69" i="80"/>
  <c r="V69" i="80"/>
  <c r="N69" i="80"/>
  <c r="L69" i="80"/>
  <c r="B69" i="80"/>
  <c r="X68" i="80"/>
  <c r="Z68" i="80" s="1"/>
  <c r="N68" i="80"/>
  <c r="L68" i="80"/>
  <c r="B68" i="80"/>
  <c r="Z67" i="80"/>
  <c r="X67" i="80"/>
  <c r="N67" i="80"/>
  <c r="L67" i="80"/>
  <c r="F67" i="80"/>
  <c r="B67" i="80"/>
  <c r="T66" i="80"/>
  <c r="P66" i="80"/>
  <c r="X66" i="80" s="1"/>
  <c r="Z66" i="80" s="1"/>
  <c r="H66" i="80"/>
  <c r="F66" i="80"/>
  <c r="D66" i="80"/>
  <c r="L66" i="80" s="1"/>
  <c r="N66" i="80" s="1"/>
  <c r="B66" i="80"/>
  <c r="X65" i="80"/>
  <c r="Z65" i="80" s="1"/>
  <c r="L65" i="80"/>
  <c r="N65" i="80" s="1"/>
  <c r="B65" i="80"/>
  <c r="Z64" i="80"/>
  <c r="X64" i="80"/>
  <c r="V64" i="80"/>
  <c r="N64" i="80"/>
  <c r="L64" i="80"/>
  <c r="B64" i="80"/>
  <c r="T63" i="80"/>
  <c r="P63" i="80"/>
  <c r="H63" i="80"/>
  <c r="N63" i="80" s="1"/>
  <c r="D63" i="80"/>
  <c r="L63" i="80" s="1"/>
  <c r="B63" i="80"/>
  <c r="Z62" i="80"/>
  <c r="X62" i="80"/>
  <c r="V62" i="80"/>
  <c r="N62" i="80"/>
  <c r="L62" i="80"/>
  <c r="B62" i="80"/>
  <c r="Z61" i="80"/>
  <c r="X61" i="80"/>
  <c r="V61" i="80"/>
  <c r="N61" i="80"/>
  <c r="L61" i="80"/>
  <c r="B61" i="80"/>
  <c r="Z60" i="80"/>
  <c r="X60" i="80"/>
  <c r="N60" i="80"/>
  <c r="L60" i="80"/>
  <c r="B60" i="80"/>
  <c r="Z59" i="80"/>
  <c r="X59" i="80"/>
  <c r="T59" i="80"/>
  <c r="P59" i="80"/>
  <c r="H59" i="80"/>
  <c r="N59" i="80" s="1"/>
  <c r="D59" i="80"/>
  <c r="L59" i="80" s="1"/>
  <c r="B59" i="80"/>
  <c r="Z58" i="80"/>
  <c r="X58" i="80"/>
  <c r="N58" i="80"/>
  <c r="L58" i="80"/>
  <c r="B58" i="80"/>
  <c r="X57" i="80"/>
  <c r="V57" i="80"/>
  <c r="T57" i="80"/>
  <c r="Z57" i="80" s="1"/>
  <c r="P57" i="80"/>
  <c r="H57" i="80"/>
  <c r="N57" i="80" s="1"/>
  <c r="D57" i="80"/>
  <c r="L57" i="80" s="1"/>
  <c r="B57" i="80"/>
  <c r="Z56" i="80"/>
  <c r="X56" i="80"/>
  <c r="V56" i="80"/>
  <c r="N56" i="80"/>
  <c r="L56" i="80"/>
  <c r="B56" i="80"/>
  <c r="T55" i="80"/>
  <c r="P55" i="80"/>
  <c r="H55" i="80"/>
  <c r="N55" i="80" s="1"/>
  <c r="D55" i="80"/>
  <c r="L55" i="80" s="1"/>
  <c r="B55" i="80"/>
  <c r="Z54" i="80"/>
  <c r="X54" i="80"/>
  <c r="V54" i="80"/>
  <c r="N54" i="80"/>
  <c r="L54" i="80"/>
  <c r="B54" i="80"/>
  <c r="V53" i="80"/>
  <c r="T53" i="80"/>
  <c r="Z53" i="80" s="1"/>
  <c r="P53" i="80"/>
  <c r="X53" i="80" s="1"/>
  <c r="N53" i="80"/>
  <c r="L53" i="80"/>
  <c r="H53" i="80"/>
  <c r="D53" i="80"/>
  <c r="B53" i="80"/>
  <c r="X52" i="80"/>
  <c r="Z52" i="80" s="1"/>
  <c r="L52" i="80"/>
  <c r="N52" i="80" s="1"/>
  <c r="J52" i="80"/>
  <c r="B52" i="80"/>
  <c r="T51" i="80"/>
  <c r="Z51" i="80" s="1"/>
  <c r="P51" i="80"/>
  <c r="X51" i="80" s="1"/>
  <c r="H51" i="80"/>
  <c r="D51" i="80"/>
  <c r="B51" i="80"/>
  <c r="X50" i="80"/>
  <c r="Z50" i="80" s="1"/>
  <c r="N50" i="80"/>
  <c r="L50" i="80"/>
  <c r="J50" i="80"/>
  <c r="F50" i="80"/>
  <c r="B50" i="80"/>
  <c r="T49" i="80"/>
  <c r="Z49" i="80" s="1"/>
  <c r="P49" i="80"/>
  <c r="X49" i="80" s="1"/>
  <c r="H49" i="80"/>
  <c r="N49" i="80" s="1"/>
  <c r="F49" i="80"/>
  <c r="D49" i="80"/>
  <c r="L49" i="80" s="1"/>
  <c r="B49" i="80"/>
  <c r="Z48" i="80"/>
  <c r="X48" i="80"/>
  <c r="N48" i="80"/>
  <c r="L48" i="80"/>
  <c r="B48" i="80"/>
  <c r="Z47" i="80"/>
  <c r="X47" i="80"/>
  <c r="T47" i="80"/>
  <c r="P47" i="80"/>
  <c r="H47" i="80"/>
  <c r="N47" i="80" s="1"/>
  <c r="D47" i="80"/>
  <c r="L47" i="80" s="1"/>
  <c r="B47" i="80"/>
  <c r="Z46" i="80"/>
  <c r="X46" i="80"/>
  <c r="N46" i="80"/>
  <c r="L46" i="80"/>
  <c r="B46" i="80"/>
  <c r="X45" i="80"/>
  <c r="V45" i="80"/>
  <c r="T45" i="80"/>
  <c r="Z45" i="80" s="1"/>
  <c r="P45" i="80"/>
  <c r="H45" i="80"/>
  <c r="N45" i="80" s="1"/>
  <c r="D45" i="80"/>
  <c r="L45" i="80" s="1"/>
  <c r="B45" i="80"/>
  <c r="Z44" i="80"/>
  <c r="X44" i="80"/>
  <c r="V44" i="80"/>
  <c r="N44" i="80"/>
  <c r="L44" i="80"/>
  <c r="B44" i="80"/>
  <c r="Z43" i="80"/>
  <c r="X43" i="80"/>
  <c r="N43" i="80"/>
  <c r="L43" i="80"/>
  <c r="B43" i="80"/>
  <c r="X42" i="80"/>
  <c r="Z42" i="80" s="1"/>
  <c r="N42" i="80"/>
  <c r="L42" i="80"/>
  <c r="J42" i="80"/>
  <c r="F42" i="80"/>
  <c r="B42" i="80"/>
  <c r="X41" i="80"/>
  <c r="Z41" i="80" s="1"/>
  <c r="N41" i="80"/>
  <c r="L41" i="80"/>
  <c r="B41" i="80"/>
  <c r="Z40" i="80"/>
  <c r="X40" i="80"/>
  <c r="V40" i="80"/>
  <c r="N40" i="80"/>
  <c r="L40" i="80"/>
  <c r="B40" i="80"/>
  <c r="Z39" i="80"/>
  <c r="X39" i="80"/>
  <c r="N39" i="80"/>
  <c r="L39" i="80"/>
  <c r="B39" i="80"/>
  <c r="Z38" i="80"/>
  <c r="X38" i="80"/>
  <c r="N38" i="80"/>
  <c r="L38" i="80"/>
  <c r="F38" i="80"/>
  <c r="B38" i="80"/>
  <c r="Z37" i="80"/>
  <c r="X37" i="80"/>
  <c r="N37" i="80"/>
  <c r="L37" i="80"/>
  <c r="B37" i="80"/>
  <c r="Z36" i="80"/>
  <c r="X36" i="80"/>
  <c r="V36" i="80"/>
  <c r="N36" i="80"/>
  <c r="L36" i="80"/>
  <c r="B36" i="80"/>
  <c r="Z35" i="80"/>
  <c r="X35" i="80"/>
  <c r="L35" i="80"/>
  <c r="N35" i="80" s="1"/>
  <c r="B35" i="80"/>
  <c r="T34" i="80"/>
  <c r="P34" i="80"/>
  <c r="N34" i="80"/>
  <c r="L34" i="80"/>
  <c r="H34" i="80"/>
  <c r="D34" i="80"/>
  <c r="B34" i="80"/>
  <c r="X33" i="80"/>
  <c r="Z33" i="80" s="1"/>
  <c r="V33" i="80"/>
  <c r="L33" i="80"/>
  <c r="N33" i="80" s="1"/>
  <c r="J33" i="80"/>
  <c r="F33" i="80"/>
  <c r="B33" i="80"/>
  <c r="Z32" i="80"/>
  <c r="X32" i="80"/>
  <c r="L32" i="80"/>
  <c r="N32" i="80" s="1"/>
  <c r="B32" i="80"/>
  <c r="Z31" i="80"/>
  <c r="X31" i="80"/>
  <c r="N31" i="80"/>
  <c r="L31" i="80"/>
  <c r="B31" i="80"/>
  <c r="Z30" i="80"/>
  <c r="X30" i="80"/>
  <c r="V30" i="80"/>
  <c r="N30" i="80"/>
  <c r="L30" i="80"/>
  <c r="B30" i="80"/>
  <c r="X29" i="80"/>
  <c r="Z29" i="80" s="1"/>
  <c r="V29" i="80"/>
  <c r="L29" i="80"/>
  <c r="N29" i="80" s="1"/>
  <c r="F29" i="80"/>
  <c r="B29" i="80"/>
  <c r="Z28" i="80"/>
  <c r="X28" i="80"/>
  <c r="L28" i="80"/>
  <c r="N28" i="80" s="1"/>
  <c r="B28" i="80"/>
  <c r="X27" i="80"/>
  <c r="Z27" i="80" s="1"/>
  <c r="L27" i="80"/>
  <c r="N27" i="80" s="1"/>
  <c r="B27" i="80"/>
  <c r="Z26" i="80"/>
  <c r="X26" i="80"/>
  <c r="V26" i="80"/>
  <c r="N26" i="80"/>
  <c r="L26" i="80"/>
  <c r="B26" i="80"/>
  <c r="V25" i="80"/>
  <c r="T25" i="80"/>
  <c r="P25" i="80"/>
  <c r="X25" i="80" s="1"/>
  <c r="L25" i="80"/>
  <c r="N25" i="80" s="1"/>
  <c r="H25" i="80"/>
  <c r="D25" i="80"/>
  <c r="B25" i="80"/>
  <c r="T24" i="80"/>
  <c r="P24" i="80"/>
  <c r="X24" i="80" s="1"/>
  <c r="Z24" i="80" s="1"/>
  <c r="N24" i="80"/>
  <c r="H24" i="80"/>
  <c r="D24" i="80"/>
  <c r="L24" i="80" s="1"/>
  <c r="Z20" i="80"/>
  <c r="X20" i="80"/>
  <c r="N20" i="80"/>
  <c r="L20" i="80"/>
  <c r="J20" i="80"/>
  <c r="B20" i="80"/>
  <c r="Z19" i="80"/>
  <c r="X19" i="80"/>
  <c r="N19" i="80"/>
  <c r="L19" i="80"/>
  <c r="F19" i="80"/>
  <c r="B19" i="80"/>
  <c r="Z18" i="80"/>
  <c r="X18" i="80"/>
  <c r="L18" i="80"/>
  <c r="N18" i="80" s="1"/>
  <c r="B18" i="80"/>
  <c r="X17" i="80"/>
  <c r="V17" i="80"/>
  <c r="T17" i="80"/>
  <c r="P17" i="80"/>
  <c r="H17" i="80"/>
  <c r="D17" i="80"/>
  <c r="L17" i="80" s="1"/>
  <c r="Z15" i="80"/>
  <c r="X15" i="80"/>
  <c r="P15" i="80"/>
  <c r="N15" i="80"/>
  <c r="D15" i="80"/>
  <c r="L15" i="80" s="1"/>
  <c r="B15" i="80"/>
  <c r="P14" i="80"/>
  <c r="X14" i="80" s="1"/>
  <c r="Z14" i="80" s="1"/>
  <c r="N14" i="80"/>
  <c r="L14" i="80"/>
  <c r="D14" i="80"/>
  <c r="B14" i="80"/>
  <c r="Z13" i="80"/>
  <c r="X13" i="80"/>
  <c r="P13" i="80"/>
  <c r="N13" i="80"/>
  <c r="D13" i="80"/>
  <c r="D12" i="80" s="1"/>
  <c r="B13" i="80"/>
  <c r="T12" i="80"/>
  <c r="V71" i="80" s="1"/>
  <c r="N12" i="80"/>
  <c r="L12" i="80"/>
  <c r="H12" i="80"/>
  <c r="J38" i="80" s="1"/>
  <c r="D6" i="80"/>
  <c r="D4" i="80"/>
  <c r="J75" i="79"/>
  <c r="Z73" i="79"/>
  <c r="X73" i="79"/>
  <c r="N73" i="79"/>
  <c r="L73" i="79"/>
  <c r="Z69" i="79"/>
  <c r="P69" i="79"/>
  <c r="X69" i="79" s="1"/>
  <c r="N69" i="79"/>
  <c r="L69" i="79"/>
  <c r="D69" i="79"/>
  <c r="B69" i="79"/>
  <c r="Z68" i="79"/>
  <c r="X68" i="79"/>
  <c r="P68" i="79"/>
  <c r="D68" i="79"/>
  <c r="L68" i="79" s="1"/>
  <c r="N68" i="79" s="1"/>
  <c r="B68" i="79"/>
  <c r="Z67" i="79"/>
  <c r="X67" i="79"/>
  <c r="V67" i="79"/>
  <c r="P67" i="79"/>
  <c r="N67" i="79"/>
  <c r="D67" i="79"/>
  <c r="L67" i="79" s="1"/>
  <c r="B67" i="79"/>
  <c r="Z66" i="79"/>
  <c r="X66" i="79"/>
  <c r="V66" i="79"/>
  <c r="P66" i="79"/>
  <c r="N66" i="79"/>
  <c r="D66" i="79"/>
  <c r="L66" i="79" s="1"/>
  <c r="B66" i="79"/>
  <c r="Z65" i="79"/>
  <c r="V65" i="79"/>
  <c r="P65" i="79"/>
  <c r="X65" i="79" s="1"/>
  <c r="N65" i="79"/>
  <c r="D65" i="79"/>
  <c r="L65" i="79" s="1"/>
  <c r="B65" i="79"/>
  <c r="T64" i="79"/>
  <c r="P64" i="79"/>
  <c r="H64" i="79"/>
  <c r="Z62" i="79"/>
  <c r="X62" i="79"/>
  <c r="R62" i="79"/>
  <c r="N62" i="79"/>
  <c r="L62" i="79"/>
  <c r="B62" i="79"/>
  <c r="T61" i="79"/>
  <c r="Z61" i="79" s="1"/>
  <c r="P61" i="79"/>
  <c r="N61" i="79"/>
  <c r="L61" i="79"/>
  <c r="H61" i="79"/>
  <c r="D61" i="79"/>
  <c r="B61" i="79"/>
  <c r="X60" i="79"/>
  <c r="Z60" i="79" s="1"/>
  <c r="V60" i="79"/>
  <c r="L60" i="79"/>
  <c r="N60" i="79" s="1"/>
  <c r="B60" i="79"/>
  <c r="Z59" i="79"/>
  <c r="X59" i="79"/>
  <c r="N59" i="79"/>
  <c r="L59" i="79"/>
  <c r="B59" i="79"/>
  <c r="X58" i="79"/>
  <c r="Z58" i="79" s="1"/>
  <c r="T58" i="79"/>
  <c r="P58" i="79"/>
  <c r="H58" i="79"/>
  <c r="N58" i="79" s="1"/>
  <c r="D58" i="79"/>
  <c r="L58" i="79" s="1"/>
  <c r="B58" i="79"/>
  <c r="Z57" i="79"/>
  <c r="X57" i="79"/>
  <c r="L57" i="79"/>
  <c r="N57" i="79" s="1"/>
  <c r="B57" i="79"/>
  <c r="V56" i="79"/>
  <c r="T56" i="79"/>
  <c r="P56" i="79"/>
  <c r="H56" i="79"/>
  <c r="N56" i="79" s="1"/>
  <c r="D56" i="79"/>
  <c r="L56" i="79" s="1"/>
  <c r="B56" i="79"/>
  <c r="X55" i="79"/>
  <c r="Z55" i="79" s="1"/>
  <c r="V55" i="79"/>
  <c r="L55" i="79"/>
  <c r="N55" i="79" s="1"/>
  <c r="B55" i="79"/>
  <c r="T54" i="79"/>
  <c r="P54" i="79"/>
  <c r="X54" i="79" s="1"/>
  <c r="H54" i="79"/>
  <c r="N54" i="79" s="1"/>
  <c r="D54" i="79"/>
  <c r="L54" i="79" s="1"/>
  <c r="B54" i="79"/>
  <c r="Z53" i="79"/>
  <c r="X53" i="79"/>
  <c r="V53" i="79"/>
  <c r="N53" i="79"/>
  <c r="L53" i="79"/>
  <c r="B53" i="79"/>
  <c r="X52" i="79"/>
  <c r="Z52" i="79" s="1"/>
  <c r="V52" i="79"/>
  <c r="L52" i="79"/>
  <c r="N52" i="79" s="1"/>
  <c r="B52" i="79"/>
  <c r="T51" i="79"/>
  <c r="P51" i="79"/>
  <c r="X51" i="79" s="1"/>
  <c r="H51" i="79"/>
  <c r="D51" i="79"/>
  <c r="B51" i="79"/>
  <c r="X50" i="79"/>
  <c r="Z50" i="79" s="1"/>
  <c r="N50" i="79"/>
  <c r="L50" i="79"/>
  <c r="B50" i="79"/>
  <c r="T49" i="79"/>
  <c r="P49" i="79"/>
  <c r="X49" i="79" s="1"/>
  <c r="Z49" i="79" s="1"/>
  <c r="H49" i="79"/>
  <c r="D49" i="79"/>
  <c r="L49" i="79" s="1"/>
  <c r="N49" i="79" s="1"/>
  <c r="B49" i="79"/>
  <c r="Z48" i="79"/>
  <c r="X48" i="79"/>
  <c r="N48" i="79"/>
  <c r="L48" i="79"/>
  <c r="B48" i="79"/>
  <c r="Z47" i="79"/>
  <c r="X47" i="79"/>
  <c r="V47" i="79"/>
  <c r="T47" i="79"/>
  <c r="P47" i="79"/>
  <c r="H47" i="79"/>
  <c r="N47" i="79" s="1"/>
  <c r="D47" i="79"/>
  <c r="L47" i="79" s="1"/>
  <c r="B47" i="79"/>
  <c r="Z46" i="79"/>
  <c r="X46" i="79"/>
  <c r="N46" i="79"/>
  <c r="L46" i="79"/>
  <c r="B46" i="79"/>
  <c r="Z45" i="79"/>
  <c r="X45" i="79"/>
  <c r="V45" i="79"/>
  <c r="N45" i="79"/>
  <c r="L45" i="79"/>
  <c r="B45" i="79"/>
  <c r="Z44" i="79"/>
  <c r="X44" i="79"/>
  <c r="V44" i="79"/>
  <c r="N44" i="79"/>
  <c r="L44" i="79"/>
  <c r="B44" i="79"/>
  <c r="Z43" i="79"/>
  <c r="X43" i="79"/>
  <c r="N43" i="79"/>
  <c r="L43" i="79"/>
  <c r="B43" i="79"/>
  <c r="Z42" i="79"/>
  <c r="X42" i="79"/>
  <c r="N42" i="79"/>
  <c r="L42" i="79"/>
  <c r="B42" i="79"/>
  <c r="Z41" i="79"/>
  <c r="X41" i="79"/>
  <c r="V41" i="79"/>
  <c r="N41" i="79"/>
  <c r="L41" i="79"/>
  <c r="B41" i="79"/>
  <c r="Z40" i="79"/>
  <c r="X40" i="79"/>
  <c r="V40" i="79"/>
  <c r="N40" i="79"/>
  <c r="L40" i="79"/>
  <c r="F40" i="79"/>
  <c r="B40" i="79"/>
  <c r="Z39" i="79"/>
  <c r="X39" i="79"/>
  <c r="N39" i="79"/>
  <c r="L39" i="79"/>
  <c r="B39" i="79"/>
  <c r="Z38" i="79"/>
  <c r="X38" i="79"/>
  <c r="L38" i="79"/>
  <c r="N38" i="79" s="1"/>
  <c r="B38" i="79"/>
  <c r="Z37" i="79"/>
  <c r="X37" i="79"/>
  <c r="V37" i="79"/>
  <c r="N37" i="79"/>
  <c r="L37" i="79"/>
  <c r="B37" i="79"/>
  <c r="V36" i="79"/>
  <c r="T36" i="79"/>
  <c r="Z36" i="79" s="1"/>
  <c r="P36" i="79"/>
  <c r="X36" i="79" s="1"/>
  <c r="L36" i="79"/>
  <c r="N36" i="79" s="1"/>
  <c r="H36" i="79"/>
  <c r="D36" i="79"/>
  <c r="B36" i="79"/>
  <c r="X35" i="79"/>
  <c r="Z35" i="79" s="1"/>
  <c r="V35" i="79"/>
  <c r="N35" i="79"/>
  <c r="L35" i="79"/>
  <c r="B35" i="79"/>
  <c r="X34" i="79"/>
  <c r="Z34" i="79" s="1"/>
  <c r="N34" i="79"/>
  <c r="L34" i="79"/>
  <c r="B34" i="79"/>
  <c r="Z33" i="79"/>
  <c r="X33" i="79"/>
  <c r="N33" i="79"/>
  <c r="L33" i="79"/>
  <c r="F33" i="79"/>
  <c r="B33" i="79"/>
  <c r="X32" i="79"/>
  <c r="Z32" i="79" s="1"/>
  <c r="V32" i="79"/>
  <c r="N32" i="79"/>
  <c r="L32" i="79"/>
  <c r="B32" i="79"/>
  <c r="X31" i="79"/>
  <c r="Z31" i="79" s="1"/>
  <c r="V31" i="79"/>
  <c r="N31" i="79"/>
  <c r="L31" i="79"/>
  <c r="J31" i="79"/>
  <c r="B31" i="79"/>
  <c r="X30" i="79"/>
  <c r="Z30" i="79" s="1"/>
  <c r="N30" i="79"/>
  <c r="L30" i="79"/>
  <c r="F30" i="79"/>
  <c r="B30" i="79"/>
  <c r="Z29" i="79"/>
  <c r="X29" i="79"/>
  <c r="N29" i="79"/>
  <c r="L29" i="79"/>
  <c r="F29" i="79"/>
  <c r="B29" i="79"/>
  <c r="X28" i="79"/>
  <c r="Z28" i="79" s="1"/>
  <c r="V28" i="79"/>
  <c r="N28" i="79"/>
  <c r="L28" i="79"/>
  <c r="B28" i="79"/>
  <c r="V27" i="79"/>
  <c r="T27" i="79"/>
  <c r="R27" i="79"/>
  <c r="P27" i="79"/>
  <c r="X27" i="79" s="1"/>
  <c r="Z27" i="79" s="1"/>
  <c r="N27" i="79"/>
  <c r="L27" i="79"/>
  <c r="H27" i="79"/>
  <c r="D27" i="79"/>
  <c r="B27" i="79"/>
  <c r="Z26" i="79"/>
  <c r="T26" i="79"/>
  <c r="P26" i="79"/>
  <c r="X26" i="79" s="1"/>
  <c r="H26" i="79"/>
  <c r="D26" i="79"/>
  <c r="L26" i="79" s="1"/>
  <c r="Z24" i="79"/>
  <c r="T24" i="79"/>
  <c r="T71" i="79" s="1"/>
  <c r="Z22" i="79"/>
  <c r="X22" i="79"/>
  <c r="N22" i="79"/>
  <c r="L22" i="79"/>
  <c r="B22" i="79"/>
  <c r="Z21" i="79"/>
  <c r="X21" i="79"/>
  <c r="V21" i="79"/>
  <c r="N21" i="79"/>
  <c r="L21" i="79"/>
  <c r="B21" i="79"/>
  <c r="Z20" i="79"/>
  <c r="X20" i="79"/>
  <c r="N20" i="79"/>
  <c r="L20" i="79"/>
  <c r="J20" i="79"/>
  <c r="B20" i="79"/>
  <c r="Z19" i="79"/>
  <c r="X19" i="79"/>
  <c r="V19" i="79"/>
  <c r="N19" i="79"/>
  <c r="L19" i="79"/>
  <c r="B19" i="79"/>
  <c r="Z18" i="79"/>
  <c r="X18" i="79"/>
  <c r="N18" i="79"/>
  <c r="L18" i="79"/>
  <c r="B18" i="79"/>
  <c r="V17" i="79"/>
  <c r="T17" i="79"/>
  <c r="Z17" i="79" s="1"/>
  <c r="P17" i="79"/>
  <c r="N17" i="79"/>
  <c r="L17" i="79"/>
  <c r="H17" i="79"/>
  <c r="D17" i="79"/>
  <c r="Z15" i="79"/>
  <c r="P15" i="79"/>
  <c r="X15" i="79" s="1"/>
  <c r="N15" i="79"/>
  <c r="L15" i="79"/>
  <c r="D15" i="79"/>
  <c r="B15" i="79"/>
  <c r="Z14" i="79"/>
  <c r="X14" i="79"/>
  <c r="P14" i="79"/>
  <c r="N14" i="79"/>
  <c r="D14" i="79"/>
  <c r="L14" i="79" s="1"/>
  <c r="B14" i="79"/>
  <c r="Z13" i="79"/>
  <c r="X13" i="79"/>
  <c r="P13" i="79"/>
  <c r="P12" i="79" s="1"/>
  <c r="N13" i="79"/>
  <c r="L13" i="79"/>
  <c r="D13" i="79"/>
  <c r="D12" i="79" s="1"/>
  <c r="F52" i="79" s="1"/>
  <c r="B13" i="79"/>
  <c r="Z12" i="79"/>
  <c r="T12" i="79"/>
  <c r="V68" i="79" s="1"/>
  <c r="H12" i="79"/>
  <c r="J51" i="79" s="1"/>
  <c r="D6" i="79"/>
  <c r="D4" i="79"/>
  <c r="X109" i="77"/>
  <c r="Z109" i="77" s="1"/>
  <c r="L109" i="77"/>
  <c r="N109" i="77" s="1"/>
  <c r="J109" i="77"/>
  <c r="P105" i="77"/>
  <c r="X105" i="77" s="1"/>
  <c r="Z105" i="77" s="1"/>
  <c r="L105" i="77"/>
  <c r="N105" i="77" s="1"/>
  <c r="D105" i="77"/>
  <c r="B105" i="77"/>
  <c r="Z104" i="77"/>
  <c r="P104" i="77"/>
  <c r="X104" i="77" s="1"/>
  <c r="N104" i="77"/>
  <c r="L104" i="77"/>
  <c r="D104" i="77"/>
  <c r="B104" i="77"/>
  <c r="Z103" i="77"/>
  <c r="X103" i="77"/>
  <c r="P103" i="77"/>
  <c r="N103" i="77"/>
  <c r="D103" i="77"/>
  <c r="L103" i="77" s="1"/>
  <c r="B103" i="77"/>
  <c r="T102" i="77"/>
  <c r="H102" i="77"/>
  <c r="Z100" i="77"/>
  <c r="X100" i="77"/>
  <c r="L100" i="77"/>
  <c r="N100" i="77" s="1"/>
  <c r="B100" i="77"/>
  <c r="Z99" i="77"/>
  <c r="T99" i="77"/>
  <c r="P99" i="77"/>
  <c r="X99" i="77" s="1"/>
  <c r="H99" i="77"/>
  <c r="D99" i="77"/>
  <c r="L99" i="77" s="1"/>
  <c r="B99" i="77"/>
  <c r="Z98" i="77"/>
  <c r="X98" i="77"/>
  <c r="N98" i="77"/>
  <c r="L98" i="77"/>
  <c r="B98" i="77"/>
  <c r="X97" i="77"/>
  <c r="Z97" i="77" s="1"/>
  <c r="L97" i="77"/>
  <c r="N97" i="77" s="1"/>
  <c r="J97" i="77"/>
  <c r="B97" i="77"/>
  <c r="T96" i="77"/>
  <c r="Z96" i="77" s="1"/>
  <c r="P96" i="77"/>
  <c r="X96" i="77" s="1"/>
  <c r="H96" i="77"/>
  <c r="D96" i="77"/>
  <c r="L96" i="77" s="1"/>
  <c r="B96" i="77"/>
  <c r="Z95" i="77"/>
  <c r="X95" i="77"/>
  <c r="N95" i="77"/>
  <c r="L95" i="77"/>
  <c r="B95" i="77"/>
  <c r="Z94" i="77"/>
  <c r="X94" i="77"/>
  <c r="N94" i="77"/>
  <c r="L94" i="77"/>
  <c r="B94" i="77"/>
  <c r="T93" i="77"/>
  <c r="P93" i="77"/>
  <c r="H93" i="77"/>
  <c r="N93" i="77" s="1"/>
  <c r="D93" i="77"/>
  <c r="L93" i="77" s="1"/>
  <c r="B93" i="77"/>
  <c r="Z92" i="77"/>
  <c r="X92" i="77"/>
  <c r="N92" i="77"/>
  <c r="L92" i="77"/>
  <c r="B92" i="77"/>
  <c r="Z91" i="77"/>
  <c r="T91" i="77"/>
  <c r="P91" i="77"/>
  <c r="H91" i="77"/>
  <c r="N91" i="77" s="1"/>
  <c r="D91" i="77"/>
  <c r="L91" i="77" s="1"/>
  <c r="B91" i="77"/>
  <c r="Z90" i="77"/>
  <c r="X90" i="77"/>
  <c r="N90" i="77"/>
  <c r="L90" i="77"/>
  <c r="B90" i="77"/>
  <c r="V89" i="77"/>
  <c r="T89" i="77"/>
  <c r="Z89" i="77" s="1"/>
  <c r="P89" i="77"/>
  <c r="X89" i="77" s="1"/>
  <c r="L89" i="77"/>
  <c r="N89" i="77" s="1"/>
  <c r="H89" i="77"/>
  <c r="D89" i="77"/>
  <c r="B89" i="77"/>
  <c r="X88" i="77"/>
  <c r="Z88" i="77" s="1"/>
  <c r="L88" i="77"/>
  <c r="N88" i="77" s="1"/>
  <c r="J88" i="77"/>
  <c r="B88" i="77"/>
  <c r="T87" i="77"/>
  <c r="Z87" i="77" s="1"/>
  <c r="P87" i="77"/>
  <c r="X87" i="77" s="1"/>
  <c r="J87" i="77"/>
  <c r="H87" i="77"/>
  <c r="D87" i="77"/>
  <c r="B87" i="77"/>
  <c r="Z86" i="77"/>
  <c r="X86" i="77"/>
  <c r="N86" i="77"/>
  <c r="L86" i="77"/>
  <c r="B86" i="77"/>
  <c r="T85" i="77"/>
  <c r="Z85" i="77" s="1"/>
  <c r="P85" i="77"/>
  <c r="X85" i="77" s="1"/>
  <c r="H85" i="77"/>
  <c r="D85" i="77"/>
  <c r="L85" i="77" s="1"/>
  <c r="N85" i="77" s="1"/>
  <c r="B85" i="77"/>
  <c r="Z84" i="77"/>
  <c r="X84" i="77"/>
  <c r="N84" i="77"/>
  <c r="L84" i="77"/>
  <c r="B84" i="77"/>
  <c r="Z83" i="77"/>
  <c r="X83" i="77"/>
  <c r="T83" i="77"/>
  <c r="P83" i="77"/>
  <c r="H83" i="77"/>
  <c r="N83" i="77" s="1"/>
  <c r="D83" i="77"/>
  <c r="L83" i="77" s="1"/>
  <c r="B83" i="77"/>
  <c r="Z82" i="77"/>
  <c r="X82" i="77"/>
  <c r="N82" i="77"/>
  <c r="L82" i="77"/>
  <c r="B82" i="77"/>
  <c r="X81" i="77"/>
  <c r="T81" i="77"/>
  <c r="P81" i="77"/>
  <c r="H81" i="77"/>
  <c r="N81" i="77" s="1"/>
  <c r="D81" i="77"/>
  <c r="L81" i="77" s="1"/>
  <c r="B81" i="77"/>
  <c r="Z80" i="77"/>
  <c r="X80" i="77"/>
  <c r="N80" i="77"/>
  <c r="L80" i="77"/>
  <c r="B80" i="77"/>
  <c r="Z79" i="77"/>
  <c r="X79" i="77"/>
  <c r="N79" i="77"/>
  <c r="L79" i="77"/>
  <c r="B79" i="77"/>
  <c r="Z78" i="77"/>
  <c r="X78" i="77"/>
  <c r="N78" i="77"/>
  <c r="L78" i="77"/>
  <c r="B78" i="77"/>
  <c r="X77" i="77"/>
  <c r="Z77" i="77" s="1"/>
  <c r="N77" i="77"/>
  <c r="L77" i="77"/>
  <c r="B77" i="77"/>
  <c r="Z76" i="77"/>
  <c r="X76" i="77"/>
  <c r="N76" i="77"/>
  <c r="L76" i="77"/>
  <c r="B76" i="77"/>
  <c r="Z75" i="77"/>
  <c r="X75" i="77"/>
  <c r="N75" i="77"/>
  <c r="L75" i="77"/>
  <c r="B75" i="77"/>
  <c r="Z74" i="77"/>
  <c r="X74" i="77"/>
  <c r="N74" i="77"/>
  <c r="L74" i="77"/>
  <c r="B74" i="77"/>
  <c r="Z73" i="77"/>
  <c r="X73" i="77"/>
  <c r="N73" i="77"/>
  <c r="L73" i="77"/>
  <c r="B73" i="77"/>
  <c r="Z72" i="77"/>
  <c r="X72" i="77"/>
  <c r="N72" i="77"/>
  <c r="L72" i="77"/>
  <c r="B72" i="77"/>
  <c r="Z71" i="77"/>
  <c r="X71" i="77"/>
  <c r="L71" i="77"/>
  <c r="N71" i="77" s="1"/>
  <c r="B71" i="77"/>
  <c r="T70" i="77"/>
  <c r="P70" i="77"/>
  <c r="X70" i="77" s="1"/>
  <c r="N70" i="77"/>
  <c r="L70" i="77"/>
  <c r="J70" i="77"/>
  <c r="H70" i="77"/>
  <c r="D70" i="77"/>
  <c r="B70" i="77"/>
  <c r="Z69" i="77"/>
  <c r="X69" i="77"/>
  <c r="N69" i="77"/>
  <c r="L69" i="77"/>
  <c r="J69" i="77"/>
  <c r="B69" i="77"/>
  <c r="X68" i="77"/>
  <c r="Z68" i="77" s="1"/>
  <c r="N68" i="77"/>
  <c r="L68" i="77"/>
  <c r="B68" i="77"/>
  <c r="Z67" i="77"/>
  <c r="X67" i="77"/>
  <c r="L67" i="77"/>
  <c r="N67" i="77" s="1"/>
  <c r="B67" i="77"/>
  <c r="Z66" i="77"/>
  <c r="X66" i="77"/>
  <c r="N66" i="77"/>
  <c r="L66" i="77"/>
  <c r="B66" i="77"/>
  <c r="Z65" i="77"/>
  <c r="X65" i="77"/>
  <c r="N65" i="77"/>
  <c r="L65" i="77"/>
  <c r="J65" i="77"/>
  <c r="B65" i="77"/>
  <c r="X64" i="77"/>
  <c r="Z64" i="77" s="1"/>
  <c r="L64" i="77"/>
  <c r="N64" i="77" s="1"/>
  <c r="B64" i="77"/>
  <c r="Z63" i="77"/>
  <c r="X63" i="77"/>
  <c r="L63" i="77"/>
  <c r="N63" i="77" s="1"/>
  <c r="B63" i="77"/>
  <c r="Z62" i="77"/>
  <c r="X62" i="77"/>
  <c r="N62" i="77"/>
  <c r="L62" i="77"/>
  <c r="B62" i="77"/>
  <c r="X61" i="77"/>
  <c r="Z61" i="77" s="1"/>
  <c r="L61" i="77"/>
  <c r="N61" i="77" s="1"/>
  <c r="J61" i="77"/>
  <c r="B61" i="77"/>
  <c r="X60" i="77"/>
  <c r="Z60" i="77" s="1"/>
  <c r="L60" i="77"/>
  <c r="N60" i="77" s="1"/>
  <c r="B60" i="77"/>
  <c r="Z59" i="77"/>
  <c r="X59" i="77"/>
  <c r="T59" i="77"/>
  <c r="P59" i="77"/>
  <c r="J59" i="77"/>
  <c r="H59" i="77"/>
  <c r="D59" i="77"/>
  <c r="L59" i="77" s="1"/>
  <c r="B59" i="77"/>
  <c r="T58" i="77"/>
  <c r="P58" i="77"/>
  <c r="X58" i="77" s="1"/>
  <c r="Z58" i="77" s="1"/>
  <c r="N58" i="77"/>
  <c r="H58" i="77"/>
  <c r="D58" i="77"/>
  <c r="L58" i="77" s="1"/>
  <c r="Z54" i="77"/>
  <c r="X54" i="77"/>
  <c r="N54" i="77"/>
  <c r="L54" i="77"/>
  <c r="B54" i="77"/>
  <c r="Z53" i="77"/>
  <c r="X53" i="77"/>
  <c r="N53" i="77"/>
  <c r="L53" i="77"/>
  <c r="B53" i="77"/>
  <c r="Z52" i="77"/>
  <c r="X52" i="77"/>
  <c r="N52" i="77"/>
  <c r="L52" i="77"/>
  <c r="B52" i="77"/>
  <c r="Z51" i="77"/>
  <c r="X51" i="77"/>
  <c r="N51" i="77"/>
  <c r="L51" i="77"/>
  <c r="B51" i="77"/>
  <c r="Z50" i="77"/>
  <c r="X50" i="77"/>
  <c r="N50" i="77"/>
  <c r="L50" i="77"/>
  <c r="J50" i="77"/>
  <c r="B50" i="77"/>
  <c r="Z49" i="77"/>
  <c r="X49" i="77"/>
  <c r="V49" i="77"/>
  <c r="N49" i="77"/>
  <c r="L49" i="77"/>
  <c r="B49" i="77"/>
  <c r="Z48" i="77"/>
  <c r="X48" i="77"/>
  <c r="N48" i="77"/>
  <c r="L48" i="77"/>
  <c r="J48" i="77"/>
  <c r="B48" i="77"/>
  <c r="Z47" i="77"/>
  <c r="X47" i="77"/>
  <c r="N47" i="77"/>
  <c r="L47" i="77"/>
  <c r="B47" i="77"/>
  <c r="Z46" i="77"/>
  <c r="X46" i="77"/>
  <c r="N46" i="77"/>
  <c r="L46" i="77"/>
  <c r="B46" i="77"/>
  <c r="Z45" i="77"/>
  <c r="X45" i="77"/>
  <c r="N45" i="77"/>
  <c r="L45" i="77"/>
  <c r="B45" i="77"/>
  <c r="Z44" i="77"/>
  <c r="X44" i="77"/>
  <c r="N44" i="77"/>
  <c r="L44" i="77"/>
  <c r="J44" i="77"/>
  <c r="B44" i="77"/>
  <c r="Z43" i="77"/>
  <c r="X43" i="77"/>
  <c r="N43" i="77"/>
  <c r="L43" i="77"/>
  <c r="B43" i="77"/>
  <c r="Z42" i="77"/>
  <c r="X42" i="77"/>
  <c r="N42" i="77"/>
  <c r="L42" i="77"/>
  <c r="B42" i="77"/>
  <c r="X41" i="77"/>
  <c r="Z41" i="77" s="1"/>
  <c r="L41" i="77"/>
  <c r="N41" i="77" s="1"/>
  <c r="B41" i="77"/>
  <c r="X40" i="77"/>
  <c r="Z40" i="77" s="1"/>
  <c r="V40" i="77"/>
  <c r="T40" i="77"/>
  <c r="P40" i="77"/>
  <c r="H40" i="77"/>
  <c r="D40" i="77"/>
  <c r="L40" i="77" s="1"/>
  <c r="N40" i="77" s="1"/>
  <c r="Z38" i="77"/>
  <c r="X38" i="77"/>
  <c r="P38" i="77"/>
  <c r="N38" i="77"/>
  <c r="L38" i="77"/>
  <c r="D38" i="77"/>
  <c r="B38" i="77"/>
  <c r="Z37" i="77"/>
  <c r="P37" i="77"/>
  <c r="X37" i="77" s="1"/>
  <c r="N37" i="77"/>
  <c r="D37" i="77"/>
  <c r="L37" i="77" s="1"/>
  <c r="B37" i="77"/>
  <c r="Z36" i="77"/>
  <c r="P36" i="77"/>
  <c r="X36" i="77" s="1"/>
  <c r="N36" i="77"/>
  <c r="L36" i="77"/>
  <c r="D36" i="77"/>
  <c r="B36" i="77"/>
  <c r="Z35" i="77"/>
  <c r="P35" i="77"/>
  <c r="X35" i="77" s="1"/>
  <c r="N35" i="77"/>
  <c r="D35" i="77"/>
  <c r="L35" i="77" s="1"/>
  <c r="B35" i="77"/>
  <c r="Z34" i="77"/>
  <c r="X34" i="77"/>
  <c r="P34" i="77"/>
  <c r="N34" i="77"/>
  <c r="L34" i="77"/>
  <c r="D34" i="77"/>
  <c r="B34" i="77"/>
  <c r="Z33" i="77"/>
  <c r="X33" i="77"/>
  <c r="P33" i="77"/>
  <c r="N33" i="77"/>
  <c r="D33" i="77"/>
  <c r="L33" i="77" s="1"/>
  <c r="B33" i="77"/>
  <c r="Z32" i="77"/>
  <c r="P32" i="77"/>
  <c r="X32" i="77" s="1"/>
  <c r="N32" i="77"/>
  <c r="D32" i="77"/>
  <c r="L32" i="77" s="1"/>
  <c r="B32" i="77"/>
  <c r="Z31" i="77"/>
  <c r="X31" i="77"/>
  <c r="P31" i="77"/>
  <c r="N31" i="77"/>
  <c r="D31" i="77"/>
  <c r="L31" i="77" s="1"/>
  <c r="B31" i="77"/>
  <c r="Z30" i="77"/>
  <c r="P30" i="77"/>
  <c r="X30" i="77" s="1"/>
  <c r="N30" i="77"/>
  <c r="L30" i="77"/>
  <c r="D30" i="77"/>
  <c r="B30" i="77"/>
  <c r="Z29" i="77"/>
  <c r="X29" i="77"/>
  <c r="P29" i="77"/>
  <c r="N29" i="77"/>
  <c r="D29" i="77"/>
  <c r="L29" i="77" s="1"/>
  <c r="B29" i="77"/>
  <c r="Z28" i="77"/>
  <c r="X28" i="77"/>
  <c r="P28" i="77"/>
  <c r="N28" i="77"/>
  <c r="L28" i="77"/>
  <c r="D28" i="77"/>
  <c r="B28" i="77"/>
  <c r="Z27" i="77"/>
  <c r="X27" i="77"/>
  <c r="P27" i="77"/>
  <c r="N27" i="77"/>
  <c r="D27" i="77"/>
  <c r="L27" i="77" s="1"/>
  <c r="B27" i="77"/>
  <c r="Z26" i="77"/>
  <c r="P26" i="77"/>
  <c r="X26" i="77" s="1"/>
  <c r="N26" i="77"/>
  <c r="L26" i="77"/>
  <c r="D26" i="77"/>
  <c r="B26" i="77"/>
  <c r="Z25" i="77"/>
  <c r="P25" i="77"/>
  <c r="X25" i="77" s="1"/>
  <c r="N25" i="77"/>
  <c r="D25" i="77"/>
  <c r="L25" i="77" s="1"/>
  <c r="B25" i="77"/>
  <c r="Z24" i="77"/>
  <c r="P24" i="77"/>
  <c r="X24" i="77" s="1"/>
  <c r="N24" i="77"/>
  <c r="L24" i="77"/>
  <c r="D24" i="77"/>
  <c r="B24" i="77"/>
  <c r="Z23" i="77"/>
  <c r="P23" i="77"/>
  <c r="X23" i="77" s="1"/>
  <c r="N23" i="77"/>
  <c r="L23" i="77"/>
  <c r="D23" i="77"/>
  <c r="B23" i="77"/>
  <c r="Z22" i="77"/>
  <c r="X22" i="77"/>
  <c r="P22" i="77"/>
  <c r="N22" i="77"/>
  <c r="L22" i="77"/>
  <c r="D22" i="77"/>
  <c r="B22" i="77"/>
  <c r="P21" i="77"/>
  <c r="X21" i="77" s="1"/>
  <c r="Z21" i="77" s="1"/>
  <c r="D21" i="77"/>
  <c r="L21" i="77" s="1"/>
  <c r="N21" i="77" s="1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L19" i="77"/>
  <c r="D19" i="77"/>
  <c r="B19" i="77"/>
  <c r="Z18" i="77"/>
  <c r="P18" i="77"/>
  <c r="X18" i="77" s="1"/>
  <c r="N18" i="77"/>
  <c r="D18" i="77"/>
  <c r="L18" i="77" s="1"/>
  <c r="B18" i="77"/>
  <c r="Z17" i="77"/>
  <c r="X17" i="77"/>
  <c r="P17" i="77"/>
  <c r="N17" i="77"/>
  <c r="L17" i="77"/>
  <c r="D17" i="77"/>
  <c r="B17" i="77"/>
  <c r="Z16" i="77"/>
  <c r="X16" i="77"/>
  <c r="P16" i="77"/>
  <c r="N16" i="77"/>
  <c r="L16" i="77"/>
  <c r="D16" i="77"/>
  <c r="B16" i="77"/>
  <c r="Z15" i="77"/>
  <c r="X15" i="77"/>
  <c r="P15" i="77"/>
  <c r="N15" i="77"/>
  <c r="D15" i="77"/>
  <c r="L15" i="77" s="1"/>
  <c r="B15" i="77"/>
  <c r="Z14" i="77"/>
  <c r="X14" i="77"/>
  <c r="P14" i="77"/>
  <c r="N14" i="77"/>
  <c r="D14" i="77"/>
  <c r="L14" i="77" s="1"/>
  <c r="B14" i="77"/>
  <c r="Z13" i="77"/>
  <c r="X13" i="77"/>
  <c r="P13" i="77"/>
  <c r="L13" i="77"/>
  <c r="N13" i="77" s="1"/>
  <c r="D13" i="77"/>
  <c r="B13" i="77"/>
  <c r="T12" i="77"/>
  <c r="P12" i="77"/>
  <c r="R62" i="77" s="1"/>
  <c r="H12" i="77"/>
  <c r="J96" i="77" s="1"/>
  <c r="D6" i="77"/>
  <c r="D4" i="77"/>
  <c r="X89" i="76"/>
  <c r="Z89" i="76" s="1"/>
  <c r="N89" i="76"/>
  <c r="L89" i="76"/>
  <c r="J89" i="76"/>
  <c r="P85" i="76"/>
  <c r="X85" i="76" s="1"/>
  <c r="Z85" i="76" s="1"/>
  <c r="D85" i="76"/>
  <c r="B85" i="76"/>
  <c r="P84" i="76"/>
  <c r="X84" i="76" s="1"/>
  <c r="Z84" i="76" s="1"/>
  <c r="N84" i="76"/>
  <c r="J84" i="76"/>
  <c r="D84" i="76"/>
  <c r="L84" i="76" s="1"/>
  <c r="B84" i="76"/>
  <c r="Z83" i="76"/>
  <c r="T83" i="76"/>
  <c r="P83" i="76"/>
  <c r="X83" i="76" s="1"/>
  <c r="J83" i="76"/>
  <c r="H83" i="76"/>
  <c r="Z81" i="76"/>
  <c r="X81" i="76"/>
  <c r="N81" i="76"/>
  <c r="L81" i="76"/>
  <c r="B81" i="76"/>
  <c r="X80" i="76"/>
  <c r="T80" i="76"/>
  <c r="Z80" i="76" s="1"/>
  <c r="P80" i="76"/>
  <c r="J80" i="76"/>
  <c r="H80" i="76"/>
  <c r="N80" i="76" s="1"/>
  <c r="D80" i="76"/>
  <c r="L80" i="76" s="1"/>
  <c r="B80" i="76"/>
  <c r="Z79" i="76"/>
  <c r="X79" i="76"/>
  <c r="N79" i="76"/>
  <c r="L79" i="76"/>
  <c r="B79" i="76"/>
  <c r="Z78" i="76"/>
  <c r="X78" i="76"/>
  <c r="N78" i="76"/>
  <c r="L78" i="76"/>
  <c r="B78" i="76"/>
  <c r="X77" i="76"/>
  <c r="T77" i="76"/>
  <c r="Z77" i="76" s="1"/>
  <c r="P77" i="76"/>
  <c r="L77" i="76"/>
  <c r="N77" i="76" s="1"/>
  <c r="J77" i="76"/>
  <c r="H77" i="76"/>
  <c r="D77" i="76"/>
  <c r="B77" i="76"/>
  <c r="Z76" i="76"/>
  <c r="X76" i="76"/>
  <c r="L76" i="76"/>
  <c r="N76" i="76" s="1"/>
  <c r="J76" i="76"/>
  <c r="B76" i="76"/>
  <c r="Z75" i="76"/>
  <c r="X75" i="76"/>
  <c r="N75" i="76"/>
  <c r="L75" i="76"/>
  <c r="J75" i="76"/>
  <c r="B75" i="76"/>
  <c r="Z74" i="76"/>
  <c r="X74" i="76"/>
  <c r="L74" i="76"/>
  <c r="N74" i="76" s="1"/>
  <c r="J74" i="76"/>
  <c r="B74" i="76"/>
  <c r="Z73" i="76"/>
  <c r="X73" i="76"/>
  <c r="N73" i="76"/>
  <c r="L73" i="76"/>
  <c r="B73" i="76"/>
  <c r="T72" i="76"/>
  <c r="P72" i="76"/>
  <c r="X72" i="76" s="1"/>
  <c r="Z72" i="76" s="1"/>
  <c r="N72" i="76"/>
  <c r="L72" i="76"/>
  <c r="H72" i="76"/>
  <c r="D72" i="76"/>
  <c r="B72" i="76"/>
  <c r="Z71" i="76"/>
  <c r="X71" i="76"/>
  <c r="N71" i="76"/>
  <c r="L71" i="76"/>
  <c r="J71" i="76"/>
  <c r="B71" i="76"/>
  <c r="X70" i="76"/>
  <c r="Z70" i="76" s="1"/>
  <c r="N70" i="76"/>
  <c r="L70" i="76"/>
  <c r="B70" i="76"/>
  <c r="T69" i="76"/>
  <c r="P69" i="76"/>
  <c r="X69" i="76" s="1"/>
  <c r="Z69" i="76" s="1"/>
  <c r="J69" i="76"/>
  <c r="H69" i="76"/>
  <c r="D69" i="76"/>
  <c r="L69" i="76" s="1"/>
  <c r="N69" i="76" s="1"/>
  <c r="B69" i="76"/>
  <c r="Z68" i="76"/>
  <c r="X68" i="76"/>
  <c r="N68" i="76"/>
  <c r="L68" i="76"/>
  <c r="J68" i="76"/>
  <c r="B68" i="76"/>
  <c r="X67" i="76"/>
  <c r="Z67" i="76" s="1"/>
  <c r="V67" i="76"/>
  <c r="T67" i="76"/>
  <c r="P67" i="76"/>
  <c r="L67" i="76"/>
  <c r="H67" i="76"/>
  <c r="N67" i="76" s="1"/>
  <c r="D67" i="76"/>
  <c r="B67" i="76"/>
  <c r="Z66" i="76"/>
  <c r="X66" i="76"/>
  <c r="L66" i="76"/>
  <c r="N66" i="76" s="1"/>
  <c r="J66" i="76"/>
  <c r="B66" i="76"/>
  <c r="V65" i="76"/>
  <c r="T65" i="76"/>
  <c r="R65" i="76"/>
  <c r="P65" i="76"/>
  <c r="X65" i="76" s="1"/>
  <c r="H65" i="76"/>
  <c r="N65" i="76" s="1"/>
  <c r="D65" i="76"/>
  <c r="L65" i="76" s="1"/>
  <c r="B65" i="76"/>
  <c r="X64" i="76"/>
  <c r="Z64" i="76" s="1"/>
  <c r="N64" i="76"/>
  <c r="L64" i="76"/>
  <c r="B64" i="76"/>
  <c r="T63" i="76"/>
  <c r="P63" i="76"/>
  <c r="X63" i="76" s="1"/>
  <c r="Z63" i="76" s="1"/>
  <c r="N63" i="76"/>
  <c r="H63" i="76"/>
  <c r="D63" i="76"/>
  <c r="L63" i="76" s="1"/>
  <c r="B63" i="76"/>
  <c r="Z62" i="76"/>
  <c r="X62" i="76"/>
  <c r="L62" i="76"/>
  <c r="N62" i="76" s="1"/>
  <c r="B62" i="76"/>
  <c r="X61" i="76"/>
  <c r="T61" i="76"/>
  <c r="Z61" i="76" s="1"/>
  <c r="P61" i="76"/>
  <c r="L61" i="76"/>
  <c r="N61" i="76" s="1"/>
  <c r="J61" i="76"/>
  <c r="H61" i="76"/>
  <c r="D61" i="76"/>
  <c r="B61" i="76"/>
  <c r="Z60" i="76"/>
  <c r="X60" i="76"/>
  <c r="L60" i="76"/>
  <c r="N60" i="76" s="1"/>
  <c r="J60" i="76"/>
  <c r="B60" i="76"/>
  <c r="T59" i="76"/>
  <c r="P59" i="76"/>
  <c r="X59" i="76" s="1"/>
  <c r="J59" i="76"/>
  <c r="H59" i="76"/>
  <c r="D59" i="76"/>
  <c r="L59" i="76" s="1"/>
  <c r="B59" i="76"/>
  <c r="X58" i="76"/>
  <c r="Z58" i="76" s="1"/>
  <c r="N58" i="76"/>
  <c r="L58" i="76"/>
  <c r="B58" i="76"/>
  <c r="T57" i="76"/>
  <c r="P57" i="76"/>
  <c r="X57" i="76" s="1"/>
  <c r="Z57" i="76" s="1"/>
  <c r="J57" i="76"/>
  <c r="H57" i="76"/>
  <c r="D57" i="76"/>
  <c r="L57" i="76" s="1"/>
  <c r="N57" i="76" s="1"/>
  <c r="B57" i="76"/>
  <c r="Z56" i="76"/>
  <c r="X56" i="76"/>
  <c r="N56" i="76"/>
  <c r="L56" i="76"/>
  <c r="J56" i="76"/>
  <c r="B56" i="76"/>
  <c r="Z55" i="76"/>
  <c r="X55" i="76"/>
  <c r="T55" i="76"/>
  <c r="P55" i="76"/>
  <c r="L55" i="76"/>
  <c r="H55" i="76"/>
  <c r="N55" i="76" s="1"/>
  <c r="D55" i="76"/>
  <c r="B55" i="76"/>
  <c r="Z54" i="76"/>
  <c r="X54" i="76"/>
  <c r="L54" i="76"/>
  <c r="N54" i="76" s="1"/>
  <c r="J54" i="76"/>
  <c r="B54" i="76"/>
  <c r="T53" i="76"/>
  <c r="P53" i="76"/>
  <c r="X53" i="76" s="1"/>
  <c r="H53" i="76"/>
  <c r="D53" i="76"/>
  <c r="L53" i="76" s="1"/>
  <c r="B53" i="76"/>
  <c r="Z52" i="76"/>
  <c r="X52" i="76"/>
  <c r="N52" i="76"/>
  <c r="L52" i="76"/>
  <c r="B52" i="76"/>
  <c r="Z51" i="76"/>
  <c r="X51" i="76"/>
  <c r="N51" i="76"/>
  <c r="L51" i="76"/>
  <c r="J51" i="76"/>
  <c r="B51" i="76"/>
  <c r="X50" i="76"/>
  <c r="Z50" i="76" s="1"/>
  <c r="N50" i="76"/>
  <c r="L50" i="76"/>
  <c r="B50" i="76"/>
  <c r="Z49" i="76"/>
  <c r="X49" i="76"/>
  <c r="N49" i="76"/>
  <c r="L49" i="76"/>
  <c r="J49" i="76"/>
  <c r="B49" i="76"/>
  <c r="Z48" i="76"/>
  <c r="X48" i="76"/>
  <c r="N48" i="76"/>
  <c r="L48" i="76"/>
  <c r="B48" i="76"/>
  <c r="Z47" i="76"/>
  <c r="X47" i="76"/>
  <c r="N47" i="76"/>
  <c r="L47" i="76"/>
  <c r="J47" i="76"/>
  <c r="B47" i="76"/>
  <c r="X46" i="76"/>
  <c r="Z46" i="76" s="1"/>
  <c r="N46" i="76"/>
  <c r="L46" i="76"/>
  <c r="B46" i="76"/>
  <c r="Z45" i="76"/>
  <c r="X45" i="76"/>
  <c r="N45" i="76"/>
  <c r="L45" i="76"/>
  <c r="J45" i="76"/>
  <c r="B45" i="76"/>
  <c r="X44" i="76"/>
  <c r="Z44" i="76" s="1"/>
  <c r="L44" i="76"/>
  <c r="N44" i="76" s="1"/>
  <c r="B44" i="76"/>
  <c r="X43" i="76"/>
  <c r="Z43" i="76" s="1"/>
  <c r="L43" i="76"/>
  <c r="N43" i="76" s="1"/>
  <c r="J43" i="76"/>
  <c r="B43" i="76"/>
  <c r="T42" i="76"/>
  <c r="Z42" i="76" s="1"/>
  <c r="P42" i="76"/>
  <c r="X42" i="76" s="1"/>
  <c r="L42" i="76"/>
  <c r="H42" i="76"/>
  <c r="D42" i="76"/>
  <c r="B42" i="76"/>
  <c r="X41" i="76"/>
  <c r="Z41" i="76" s="1"/>
  <c r="N41" i="76"/>
  <c r="L41" i="76"/>
  <c r="J41" i="76"/>
  <c r="B41" i="76"/>
  <c r="X40" i="76"/>
  <c r="Z40" i="76" s="1"/>
  <c r="N40" i="76"/>
  <c r="L40" i="76"/>
  <c r="J40" i="76"/>
  <c r="B40" i="76"/>
  <c r="X39" i="76"/>
  <c r="Z39" i="76" s="1"/>
  <c r="N39" i="76"/>
  <c r="L39" i="76"/>
  <c r="J39" i="76"/>
  <c r="B39" i="76"/>
  <c r="Z38" i="76"/>
  <c r="X38" i="76"/>
  <c r="N38" i="76"/>
  <c r="L38" i="76"/>
  <c r="J38" i="76"/>
  <c r="B38" i="76"/>
  <c r="X37" i="76"/>
  <c r="Z37" i="76" s="1"/>
  <c r="N37" i="76"/>
  <c r="L37" i="76"/>
  <c r="J37" i="76"/>
  <c r="F37" i="76"/>
  <c r="B37" i="76"/>
  <c r="X36" i="76"/>
  <c r="Z36" i="76" s="1"/>
  <c r="N36" i="76"/>
  <c r="L36" i="76"/>
  <c r="J36" i="76"/>
  <c r="B36" i="76"/>
  <c r="Z35" i="76"/>
  <c r="X35" i="76"/>
  <c r="N35" i="76"/>
  <c r="L35" i="76"/>
  <c r="J35" i="76"/>
  <c r="B35" i="76"/>
  <c r="Z34" i="76"/>
  <c r="X34" i="76"/>
  <c r="N34" i="76"/>
  <c r="L34" i="76"/>
  <c r="J34" i="76"/>
  <c r="B34" i="76"/>
  <c r="X33" i="76"/>
  <c r="Z33" i="76" s="1"/>
  <c r="N33" i="76"/>
  <c r="L33" i="76"/>
  <c r="J33" i="76"/>
  <c r="B33" i="76"/>
  <c r="T32" i="76"/>
  <c r="P32" i="76"/>
  <c r="X32" i="76" s="1"/>
  <c r="H32" i="76"/>
  <c r="D32" i="76"/>
  <c r="L32" i="76" s="1"/>
  <c r="B32" i="76"/>
  <c r="T31" i="76"/>
  <c r="P31" i="76"/>
  <c r="X31" i="76" s="1"/>
  <c r="H31" i="76"/>
  <c r="D31" i="76"/>
  <c r="T27" i="76"/>
  <c r="Z27" i="76" s="1"/>
  <c r="P27" i="76"/>
  <c r="X27" i="76" s="1"/>
  <c r="J27" i="76"/>
  <c r="H27" i="76"/>
  <c r="N27" i="76" s="1"/>
  <c r="F27" i="76"/>
  <c r="D27" i="76"/>
  <c r="Z25" i="76"/>
  <c r="P25" i="76"/>
  <c r="X25" i="76" s="1"/>
  <c r="N25" i="76"/>
  <c r="D25" i="76"/>
  <c r="L25" i="76" s="1"/>
  <c r="B25" i="76"/>
  <c r="Z24" i="76"/>
  <c r="P24" i="76"/>
  <c r="X24" i="76" s="1"/>
  <c r="N24" i="76"/>
  <c r="L24" i="76"/>
  <c r="D24" i="76"/>
  <c r="B24" i="76"/>
  <c r="Z23" i="76"/>
  <c r="X23" i="76"/>
  <c r="P23" i="76"/>
  <c r="N23" i="76"/>
  <c r="L23" i="76"/>
  <c r="D23" i="76"/>
  <c r="B23" i="76"/>
  <c r="Z22" i="76"/>
  <c r="X22" i="76"/>
  <c r="P22" i="76"/>
  <c r="N22" i="76"/>
  <c r="D22" i="76"/>
  <c r="L22" i="76" s="1"/>
  <c r="B22" i="76"/>
  <c r="Z21" i="76"/>
  <c r="X21" i="76"/>
  <c r="P21" i="76"/>
  <c r="N21" i="76"/>
  <c r="L21" i="76"/>
  <c r="D21" i="76"/>
  <c r="B21" i="76"/>
  <c r="Z20" i="76"/>
  <c r="X20" i="76"/>
  <c r="P20" i="76"/>
  <c r="N20" i="76"/>
  <c r="L20" i="76"/>
  <c r="D20" i="76"/>
  <c r="B20" i="76"/>
  <c r="Z19" i="76"/>
  <c r="P19" i="76"/>
  <c r="X19" i="76" s="1"/>
  <c r="N19" i="76"/>
  <c r="L19" i="76"/>
  <c r="D19" i="76"/>
  <c r="B19" i="76"/>
  <c r="P18" i="76"/>
  <c r="X18" i="76" s="1"/>
  <c r="Z18" i="76" s="1"/>
  <c r="L18" i="76"/>
  <c r="N18" i="76" s="1"/>
  <c r="D18" i="76"/>
  <c r="B18" i="76"/>
  <c r="Z17" i="76"/>
  <c r="X17" i="76"/>
  <c r="P17" i="76"/>
  <c r="P12" i="76" s="1"/>
  <c r="R63" i="76" s="1"/>
  <c r="N17" i="76"/>
  <c r="L17" i="76"/>
  <c r="D17" i="76"/>
  <c r="B17" i="76"/>
  <c r="Z16" i="76"/>
  <c r="P16" i="76"/>
  <c r="X16" i="76" s="1"/>
  <c r="N16" i="76"/>
  <c r="D16" i="76"/>
  <c r="L16" i="76" s="1"/>
  <c r="B16" i="76"/>
  <c r="Z15" i="76"/>
  <c r="P15" i="76"/>
  <c r="X15" i="76" s="1"/>
  <c r="N15" i="76"/>
  <c r="D15" i="76"/>
  <c r="L15" i="76" s="1"/>
  <c r="B15" i="76"/>
  <c r="Z14" i="76"/>
  <c r="X14" i="76"/>
  <c r="P14" i="76"/>
  <c r="N14" i="76"/>
  <c r="L14" i="76"/>
  <c r="D14" i="76"/>
  <c r="B14" i="76"/>
  <c r="P13" i="76"/>
  <c r="X13" i="76" s="1"/>
  <c r="Z13" i="76" s="1"/>
  <c r="D13" i="76"/>
  <c r="D12" i="76" s="1"/>
  <c r="B13" i="76"/>
  <c r="T12" i="76"/>
  <c r="V64" i="76" s="1"/>
  <c r="H12" i="76"/>
  <c r="J78" i="76" s="1"/>
  <c r="D6" i="76"/>
  <c r="D4" i="76"/>
  <c r="Z122" i="75"/>
  <c r="X122" i="75"/>
  <c r="N122" i="75"/>
  <c r="L122" i="75"/>
  <c r="V118" i="75"/>
  <c r="P118" i="75"/>
  <c r="X118" i="75" s="1"/>
  <c r="Z118" i="75" s="1"/>
  <c r="J118" i="75"/>
  <c r="D118" i="75"/>
  <c r="L118" i="75" s="1"/>
  <c r="N118" i="75" s="1"/>
  <c r="B118" i="75"/>
  <c r="P117" i="75"/>
  <c r="X117" i="75" s="1"/>
  <c r="Z117" i="75" s="1"/>
  <c r="D117" i="75"/>
  <c r="L117" i="75" s="1"/>
  <c r="N117" i="75" s="1"/>
  <c r="B117" i="75"/>
  <c r="P116" i="75"/>
  <c r="X116" i="75" s="1"/>
  <c r="Z116" i="75" s="1"/>
  <c r="D116" i="75"/>
  <c r="L116" i="75" s="1"/>
  <c r="N116" i="75" s="1"/>
  <c r="B116" i="75"/>
  <c r="Z115" i="75"/>
  <c r="T115" i="75"/>
  <c r="P115" i="75"/>
  <c r="X115" i="75" s="1"/>
  <c r="H115" i="75"/>
  <c r="Z113" i="75"/>
  <c r="X113" i="75"/>
  <c r="L113" i="75"/>
  <c r="N113" i="75" s="1"/>
  <c r="B113" i="75"/>
  <c r="Z112" i="75"/>
  <c r="X112" i="75"/>
  <c r="V112" i="75"/>
  <c r="N112" i="75"/>
  <c r="L112" i="75"/>
  <c r="B112" i="75"/>
  <c r="T111" i="75"/>
  <c r="P111" i="75"/>
  <c r="X111" i="75" s="1"/>
  <c r="Z111" i="75" s="1"/>
  <c r="N111" i="75"/>
  <c r="H111" i="75"/>
  <c r="D111" i="75"/>
  <c r="L111" i="75" s="1"/>
  <c r="B111" i="75"/>
  <c r="Z110" i="75"/>
  <c r="X110" i="75"/>
  <c r="N110" i="75"/>
  <c r="L110" i="75"/>
  <c r="B110" i="75"/>
  <c r="X109" i="75"/>
  <c r="T109" i="75"/>
  <c r="Z109" i="75" s="1"/>
  <c r="P109" i="75"/>
  <c r="N109" i="75"/>
  <c r="L109" i="75"/>
  <c r="J109" i="75"/>
  <c r="H109" i="75"/>
  <c r="D109" i="75"/>
  <c r="B109" i="75"/>
  <c r="Z108" i="75"/>
  <c r="X108" i="75"/>
  <c r="V108" i="75"/>
  <c r="L108" i="75"/>
  <c r="N108" i="75" s="1"/>
  <c r="B108" i="75"/>
  <c r="T107" i="75"/>
  <c r="P107" i="75"/>
  <c r="X107" i="75" s="1"/>
  <c r="H107" i="75"/>
  <c r="D107" i="75"/>
  <c r="B107" i="75"/>
  <c r="X106" i="75"/>
  <c r="Z106" i="75" s="1"/>
  <c r="V106" i="75"/>
  <c r="N106" i="75"/>
  <c r="L106" i="75"/>
  <c r="B106" i="75"/>
  <c r="Z105" i="75"/>
  <c r="X105" i="75"/>
  <c r="L105" i="75"/>
  <c r="N105" i="75" s="1"/>
  <c r="B105" i="75"/>
  <c r="X104" i="75"/>
  <c r="Z104" i="75" s="1"/>
  <c r="V104" i="75"/>
  <c r="N104" i="75"/>
  <c r="L104" i="75"/>
  <c r="B104" i="75"/>
  <c r="X103" i="75"/>
  <c r="Z103" i="75" s="1"/>
  <c r="L103" i="75"/>
  <c r="N103" i="75" s="1"/>
  <c r="B103" i="75"/>
  <c r="V102" i="75"/>
  <c r="T102" i="75"/>
  <c r="P102" i="75"/>
  <c r="X102" i="75" s="1"/>
  <c r="H102" i="75"/>
  <c r="D102" i="75"/>
  <c r="B102" i="75"/>
  <c r="X101" i="75"/>
  <c r="Z101" i="75" s="1"/>
  <c r="N101" i="75"/>
  <c r="L101" i="75"/>
  <c r="J101" i="75"/>
  <c r="B101" i="75"/>
  <c r="Z100" i="75"/>
  <c r="X100" i="75"/>
  <c r="N100" i="75"/>
  <c r="L100" i="75"/>
  <c r="B100" i="75"/>
  <c r="Z99" i="75"/>
  <c r="X99" i="75"/>
  <c r="V99" i="75"/>
  <c r="T99" i="75"/>
  <c r="P99" i="75"/>
  <c r="L99" i="75"/>
  <c r="H99" i="75"/>
  <c r="N99" i="75" s="1"/>
  <c r="D99" i="75"/>
  <c r="B99" i="75"/>
  <c r="Z98" i="75"/>
  <c r="X98" i="75"/>
  <c r="L98" i="75"/>
  <c r="N98" i="75" s="1"/>
  <c r="B98" i="75"/>
  <c r="Z97" i="75"/>
  <c r="X97" i="75"/>
  <c r="V97" i="75"/>
  <c r="N97" i="75"/>
  <c r="L97" i="75"/>
  <c r="B97" i="75"/>
  <c r="Z96" i="75"/>
  <c r="X96" i="75"/>
  <c r="V96" i="75"/>
  <c r="L96" i="75"/>
  <c r="N96" i="75" s="1"/>
  <c r="J96" i="75"/>
  <c r="B96" i="75"/>
  <c r="T95" i="75"/>
  <c r="P95" i="75"/>
  <c r="X95" i="75" s="1"/>
  <c r="H95" i="75"/>
  <c r="D95" i="75"/>
  <c r="B95" i="75"/>
  <c r="X94" i="75"/>
  <c r="Z94" i="75" s="1"/>
  <c r="V94" i="75"/>
  <c r="N94" i="75"/>
  <c r="L94" i="75"/>
  <c r="B94" i="75"/>
  <c r="Z93" i="75"/>
  <c r="T93" i="75"/>
  <c r="P93" i="75"/>
  <c r="X93" i="75" s="1"/>
  <c r="H93" i="75"/>
  <c r="D93" i="75"/>
  <c r="L93" i="75" s="1"/>
  <c r="N93" i="75" s="1"/>
  <c r="B93" i="75"/>
  <c r="Z92" i="75"/>
  <c r="X92" i="75"/>
  <c r="N92" i="75"/>
  <c r="L92" i="75"/>
  <c r="B92" i="75"/>
  <c r="Z91" i="75"/>
  <c r="X91" i="75"/>
  <c r="V91" i="75"/>
  <c r="T91" i="75"/>
  <c r="P91" i="75"/>
  <c r="L91" i="75"/>
  <c r="H91" i="75"/>
  <c r="N91" i="75" s="1"/>
  <c r="D91" i="75"/>
  <c r="B91" i="75"/>
  <c r="X90" i="75"/>
  <c r="Z90" i="75" s="1"/>
  <c r="L90" i="75"/>
  <c r="N90" i="75" s="1"/>
  <c r="B90" i="75"/>
  <c r="T89" i="75"/>
  <c r="P89" i="75"/>
  <c r="H89" i="75"/>
  <c r="N89" i="75" s="1"/>
  <c r="D89" i="75"/>
  <c r="L89" i="75" s="1"/>
  <c r="B89" i="75"/>
  <c r="Z88" i="75"/>
  <c r="X88" i="75"/>
  <c r="V88" i="75"/>
  <c r="N88" i="75"/>
  <c r="L88" i="75"/>
  <c r="B88" i="75"/>
  <c r="Z87" i="75"/>
  <c r="T87" i="75"/>
  <c r="P87" i="75"/>
  <c r="X87" i="75" s="1"/>
  <c r="N87" i="75"/>
  <c r="H87" i="75"/>
  <c r="D87" i="75"/>
  <c r="L87" i="75" s="1"/>
  <c r="B87" i="75"/>
  <c r="Z86" i="75"/>
  <c r="X86" i="75"/>
  <c r="N86" i="75"/>
  <c r="L86" i="75"/>
  <c r="B86" i="75"/>
  <c r="X85" i="75"/>
  <c r="Z85" i="75" s="1"/>
  <c r="N85" i="75"/>
  <c r="L85" i="75"/>
  <c r="J85" i="75"/>
  <c r="B85" i="75"/>
  <c r="T84" i="75"/>
  <c r="P84" i="75"/>
  <c r="X84" i="75" s="1"/>
  <c r="Z84" i="75" s="1"/>
  <c r="H84" i="75"/>
  <c r="D84" i="75"/>
  <c r="L84" i="75" s="1"/>
  <c r="B84" i="75"/>
  <c r="Z83" i="75"/>
  <c r="X83" i="75"/>
  <c r="L83" i="75"/>
  <c r="N83" i="75" s="1"/>
  <c r="B83" i="75"/>
  <c r="X82" i="75"/>
  <c r="Z82" i="75" s="1"/>
  <c r="T82" i="75"/>
  <c r="P82" i="75"/>
  <c r="H82" i="75"/>
  <c r="D82" i="75"/>
  <c r="L82" i="75" s="1"/>
  <c r="N82" i="75" s="1"/>
  <c r="B82" i="75"/>
  <c r="Z81" i="75"/>
  <c r="X81" i="75"/>
  <c r="N81" i="75"/>
  <c r="L81" i="75"/>
  <c r="B81" i="75"/>
  <c r="X80" i="75"/>
  <c r="Z80" i="75" s="1"/>
  <c r="V80" i="75"/>
  <c r="N80" i="75"/>
  <c r="L80" i="75"/>
  <c r="B80" i="75"/>
  <c r="T79" i="75"/>
  <c r="P79" i="75"/>
  <c r="X79" i="75" s="1"/>
  <c r="Z79" i="75" s="1"/>
  <c r="H79" i="75"/>
  <c r="D79" i="75"/>
  <c r="L79" i="75" s="1"/>
  <c r="N79" i="75" s="1"/>
  <c r="B79" i="75"/>
  <c r="Z78" i="75"/>
  <c r="X78" i="75"/>
  <c r="L78" i="75"/>
  <c r="N78" i="75" s="1"/>
  <c r="B78" i="75"/>
  <c r="X77" i="75"/>
  <c r="T77" i="75"/>
  <c r="Z77" i="75" s="1"/>
  <c r="P77" i="75"/>
  <c r="L77" i="75"/>
  <c r="N77" i="75" s="1"/>
  <c r="H77" i="75"/>
  <c r="D77" i="75"/>
  <c r="B77" i="75"/>
  <c r="Z76" i="75"/>
  <c r="X76" i="75"/>
  <c r="V76" i="75"/>
  <c r="N76" i="75"/>
  <c r="L76" i="75"/>
  <c r="B76" i="75"/>
  <c r="Z75" i="75"/>
  <c r="X75" i="75"/>
  <c r="N75" i="75"/>
  <c r="L75" i="75"/>
  <c r="B75" i="75"/>
  <c r="X74" i="75"/>
  <c r="Z74" i="75" s="1"/>
  <c r="L74" i="75"/>
  <c r="N74" i="75" s="1"/>
  <c r="B74" i="75"/>
  <c r="Z73" i="75"/>
  <c r="X73" i="75"/>
  <c r="V73" i="75"/>
  <c r="N73" i="75"/>
  <c r="L73" i="75"/>
  <c r="B73" i="75"/>
  <c r="Z72" i="75"/>
  <c r="X72" i="75"/>
  <c r="V72" i="75"/>
  <c r="N72" i="75"/>
  <c r="L72" i="75"/>
  <c r="B72" i="75"/>
  <c r="Z71" i="75"/>
  <c r="X71" i="75"/>
  <c r="N71" i="75"/>
  <c r="L71" i="75"/>
  <c r="B71" i="75"/>
  <c r="X70" i="75"/>
  <c r="Z70" i="75" s="1"/>
  <c r="L70" i="75"/>
  <c r="N70" i="75" s="1"/>
  <c r="B70" i="75"/>
  <c r="Z69" i="75"/>
  <c r="X69" i="75"/>
  <c r="V69" i="75"/>
  <c r="N69" i="75"/>
  <c r="L69" i="75"/>
  <c r="B69" i="75"/>
  <c r="Z68" i="75"/>
  <c r="X68" i="75"/>
  <c r="V68" i="75"/>
  <c r="L68" i="75"/>
  <c r="N68" i="75" s="1"/>
  <c r="J68" i="75"/>
  <c r="B68" i="75"/>
  <c r="Z67" i="75"/>
  <c r="X67" i="75"/>
  <c r="N67" i="75"/>
  <c r="L67" i="75"/>
  <c r="B67" i="75"/>
  <c r="X66" i="75"/>
  <c r="Z66" i="75" s="1"/>
  <c r="T66" i="75"/>
  <c r="P66" i="75"/>
  <c r="H66" i="75"/>
  <c r="D66" i="75"/>
  <c r="L66" i="75" s="1"/>
  <c r="N66" i="75" s="1"/>
  <c r="B66" i="75"/>
  <c r="Z65" i="75"/>
  <c r="X65" i="75"/>
  <c r="N65" i="75"/>
  <c r="L65" i="75"/>
  <c r="B65" i="75"/>
  <c r="X64" i="75"/>
  <c r="Z64" i="75" s="1"/>
  <c r="V64" i="75"/>
  <c r="N64" i="75"/>
  <c r="L64" i="75"/>
  <c r="B64" i="75"/>
  <c r="X63" i="75"/>
  <c r="Z63" i="75" s="1"/>
  <c r="N63" i="75"/>
  <c r="L63" i="75"/>
  <c r="J63" i="75"/>
  <c r="B63" i="75"/>
  <c r="Z62" i="75"/>
  <c r="X62" i="75"/>
  <c r="V62" i="75"/>
  <c r="N62" i="75"/>
  <c r="L62" i="75"/>
  <c r="B62" i="75"/>
  <c r="Z61" i="75"/>
  <c r="X61" i="75"/>
  <c r="L61" i="75"/>
  <c r="N61" i="75" s="1"/>
  <c r="B61" i="75"/>
  <c r="X60" i="75"/>
  <c r="Z60" i="75" s="1"/>
  <c r="V60" i="75"/>
  <c r="N60" i="75"/>
  <c r="L60" i="75"/>
  <c r="B60" i="75"/>
  <c r="X59" i="75"/>
  <c r="Z59" i="75" s="1"/>
  <c r="L59" i="75"/>
  <c r="N59" i="75" s="1"/>
  <c r="B59" i="75"/>
  <c r="X58" i="75"/>
  <c r="Z58" i="75" s="1"/>
  <c r="V58" i="75"/>
  <c r="N58" i="75"/>
  <c r="L58" i="75"/>
  <c r="B58" i="75"/>
  <c r="Z57" i="75"/>
  <c r="X57" i="75"/>
  <c r="L57" i="75"/>
  <c r="N57" i="75" s="1"/>
  <c r="B57" i="75"/>
  <c r="X56" i="75"/>
  <c r="T56" i="75"/>
  <c r="P56" i="75"/>
  <c r="H56" i="75"/>
  <c r="N56" i="75" s="1"/>
  <c r="D56" i="75"/>
  <c r="L56" i="75" s="1"/>
  <c r="B56" i="75"/>
  <c r="Z55" i="75"/>
  <c r="X55" i="75"/>
  <c r="V55" i="75"/>
  <c r="T55" i="75"/>
  <c r="P55" i="75"/>
  <c r="H55" i="75"/>
  <c r="D55" i="75"/>
  <c r="V53" i="75"/>
  <c r="Z51" i="75"/>
  <c r="X51" i="75"/>
  <c r="V51" i="75"/>
  <c r="N51" i="75"/>
  <c r="L51" i="75"/>
  <c r="B51" i="75"/>
  <c r="Z50" i="75"/>
  <c r="X50" i="75"/>
  <c r="N50" i="75"/>
  <c r="L50" i="75"/>
  <c r="B50" i="75"/>
  <c r="Z49" i="75"/>
  <c r="X49" i="75"/>
  <c r="N49" i="75"/>
  <c r="L49" i="75"/>
  <c r="J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J45" i="75"/>
  <c r="B45" i="75"/>
  <c r="Z44" i="75"/>
  <c r="X44" i="75"/>
  <c r="N44" i="75"/>
  <c r="L44" i="75"/>
  <c r="J44" i="75"/>
  <c r="B44" i="75"/>
  <c r="Z43" i="75"/>
  <c r="X43" i="75"/>
  <c r="V43" i="75"/>
  <c r="N43" i="75"/>
  <c r="L43" i="75"/>
  <c r="B43" i="75"/>
  <c r="Z42" i="75"/>
  <c r="X42" i="75"/>
  <c r="N42" i="75"/>
  <c r="L42" i="75"/>
  <c r="B42" i="75"/>
  <c r="Z41" i="75"/>
  <c r="X41" i="75"/>
  <c r="N41" i="75"/>
  <c r="L41" i="75"/>
  <c r="J41" i="75"/>
  <c r="B41" i="75"/>
  <c r="Z40" i="75"/>
  <c r="X40" i="75"/>
  <c r="N40" i="75"/>
  <c r="L40" i="75"/>
  <c r="B40" i="75"/>
  <c r="Z39" i="75"/>
  <c r="X39" i="75"/>
  <c r="V39" i="75"/>
  <c r="N39" i="75"/>
  <c r="L39" i="75"/>
  <c r="B39" i="75"/>
  <c r="Z38" i="75"/>
  <c r="X38" i="75"/>
  <c r="N38" i="75"/>
  <c r="L38" i="75"/>
  <c r="B38" i="75"/>
  <c r="Z37" i="75"/>
  <c r="X37" i="75"/>
  <c r="N37" i="75"/>
  <c r="L37" i="75"/>
  <c r="B37" i="75"/>
  <c r="Z36" i="75"/>
  <c r="X36" i="75"/>
  <c r="N36" i="75"/>
  <c r="L36" i="75"/>
  <c r="B36" i="75"/>
  <c r="Z35" i="75"/>
  <c r="X35" i="75"/>
  <c r="V35" i="75"/>
  <c r="T35" i="75"/>
  <c r="T53" i="75" s="1"/>
  <c r="T120" i="75" s="1"/>
  <c r="T124" i="75" s="1"/>
  <c r="P35" i="75"/>
  <c r="H35" i="75"/>
  <c r="D35" i="75"/>
  <c r="Z33" i="75"/>
  <c r="X33" i="75"/>
  <c r="P33" i="75"/>
  <c r="N33" i="75"/>
  <c r="D33" i="75"/>
  <c r="L33" i="75" s="1"/>
  <c r="B33" i="75"/>
  <c r="Z32" i="75"/>
  <c r="P32" i="75"/>
  <c r="X32" i="75" s="1"/>
  <c r="N32" i="75"/>
  <c r="D32" i="75"/>
  <c r="L32" i="75" s="1"/>
  <c r="B32" i="75"/>
  <c r="Z31" i="75"/>
  <c r="X31" i="75"/>
  <c r="P31" i="75"/>
  <c r="N31" i="75"/>
  <c r="D31" i="75"/>
  <c r="L31" i="75" s="1"/>
  <c r="B31" i="75"/>
  <c r="Z30" i="75"/>
  <c r="X30" i="75"/>
  <c r="P30" i="75"/>
  <c r="N30" i="75"/>
  <c r="D30" i="75"/>
  <c r="L30" i="75" s="1"/>
  <c r="B30" i="75"/>
  <c r="Z29" i="75"/>
  <c r="X29" i="75"/>
  <c r="P29" i="75"/>
  <c r="N29" i="75"/>
  <c r="D29" i="75"/>
  <c r="L29" i="75" s="1"/>
  <c r="B29" i="75"/>
  <c r="Z28" i="75"/>
  <c r="P28" i="75"/>
  <c r="X28" i="75" s="1"/>
  <c r="N28" i="75"/>
  <c r="L28" i="75"/>
  <c r="D28" i="75"/>
  <c r="B28" i="75"/>
  <c r="Z27" i="75"/>
  <c r="X27" i="75"/>
  <c r="P27" i="75"/>
  <c r="N27" i="75"/>
  <c r="L27" i="75"/>
  <c r="D27" i="75"/>
  <c r="B27" i="75"/>
  <c r="Z26" i="75"/>
  <c r="X26" i="75"/>
  <c r="P26" i="75"/>
  <c r="N26" i="75"/>
  <c r="L26" i="75"/>
  <c r="D26" i="75"/>
  <c r="B26" i="75"/>
  <c r="Z25" i="75"/>
  <c r="X25" i="75"/>
  <c r="P25" i="75"/>
  <c r="N25" i="75"/>
  <c r="D25" i="75"/>
  <c r="L25" i="75" s="1"/>
  <c r="B25" i="75"/>
  <c r="Z24" i="75"/>
  <c r="P24" i="75"/>
  <c r="X24" i="75" s="1"/>
  <c r="N24" i="75"/>
  <c r="L24" i="75"/>
  <c r="D24" i="75"/>
  <c r="B24" i="75"/>
  <c r="Z23" i="75"/>
  <c r="P23" i="75"/>
  <c r="X23" i="75" s="1"/>
  <c r="N23" i="75"/>
  <c r="L23" i="75"/>
  <c r="D23" i="75"/>
  <c r="B23" i="75"/>
  <c r="Z22" i="75"/>
  <c r="P22" i="75"/>
  <c r="X22" i="75" s="1"/>
  <c r="N22" i="75"/>
  <c r="L22" i="75"/>
  <c r="D22" i="75"/>
  <c r="B22" i="75"/>
  <c r="Z21" i="75"/>
  <c r="P21" i="75"/>
  <c r="X21" i="75" s="1"/>
  <c r="N21" i="75"/>
  <c r="D21" i="75"/>
  <c r="L21" i="75" s="1"/>
  <c r="B21" i="75"/>
  <c r="Z20" i="75"/>
  <c r="P20" i="75"/>
  <c r="X20" i="75" s="1"/>
  <c r="N20" i="75"/>
  <c r="D20" i="75"/>
  <c r="L20" i="75" s="1"/>
  <c r="B20" i="75"/>
  <c r="Z19" i="75"/>
  <c r="X19" i="75"/>
  <c r="P19" i="75"/>
  <c r="N19" i="75"/>
  <c r="D19" i="75"/>
  <c r="L19" i="75" s="1"/>
  <c r="B19" i="75"/>
  <c r="Z18" i="75"/>
  <c r="X18" i="75"/>
  <c r="P18" i="75"/>
  <c r="N18" i="75"/>
  <c r="L18" i="75"/>
  <c r="D18" i="75"/>
  <c r="B18" i="75"/>
  <c r="Z17" i="75"/>
  <c r="X17" i="75"/>
  <c r="P17" i="75"/>
  <c r="N17" i="75"/>
  <c r="D17" i="75"/>
  <c r="L17" i="75" s="1"/>
  <c r="B17" i="75"/>
  <c r="Z16" i="75"/>
  <c r="P16" i="75"/>
  <c r="X16" i="75" s="1"/>
  <c r="N16" i="75"/>
  <c r="L16" i="75"/>
  <c r="D16" i="75"/>
  <c r="B16" i="75"/>
  <c r="Z15" i="75"/>
  <c r="X15" i="75"/>
  <c r="P15" i="75"/>
  <c r="N15" i="75"/>
  <c r="L15" i="75"/>
  <c r="D15" i="75"/>
  <c r="B15" i="75"/>
  <c r="Z14" i="75"/>
  <c r="X14" i="75"/>
  <c r="P14" i="75"/>
  <c r="N14" i="75"/>
  <c r="L14" i="75"/>
  <c r="D14" i="75"/>
  <c r="B14" i="75"/>
  <c r="X13" i="75"/>
  <c r="Z13" i="75" s="1"/>
  <c r="P13" i="75"/>
  <c r="D13" i="75"/>
  <c r="B13" i="75"/>
  <c r="T12" i="75"/>
  <c r="V98" i="75" s="1"/>
  <c r="H12" i="75"/>
  <c r="J102" i="75" s="1"/>
  <c r="D6" i="75"/>
  <c r="D4" i="75"/>
  <c r="Z95" i="74"/>
  <c r="X95" i="74"/>
  <c r="N95" i="74"/>
  <c r="L95" i="74"/>
  <c r="J95" i="74"/>
  <c r="Z91" i="74"/>
  <c r="T91" i="74"/>
  <c r="P91" i="74"/>
  <c r="X91" i="74" s="1"/>
  <c r="N91" i="74"/>
  <c r="H91" i="74"/>
  <c r="D91" i="74"/>
  <c r="L91" i="74" s="1"/>
  <c r="Z89" i="74"/>
  <c r="X89" i="74"/>
  <c r="L89" i="74"/>
  <c r="N89" i="74" s="1"/>
  <c r="B89" i="74"/>
  <c r="X88" i="74"/>
  <c r="T88" i="74"/>
  <c r="P88" i="74"/>
  <c r="N88" i="74"/>
  <c r="L88" i="74"/>
  <c r="J88" i="74"/>
  <c r="H88" i="74"/>
  <c r="D88" i="74"/>
  <c r="B88" i="74"/>
  <c r="Z87" i="74"/>
  <c r="X87" i="74"/>
  <c r="N87" i="74"/>
  <c r="L87" i="74"/>
  <c r="J87" i="74"/>
  <c r="B87" i="74"/>
  <c r="T86" i="74"/>
  <c r="Z86" i="74" s="1"/>
  <c r="P86" i="74"/>
  <c r="J86" i="74"/>
  <c r="H86" i="74"/>
  <c r="N86" i="74" s="1"/>
  <c r="D86" i="74"/>
  <c r="L86" i="74" s="1"/>
  <c r="B86" i="74"/>
  <c r="Z85" i="74"/>
  <c r="X85" i="74"/>
  <c r="N85" i="74"/>
  <c r="L85" i="74"/>
  <c r="B85" i="74"/>
  <c r="Z84" i="74"/>
  <c r="T84" i="74"/>
  <c r="P84" i="74"/>
  <c r="X84" i="74" s="1"/>
  <c r="H84" i="74"/>
  <c r="N84" i="74" s="1"/>
  <c r="D84" i="74"/>
  <c r="L84" i="74" s="1"/>
  <c r="B84" i="74"/>
  <c r="Z83" i="74"/>
  <c r="X83" i="74"/>
  <c r="N83" i="74"/>
  <c r="L83" i="74"/>
  <c r="J83" i="74"/>
  <c r="B83" i="74"/>
  <c r="X82" i="74"/>
  <c r="Z82" i="74" s="1"/>
  <c r="T82" i="74"/>
  <c r="P82" i="74"/>
  <c r="H82" i="74"/>
  <c r="D82" i="74"/>
  <c r="B82" i="74"/>
  <c r="Z81" i="74"/>
  <c r="X81" i="74"/>
  <c r="N81" i="74"/>
  <c r="L81" i="74"/>
  <c r="J81" i="74"/>
  <c r="B81" i="74"/>
  <c r="Z80" i="74"/>
  <c r="X80" i="74"/>
  <c r="R80" i="74"/>
  <c r="N80" i="74"/>
  <c r="L80" i="74"/>
  <c r="B80" i="74"/>
  <c r="Z79" i="74"/>
  <c r="T79" i="74"/>
  <c r="P79" i="74"/>
  <c r="X79" i="74" s="1"/>
  <c r="L79" i="74"/>
  <c r="N79" i="74" s="1"/>
  <c r="H79" i="74"/>
  <c r="D79" i="74"/>
  <c r="B79" i="74"/>
  <c r="X78" i="74"/>
  <c r="Z78" i="74" s="1"/>
  <c r="N78" i="74"/>
  <c r="L78" i="74"/>
  <c r="J78" i="74"/>
  <c r="B78" i="74"/>
  <c r="T77" i="74"/>
  <c r="P77" i="74"/>
  <c r="X77" i="74" s="1"/>
  <c r="Z77" i="74" s="1"/>
  <c r="H77" i="74"/>
  <c r="D77" i="74"/>
  <c r="B77" i="74"/>
  <c r="Z76" i="74"/>
  <c r="X76" i="74"/>
  <c r="N76" i="74"/>
  <c r="L76" i="74"/>
  <c r="J76" i="74"/>
  <c r="B76" i="74"/>
  <c r="Z75" i="74"/>
  <c r="X75" i="74"/>
  <c r="N75" i="74"/>
  <c r="L75" i="74"/>
  <c r="J75" i="74"/>
  <c r="B75" i="74"/>
  <c r="X74" i="74"/>
  <c r="Z74" i="74" s="1"/>
  <c r="L74" i="74"/>
  <c r="N74" i="74" s="1"/>
  <c r="B74" i="74"/>
  <c r="Z73" i="74"/>
  <c r="X73" i="74"/>
  <c r="N73" i="74"/>
  <c r="L73" i="74"/>
  <c r="B73" i="74"/>
  <c r="Z72" i="74"/>
  <c r="X72" i="74"/>
  <c r="N72" i="74"/>
  <c r="L72" i="74"/>
  <c r="J72" i="74"/>
  <c r="B72" i="74"/>
  <c r="Z71" i="74"/>
  <c r="X71" i="74"/>
  <c r="N71" i="74"/>
  <c r="L71" i="74"/>
  <c r="J71" i="74"/>
  <c r="B71" i="74"/>
  <c r="Z70" i="74"/>
  <c r="X70" i="74"/>
  <c r="V70" i="74"/>
  <c r="N70" i="74"/>
  <c r="L70" i="74"/>
  <c r="B70" i="74"/>
  <c r="Z69" i="74"/>
  <c r="X69" i="74"/>
  <c r="R69" i="74"/>
  <c r="N69" i="74"/>
  <c r="L69" i="74"/>
  <c r="B69" i="74"/>
  <c r="Z68" i="74"/>
  <c r="X68" i="74"/>
  <c r="N68" i="74"/>
  <c r="L68" i="74"/>
  <c r="J68" i="74"/>
  <c r="B68" i="74"/>
  <c r="Z67" i="74"/>
  <c r="X67" i="74"/>
  <c r="N67" i="74"/>
  <c r="L67" i="74"/>
  <c r="J67" i="74"/>
  <c r="B67" i="74"/>
  <c r="Z66" i="74"/>
  <c r="X66" i="74"/>
  <c r="V66" i="74"/>
  <c r="T66" i="74"/>
  <c r="P66" i="74"/>
  <c r="H66" i="74"/>
  <c r="D66" i="74"/>
  <c r="B66" i="74"/>
  <c r="Z65" i="74"/>
  <c r="X65" i="74"/>
  <c r="N65" i="74"/>
  <c r="L65" i="74"/>
  <c r="J65" i="74"/>
  <c r="B65" i="74"/>
  <c r="Z64" i="74"/>
  <c r="X64" i="74"/>
  <c r="V64" i="74"/>
  <c r="R64" i="74"/>
  <c r="N64" i="74"/>
  <c r="L64" i="74"/>
  <c r="B64" i="74"/>
  <c r="Z63" i="74"/>
  <c r="X63" i="74"/>
  <c r="V63" i="74"/>
  <c r="N63" i="74"/>
  <c r="L63" i="74"/>
  <c r="J63" i="74"/>
  <c r="B63" i="74"/>
  <c r="X62" i="74"/>
  <c r="Z62" i="74" s="1"/>
  <c r="L62" i="74"/>
  <c r="N62" i="74" s="1"/>
  <c r="B62" i="74"/>
  <c r="X61" i="74"/>
  <c r="Z61" i="74" s="1"/>
  <c r="N61" i="74"/>
  <c r="L61" i="74"/>
  <c r="J61" i="74"/>
  <c r="B61" i="74"/>
  <c r="Z60" i="74"/>
  <c r="X60" i="74"/>
  <c r="V60" i="74"/>
  <c r="N60" i="74"/>
  <c r="L60" i="74"/>
  <c r="B60" i="74"/>
  <c r="Z59" i="74"/>
  <c r="X59" i="74"/>
  <c r="L59" i="74"/>
  <c r="N59" i="74" s="1"/>
  <c r="J59" i="74"/>
  <c r="B59" i="74"/>
  <c r="X58" i="74"/>
  <c r="Z58" i="74" s="1"/>
  <c r="L58" i="74"/>
  <c r="N58" i="74" s="1"/>
  <c r="B58" i="74"/>
  <c r="X57" i="74"/>
  <c r="Z57" i="74" s="1"/>
  <c r="T57" i="74"/>
  <c r="P57" i="74"/>
  <c r="N57" i="74"/>
  <c r="J57" i="74"/>
  <c r="H57" i="74"/>
  <c r="D57" i="74"/>
  <c r="L57" i="74" s="1"/>
  <c r="B57" i="74"/>
  <c r="T56" i="74"/>
  <c r="P56" i="74"/>
  <c r="X56" i="74" s="1"/>
  <c r="Z56" i="74" s="1"/>
  <c r="H56" i="74"/>
  <c r="D56" i="74"/>
  <c r="L56" i="74" s="1"/>
  <c r="Z52" i="74"/>
  <c r="X52" i="74"/>
  <c r="N52" i="74"/>
  <c r="L52" i="74"/>
  <c r="B52" i="74"/>
  <c r="Z51" i="74"/>
  <c r="X51" i="74"/>
  <c r="N51" i="74"/>
  <c r="L51" i="74"/>
  <c r="B51" i="74"/>
  <c r="Z50" i="74"/>
  <c r="X50" i="74"/>
  <c r="N50" i="74"/>
  <c r="L50" i="74"/>
  <c r="J50" i="74"/>
  <c r="B50" i="74"/>
  <c r="Z49" i="74"/>
  <c r="X49" i="74"/>
  <c r="V49" i="74"/>
  <c r="N49" i="74"/>
  <c r="L49" i="74"/>
  <c r="B49" i="74"/>
  <c r="Z48" i="74"/>
  <c r="X48" i="74"/>
  <c r="N48" i="74"/>
  <c r="L48" i="74"/>
  <c r="B48" i="74"/>
  <c r="Z47" i="74"/>
  <c r="X47" i="74"/>
  <c r="V47" i="74"/>
  <c r="N47" i="74"/>
  <c r="L47" i="74"/>
  <c r="B47" i="74"/>
  <c r="Z46" i="74"/>
  <c r="X46" i="74"/>
  <c r="N46" i="74"/>
  <c r="L46" i="74"/>
  <c r="J46" i="74"/>
  <c r="B46" i="74"/>
  <c r="Z45" i="74"/>
  <c r="X45" i="74"/>
  <c r="V45" i="74"/>
  <c r="N45" i="74"/>
  <c r="L45" i="74"/>
  <c r="B45" i="74"/>
  <c r="Z44" i="74"/>
  <c r="X44" i="74"/>
  <c r="N44" i="74"/>
  <c r="L44" i="74"/>
  <c r="B44" i="74"/>
  <c r="Z43" i="74"/>
  <c r="X43" i="74"/>
  <c r="N43" i="74"/>
  <c r="L43" i="74"/>
  <c r="B43" i="74"/>
  <c r="Z42" i="74"/>
  <c r="X42" i="74"/>
  <c r="N42" i="74"/>
  <c r="L42" i="74"/>
  <c r="J42" i="74"/>
  <c r="B42" i="74"/>
  <c r="Z41" i="74"/>
  <c r="X41" i="74"/>
  <c r="V41" i="74"/>
  <c r="N41" i="74"/>
  <c r="L41" i="74"/>
  <c r="B41" i="74"/>
  <c r="Z40" i="74"/>
  <c r="X40" i="74"/>
  <c r="N40" i="74"/>
  <c r="L40" i="74"/>
  <c r="B40" i="74"/>
  <c r="Z39" i="74"/>
  <c r="X39" i="74"/>
  <c r="V39" i="74"/>
  <c r="N39" i="74"/>
  <c r="L39" i="74"/>
  <c r="B39" i="74"/>
  <c r="Z38" i="74"/>
  <c r="X38" i="74"/>
  <c r="N38" i="74"/>
  <c r="L38" i="74"/>
  <c r="J38" i="74"/>
  <c r="B38" i="74"/>
  <c r="Z37" i="74"/>
  <c r="X37" i="74"/>
  <c r="N37" i="74"/>
  <c r="L37" i="74"/>
  <c r="B37" i="74"/>
  <c r="T36" i="74"/>
  <c r="P36" i="74"/>
  <c r="X36" i="74" s="1"/>
  <c r="Z36" i="74" s="1"/>
  <c r="L36" i="74"/>
  <c r="H36" i="74"/>
  <c r="D36" i="74"/>
  <c r="Z34" i="74"/>
  <c r="X34" i="74"/>
  <c r="P34" i="74"/>
  <c r="N34" i="74"/>
  <c r="D34" i="74"/>
  <c r="L34" i="74" s="1"/>
  <c r="B34" i="74"/>
  <c r="Z33" i="74"/>
  <c r="X33" i="74"/>
  <c r="P33" i="74"/>
  <c r="N33" i="74"/>
  <c r="D33" i="74"/>
  <c r="L33" i="74" s="1"/>
  <c r="B33" i="74"/>
  <c r="Z32" i="74"/>
  <c r="X32" i="74"/>
  <c r="P32" i="74"/>
  <c r="N32" i="74"/>
  <c r="D32" i="74"/>
  <c r="L32" i="74" s="1"/>
  <c r="B32" i="74"/>
  <c r="Z31" i="74"/>
  <c r="X31" i="74"/>
  <c r="P31" i="74"/>
  <c r="N31" i="74"/>
  <c r="L31" i="74"/>
  <c r="D31" i="74"/>
  <c r="B31" i="74"/>
  <c r="Z30" i="74"/>
  <c r="X30" i="74"/>
  <c r="P30" i="74"/>
  <c r="N30" i="74"/>
  <c r="L30" i="74"/>
  <c r="D30" i="74"/>
  <c r="B30" i="74"/>
  <c r="Z29" i="74"/>
  <c r="X29" i="74"/>
  <c r="P29" i="74"/>
  <c r="N29" i="74"/>
  <c r="L29" i="74"/>
  <c r="D29" i="74"/>
  <c r="B29" i="74"/>
  <c r="Z28" i="74"/>
  <c r="X28" i="74"/>
  <c r="P28" i="74"/>
  <c r="N28" i="74"/>
  <c r="L28" i="74"/>
  <c r="D28" i="74"/>
  <c r="B28" i="74"/>
  <c r="Z27" i="74"/>
  <c r="P27" i="74"/>
  <c r="X27" i="74" s="1"/>
  <c r="N27" i="74"/>
  <c r="L27" i="74"/>
  <c r="D27" i="74"/>
  <c r="B27" i="74"/>
  <c r="Z26" i="74"/>
  <c r="P26" i="74"/>
  <c r="X26" i="74" s="1"/>
  <c r="N26" i="74"/>
  <c r="L26" i="74"/>
  <c r="D26" i="74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D23" i="74"/>
  <c r="L23" i="74" s="1"/>
  <c r="B23" i="74"/>
  <c r="Z22" i="74"/>
  <c r="X22" i="74"/>
  <c r="P22" i="74"/>
  <c r="N22" i="74"/>
  <c r="D22" i="74"/>
  <c r="L22" i="74" s="1"/>
  <c r="B22" i="74"/>
  <c r="Z21" i="74"/>
  <c r="X21" i="74"/>
  <c r="P21" i="74"/>
  <c r="N21" i="74"/>
  <c r="L21" i="74"/>
  <c r="D21" i="74"/>
  <c r="B21" i="74"/>
  <c r="Z20" i="74"/>
  <c r="X20" i="74"/>
  <c r="P20" i="74"/>
  <c r="N20" i="74"/>
  <c r="D20" i="74"/>
  <c r="L20" i="74" s="1"/>
  <c r="B20" i="74"/>
  <c r="Z19" i="74"/>
  <c r="P19" i="74"/>
  <c r="P12" i="74" s="1"/>
  <c r="N19" i="74"/>
  <c r="L19" i="74"/>
  <c r="D19" i="74"/>
  <c r="B19" i="74"/>
  <c r="Z18" i="74"/>
  <c r="X18" i="74"/>
  <c r="P18" i="74"/>
  <c r="N18" i="74"/>
  <c r="L18" i="74"/>
  <c r="D18" i="74"/>
  <c r="B18" i="74"/>
  <c r="Z17" i="74"/>
  <c r="X17" i="74"/>
  <c r="P17" i="74"/>
  <c r="N17" i="74"/>
  <c r="L17" i="74"/>
  <c r="D17" i="74"/>
  <c r="B17" i="74"/>
  <c r="Z16" i="74"/>
  <c r="X16" i="74"/>
  <c r="P16" i="74"/>
  <c r="N16" i="74"/>
  <c r="D16" i="74"/>
  <c r="L16" i="74" s="1"/>
  <c r="B16" i="74"/>
  <c r="Z15" i="74"/>
  <c r="P15" i="74"/>
  <c r="X15" i="74" s="1"/>
  <c r="N15" i="74"/>
  <c r="L15" i="74"/>
  <c r="D15" i="74"/>
  <c r="B15" i="74"/>
  <c r="Z14" i="74"/>
  <c r="P14" i="74"/>
  <c r="X14" i="74" s="1"/>
  <c r="N14" i="74"/>
  <c r="D14" i="74"/>
  <c r="L14" i="74" s="1"/>
  <c r="B14" i="74"/>
  <c r="P13" i="74"/>
  <c r="X13" i="74" s="1"/>
  <c r="Z13" i="74" s="1"/>
  <c r="L13" i="74"/>
  <c r="N13" i="74" s="1"/>
  <c r="D13" i="74"/>
  <c r="B13" i="74"/>
  <c r="T12" i="74"/>
  <c r="V77" i="74" s="1"/>
  <c r="H12" i="74"/>
  <c r="J89" i="74" s="1"/>
  <c r="D6" i="74"/>
  <c r="D4" i="74"/>
  <c r="Z86" i="73"/>
  <c r="X86" i="73"/>
  <c r="L86" i="73"/>
  <c r="N86" i="73" s="1"/>
  <c r="T82" i="73"/>
  <c r="P82" i="73"/>
  <c r="N82" i="73"/>
  <c r="L82" i="73"/>
  <c r="J82" i="73"/>
  <c r="H82" i="73"/>
  <c r="D82" i="73"/>
  <c r="X80" i="73"/>
  <c r="Z80" i="73" s="1"/>
  <c r="N80" i="73"/>
  <c r="L80" i="73"/>
  <c r="B80" i="73"/>
  <c r="Z79" i="73"/>
  <c r="T79" i="73"/>
  <c r="P79" i="73"/>
  <c r="X79" i="73" s="1"/>
  <c r="N79" i="73"/>
  <c r="H79" i="73"/>
  <c r="D79" i="73"/>
  <c r="L79" i="73" s="1"/>
  <c r="B79" i="73"/>
  <c r="X78" i="73"/>
  <c r="Z78" i="73" s="1"/>
  <c r="L78" i="73"/>
  <c r="N78" i="73" s="1"/>
  <c r="B78" i="73"/>
  <c r="X77" i="73"/>
  <c r="Z77" i="73" s="1"/>
  <c r="T77" i="73"/>
  <c r="P77" i="73"/>
  <c r="H77" i="73"/>
  <c r="D77" i="73"/>
  <c r="B77" i="73"/>
  <c r="X76" i="73"/>
  <c r="Z76" i="73" s="1"/>
  <c r="L76" i="73"/>
  <c r="N76" i="73" s="1"/>
  <c r="B76" i="73"/>
  <c r="Z75" i="73"/>
  <c r="X75" i="73"/>
  <c r="N75" i="73"/>
  <c r="L75" i="73"/>
  <c r="B75" i="73"/>
  <c r="Z74" i="73"/>
  <c r="X74" i="73"/>
  <c r="N74" i="73"/>
  <c r="L74" i="73"/>
  <c r="B74" i="73"/>
  <c r="Z73" i="73"/>
  <c r="X73" i="73"/>
  <c r="N73" i="73"/>
  <c r="L73" i="73"/>
  <c r="J73" i="73"/>
  <c r="B73" i="73"/>
  <c r="Z72" i="73"/>
  <c r="X72" i="73"/>
  <c r="N72" i="73"/>
  <c r="L72" i="73"/>
  <c r="B72" i="73"/>
  <c r="T71" i="73"/>
  <c r="P71" i="73"/>
  <c r="X71" i="73" s="1"/>
  <c r="Z71" i="73" s="1"/>
  <c r="J71" i="73"/>
  <c r="H71" i="73"/>
  <c r="D71" i="73"/>
  <c r="L71" i="73" s="1"/>
  <c r="N71" i="73" s="1"/>
  <c r="B71" i="73"/>
  <c r="Z70" i="73"/>
  <c r="X70" i="73"/>
  <c r="N70" i="73"/>
  <c r="L70" i="73"/>
  <c r="B70" i="73"/>
  <c r="Z69" i="73"/>
  <c r="V69" i="73"/>
  <c r="T69" i="73"/>
  <c r="P69" i="73"/>
  <c r="X69" i="73" s="1"/>
  <c r="L69" i="73"/>
  <c r="H69" i="73"/>
  <c r="N69" i="73" s="1"/>
  <c r="D69" i="73"/>
  <c r="B69" i="73"/>
  <c r="X68" i="73"/>
  <c r="Z68" i="73" s="1"/>
  <c r="N68" i="73"/>
  <c r="L68" i="73"/>
  <c r="B68" i="73"/>
  <c r="Z67" i="73"/>
  <c r="X67" i="73"/>
  <c r="V67" i="73"/>
  <c r="N67" i="73"/>
  <c r="L67" i="73"/>
  <c r="B67" i="73"/>
  <c r="Z66" i="73"/>
  <c r="X66" i="73"/>
  <c r="N66" i="73"/>
  <c r="L66" i="73"/>
  <c r="B66" i="73"/>
  <c r="X65" i="73"/>
  <c r="T65" i="73"/>
  <c r="Z65" i="73" s="1"/>
  <c r="P65" i="73"/>
  <c r="J65" i="73"/>
  <c r="H65" i="73"/>
  <c r="D65" i="73"/>
  <c r="L65" i="73" s="1"/>
  <c r="N65" i="73" s="1"/>
  <c r="B65" i="73"/>
  <c r="Z64" i="73"/>
  <c r="X64" i="73"/>
  <c r="L64" i="73"/>
  <c r="N64" i="73" s="1"/>
  <c r="B64" i="73"/>
  <c r="T63" i="73"/>
  <c r="P63" i="73"/>
  <c r="X63" i="73" s="1"/>
  <c r="Z63" i="73" s="1"/>
  <c r="J63" i="73"/>
  <c r="H63" i="73"/>
  <c r="D63" i="73"/>
  <c r="L63" i="73" s="1"/>
  <c r="N63" i="73" s="1"/>
  <c r="B63" i="73"/>
  <c r="Z62" i="73"/>
  <c r="X62" i="73"/>
  <c r="N62" i="73"/>
  <c r="L62" i="73"/>
  <c r="B62" i="73"/>
  <c r="Z61" i="73"/>
  <c r="V61" i="73"/>
  <c r="T61" i="73"/>
  <c r="P61" i="73"/>
  <c r="X61" i="73" s="1"/>
  <c r="L61" i="73"/>
  <c r="H61" i="73"/>
  <c r="N61" i="73" s="1"/>
  <c r="D61" i="73"/>
  <c r="B61" i="73"/>
  <c r="Z60" i="73"/>
  <c r="X60" i="73"/>
  <c r="N60" i="73"/>
  <c r="L60" i="73"/>
  <c r="B60" i="73"/>
  <c r="Z59" i="73"/>
  <c r="V59" i="73"/>
  <c r="T59" i="73"/>
  <c r="P59" i="73"/>
  <c r="X59" i="73" s="1"/>
  <c r="L59" i="73"/>
  <c r="H59" i="73"/>
  <c r="N59" i="73" s="1"/>
  <c r="D59" i="73"/>
  <c r="B59" i="73"/>
  <c r="Z58" i="73"/>
  <c r="X58" i="73"/>
  <c r="N58" i="73"/>
  <c r="L58" i="73"/>
  <c r="B58" i="73"/>
  <c r="Z57" i="73"/>
  <c r="V57" i="73"/>
  <c r="T57" i="73"/>
  <c r="P57" i="73"/>
  <c r="X57" i="73" s="1"/>
  <c r="N57" i="73"/>
  <c r="H57" i="73"/>
  <c r="D57" i="73"/>
  <c r="L57" i="73" s="1"/>
  <c r="B57" i="73"/>
  <c r="X56" i="73"/>
  <c r="Z56" i="73" s="1"/>
  <c r="L56" i="73"/>
  <c r="N56" i="73" s="1"/>
  <c r="B56" i="73"/>
  <c r="X55" i="73"/>
  <c r="T55" i="73"/>
  <c r="Z55" i="73" s="1"/>
  <c r="P55" i="73"/>
  <c r="N55" i="73"/>
  <c r="J55" i="73"/>
  <c r="H55" i="73"/>
  <c r="D55" i="73"/>
  <c r="L55" i="73" s="1"/>
  <c r="B55" i="73"/>
  <c r="X54" i="73"/>
  <c r="Z54" i="73" s="1"/>
  <c r="L54" i="73"/>
  <c r="N54" i="73" s="1"/>
  <c r="B54" i="73"/>
  <c r="X53" i="73"/>
  <c r="T53" i="73"/>
  <c r="Z53" i="73" s="1"/>
  <c r="P53" i="73"/>
  <c r="J53" i="73"/>
  <c r="H53" i="73"/>
  <c r="D53" i="73"/>
  <c r="L53" i="73" s="1"/>
  <c r="N53" i="73" s="1"/>
  <c r="B53" i="73"/>
  <c r="Z52" i="73"/>
  <c r="X52" i="73"/>
  <c r="N52" i="73"/>
  <c r="L52" i="73"/>
  <c r="B52" i="73"/>
  <c r="Z51" i="73"/>
  <c r="T51" i="73"/>
  <c r="P51" i="73"/>
  <c r="X51" i="73" s="1"/>
  <c r="N51" i="73"/>
  <c r="J51" i="73"/>
  <c r="H51" i="73"/>
  <c r="D51" i="73"/>
  <c r="L51" i="73" s="1"/>
  <c r="B51" i="73"/>
  <c r="Z50" i="73"/>
  <c r="X50" i="73"/>
  <c r="N50" i="73"/>
  <c r="L50" i="73"/>
  <c r="B50" i="73"/>
  <c r="Z49" i="73"/>
  <c r="V49" i="73"/>
  <c r="T49" i="73"/>
  <c r="P49" i="73"/>
  <c r="X49" i="73" s="1"/>
  <c r="L49" i="73"/>
  <c r="H49" i="73"/>
  <c r="N49" i="73" s="1"/>
  <c r="D49" i="73"/>
  <c r="B49" i="73"/>
  <c r="Z48" i="73"/>
  <c r="X48" i="73"/>
  <c r="N48" i="73"/>
  <c r="L48" i="73"/>
  <c r="B48" i="73"/>
  <c r="Z47" i="73"/>
  <c r="X47" i="73"/>
  <c r="V47" i="73"/>
  <c r="N47" i="73"/>
  <c r="L47" i="73"/>
  <c r="B47" i="73"/>
  <c r="X46" i="73"/>
  <c r="Z46" i="73" s="1"/>
  <c r="L46" i="73"/>
  <c r="N46" i="73" s="1"/>
  <c r="B46" i="73"/>
  <c r="X45" i="73"/>
  <c r="Z45" i="73" s="1"/>
  <c r="N45" i="73"/>
  <c r="L45" i="73"/>
  <c r="J45" i="73"/>
  <c r="B45" i="73"/>
  <c r="Z44" i="73"/>
  <c r="X44" i="73"/>
  <c r="N44" i="73"/>
  <c r="L44" i="73"/>
  <c r="B44" i="73"/>
  <c r="Z43" i="73"/>
  <c r="X43" i="73"/>
  <c r="V43" i="73"/>
  <c r="N43" i="73"/>
  <c r="L43" i="73"/>
  <c r="B43" i="73"/>
  <c r="X42" i="73"/>
  <c r="Z42" i="73" s="1"/>
  <c r="L42" i="73"/>
  <c r="N42" i="73" s="1"/>
  <c r="B42" i="73"/>
  <c r="Z41" i="73"/>
  <c r="X41" i="73"/>
  <c r="N41" i="73"/>
  <c r="L41" i="73"/>
  <c r="J41" i="73"/>
  <c r="B41" i="73"/>
  <c r="Z40" i="73"/>
  <c r="X40" i="73"/>
  <c r="N40" i="73"/>
  <c r="L40" i="73"/>
  <c r="B40" i="73"/>
  <c r="Z39" i="73"/>
  <c r="X39" i="73"/>
  <c r="V39" i="73"/>
  <c r="N39" i="73"/>
  <c r="L39" i="73"/>
  <c r="B39" i="73"/>
  <c r="T38" i="73"/>
  <c r="P38" i="73"/>
  <c r="L38" i="73"/>
  <c r="N38" i="73" s="1"/>
  <c r="H38" i="73"/>
  <c r="D38" i="73"/>
  <c r="B38" i="73"/>
  <c r="Z37" i="73"/>
  <c r="X37" i="73"/>
  <c r="V37" i="73"/>
  <c r="N37" i="73"/>
  <c r="L37" i="73"/>
  <c r="J37" i="73"/>
  <c r="B37" i="73"/>
  <c r="Z36" i="73"/>
  <c r="X36" i="73"/>
  <c r="L36" i="73"/>
  <c r="N36" i="73" s="1"/>
  <c r="B36" i="73"/>
  <c r="Z35" i="73"/>
  <c r="X35" i="73"/>
  <c r="L35" i="73"/>
  <c r="N35" i="73" s="1"/>
  <c r="B35" i="73"/>
  <c r="Z34" i="73"/>
  <c r="X34" i="73"/>
  <c r="N34" i="73"/>
  <c r="L34" i="73"/>
  <c r="J34" i="73"/>
  <c r="B34" i="73"/>
  <c r="Z33" i="73"/>
  <c r="X33" i="73"/>
  <c r="V33" i="73"/>
  <c r="N33" i="73"/>
  <c r="L33" i="73"/>
  <c r="J33" i="73"/>
  <c r="B33" i="73"/>
  <c r="Z32" i="73"/>
  <c r="X32" i="73"/>
  <c r="L32" i="73"/>
  <c r="N32" i="73" s="1"/>
  <c r="B32" i="73"/>
  <c r="Z31" i="73"/>
  <c r="X31" i="73"/>
  <c r="L31" i="73"/>
  <c r="N31" i="73" s="1"/>
  <c r="B31" i="73"/>
  <c r="X30" i="73"/>
  <c r="Z30" i="73" s="1"/>
  <c r="L30" i="73"/>
  <c r="N30" i="73" s="1"/>
  <c r="J30" i="73"/>
  <c r="B30" i="73"/>
  <c r="Z29" i="73"/>
  <c r="X29" i="73"/>
  <c r="V29" i="73"/>
  <c r="N29" i="73"/>
  <c r="L29" i="73"/>
  <c r="J29" i="73"/>
  <c r="B29" i="73"/>
  <c r="T28" i="73"/>
  <c r="P28" i="73"/>
  <c r="X28" i="73" s="1"/>
  <c r="Z28" i="73" s="1"/>
  <c r="H28" i="73"/>
  <c r="D28" i="73"/>
  <c r="B28" i="73"/>
  <c r="X27" i="73"/>
  <c r="T27" i="73"/>
  <c r="Z27" i="73" s="1"/>
  <c r="P27" i="73"/>
  <c r="N27" i="73"/>
  <c r="J27" i="73"/>
  <c r="H27" i="73"/>
  <c r="D27" i="73"/>
  <c r="L27" i="73" s="1"/>
  <c r="Z23" i="73"/>
  <c r="X23" i="73"/>
  <c r="N23" i="73"/>
  <c r="L23" i="73"/>
  <c r="J23" i="73"/>
  <c r="B23" i="73"/>
  <c r="Z22" i="73"/>
  <c r="X22" i="73"/>
  <c r="N22" i="73"/>
  <c r="L22" i="73"/>
  <c r="B22" i="73"/>
  <c r="Z21" i="73"/>
  <c r="X21" i="73"/>
  <c r="V21" i="73"/>
  <c r="L21" i="73"/>
  <c r="N21" i="73" s="1"/>
  <c r="B21" i="73"/>
  <c r="X20" i="73"/>
  <c r="T20" i="73"/>
  <c r="P20" i="73"/>
  <c r="J20" i="73"/>
  <c r="H20" i="73"/>
  <c r="D20" i="73"/>
  <c r="L20" i="73" s="1"/>
  <c r="N20" i="73" s="1"/>
  <c r="Z18" i="73"/>
  <c r="X18" i="73"/>
  <c r="P18" i="73"/>
  <c r="N18" i="73"/>
  <c r="D18" i="73"/>
  <c r="L18" i="73" s="1"/>
  <c r="B18" i="73"/>
  <c r="Z17" i="73"/>
  <c r="X17" i="73"/>
  <c r="P17" i="73"/>
  <c r="N17" i="73"/>
  <c r="L17" i="73"/>
  <c r="D17" i="73"/>
  <c r="B17" i="73"/>
  <c r="Z16" i="73"/>
  <c r="X16" i="73"/>
  <c r="P16" i="73"/>
  <c r="N16" i="73"/>
  <c r="L16" i="73"/>
  <c r="D16" i="73"/>
  <c r="B16" i="73"/>
  <c r="P15" i="73"/>
  <c r="X15" i="73" s="1"/>
  <c r="Z15" i="73" s="1"/>
  <c r="L15" i="73"/>
  <c r="N15" i="73" s="1"/>
  <c r="D15" i="73"/>
  <c r="B15" i="73"/>
  <c r="Z14" i="73"/>
  <c r="X14" i="73"/>
  <c r="P14" i="73"/>
  <c r="N14" i="73"/>
  <c r="L14" i="73"/>
  <c r="D14" i="73"/>
  <c r="B14" i="73"/>
  <c r="Z13" i="73"/>
  <c r="P13" i="73"/>
  <c r="N13" i="73"/>
  <c r="L13" i="73"/>
  <c r="D13" i="73"/>
  <c r="B13" i="73"/>
  <c r="T12" i="73"/>
  <c r="V65" i="73" s="1"/>
  <c r="H12" i="73"/>
  <c r="J72" i="73" s="1"/>
  <c r="D6" i="73"/>
  <c r="D4" i="73"/>
  <c r="Z124" i="71"/>
  <c r="X124" i="71"/>
  <c r="L124" i="71"/>
  <c r="N124" i="71" s="1"/>
  <c r="P120" i="71"/>
  <c r="X120" i="71" s="1"/>
  <c r="Z120" i="71" s="1"/>
  <c r="J120" i="71"/>
  <c r="D120" i="71"/>
  <c r="L120" i="71" s="1"/>
  <c r="N120" i="71" s="1"/>
  <c r="B120" i="71"/>
  <c r="Z119" i="71"/>
  <c r="X119" i="71"/>
  <c r="P119" i="71"/>
  <c r="N119" i="71"/>
  <c r="L119" i="71"/>
  <c r="D119" i="71"/>
  <c r="B119" i="71"/>
  <c r="Z118" i="71"/>
  <c r="X118" i="71"/>
  <c r="P118" i="71"/>
  <c r="P116" i="71" s="1"/>
  <c r="X116" i="71" s="1"/>
  <c r="N118" i="71"/>
  <c r="D118" i="71"/>
  <c r="L118" i="71" s="1"/>
  <c r="B118" i="71"/>
  <c r="Z117" i="71"/>
  <c r="X117" i="71"/>
  <c r="V117" i="71"/>
  <c r="P117" i="71"/>
  <c r="N117" i="71"/>
  <c r="D117" i="71"/>
  <c r="L117" i="71" s="1"/>
  <c r="B117" i="71"/>
  <c r="T116" i="71"/>
  <c r="H116" i="71"/>
  <c r="X114" i="71"/>
  <c r="Z114" i="71" s="1"/>
  <c r="N114" i="71"/>
  <c r="L114" i="71"/>
  <c r="B114" i="71"/>
  <c r="Z113" i="71"/>
  <c r="X113" i="71"/>
  <c r="V113" i="71"/>
  <c r="N113" i="71"/>
  <c r="L113" i="71"/>
  <c r="J113" i="71"/>
  <c r="B113" i="71"/>
  <c r="T112" i="71"/>
  <c r="P112" i="71"/>
  <c r="X112" i="71" s="1"/>
  <c r="Z112" i="71" s="1"/>
  <c r="H112" i="71"/>
  <c r="N112" i="71" s="1"/>
  <c r="D112" i="71"/>
  <c r="B112" i="71"/>
  <c r="X111" i="71"/>
  <c r="Z111" i="71" s="1"/>
  <c r="N111" i="71"/>
  <c r="L111" i="71"/>
  <c r="J111" i="71"/>
  <c r="B111" i="71"/>
  <c r="T110" i="71"/>
  <c r="P110" i="71"/>
  <c r="X110" i="71" s="1"/>
  <c r="H110" i="71"/>
  <c r="D110" i="71"/>
  <c r="B110" i="71"/>
  <c r="X109" i="71"/>
  <c r="Z109" i="71" s="1"/>
  <c r="N109" i="71"/>
  <c r="L109" i="71"/>
  <c r="J109" i="71"/>
  <c r="B109" i="71"/>
  <c r="X108" i="71"/>
  <c r="Z108" i="71" s="1"/>
  <c r="N108" i="71"/>
  <c r="L108" i="71"/>
  <c r="B108" i="71"/>
  <c r="Z107" i="71"/>
  <c r="V107" i="71"/>
  <c r="T107" i="71"/>
  <c r="P107" i="71"/>
  <c r="X107" i="71" s="1"/>
  <c r="L107" i="71"/>
  <c r="H107" i="71"/>
  <c r="N107" i="71" s="1"/>
  <c r="D107" i="71"/>
  <c r="B107" i="71"/>
  <c r="X106" i="71"/>
  <c r="Z106" i="71" s="1"/>
  <c r="N106" i="71"/>
  <c r="L106" i="71"/>
  <c r="B106" i="71"/>
  <c r="Z105" i="71"/>
  <c r="X105" i="71"/>
  <c r="V105" i="71"/>
  <c r="N105" i="71"/>
  <c r="L105" i="71"/>
  <c r="J105" i="71"/>
  <c r="B105" i="71"/>
  <c r="Z104" i="71"/>
  <c r="X104" i="71"/>
  <c r="L104" i="71"/>
  <c r="N104" i="71" s="1"/>
  <c r="B104" i="71"/>
  <c r="Z103" i="71"/>
  <c r="T103" i="71"/>
  <c r="P103" i="71"/>
  <c r="X103" i="71" s="1"/>
  <c r="J103" i="71"/>
  <c r="H103" i="71"/>
  <c r="D103" i="71"/>
  <c r="L103" i="71" s="1"/>
  <c r="N103" i="71" s="1"/>
  <c r="B103" i="71"/>
  <c r="X102" i="71"/>
  <c r="Z102" i="71" s="1"/>
  <c r="N102" i="71"/>
  <c r="L102" i="71"/>
  <c r="B102" i="71"/>
  <c r="Z101" i="71"/>
  <c r="V101" i="71"/>
  <c r="T101" i="71"/>
  <c r="P101" i="71"/>
  <c r="X101" i="71" s="1"/>
  <c r="L101" i="71"/>
  <c r="H101" i="71"/>
  <c r="N101" i="71" s="1"/>
  <c r="D101" i="71"/>
  <c r="B101" i="71"/>
  <c r="X100" i="71"/>
  <c r="Z100" i="71" s="1"/>
  <c r="N100" i="71"/>
  <c r="L100" i="71"/>
  <c r="B100" i="71"/>
  <c r="Z99" i="71"/>
  <c r="X99" i="71"/>
  <c r="V99" i="71"/>
  <c r="N99" i="71"/>
  <c r="L99" i="71"/>
  <c r="B99" i="71"/>
  <c r="T98" i="71"/>
  <c r="P98" i="71"/>
  <c r="L98" i="71"/>
  <c r="N98" i="71" s="1"/>
  <c r="H98" i="71"/>
  <c r="D98" i="71"/>
  <c r="B98" i="71"/>
  <c r="Z97" i="71"/>
  <c r="X97" i="71"/>
  <c r="V97" i="71"/>
  <c r="N97" i="71"/>
  <c r="L97" i="71"/>
  <c r="J97" i="71"/>
  <c r="B97" i="71"/>
  <c r="T96" i="71"/>
  <c r="P96" i="71"/>
  <c r="X96" i="71" s="1"/>
  <c r="Z96" i="71" s="1"/>
  <c r="L96" i="71"/>
  <c r="H96" i="71"/>
  <c r="D96" i="71"/>
  <c r="B96" i="71"/>
  <c r="Z95" i="71"/>
  <c r="X95" i="71"/>
  <c r="N95" i="71"/>
  <c r="L95" i="71"/>
  <c r="J95" i="71"/>
  <c r="B95" i="71"/>
  <c r="T94" i="71"/>
  <c r="Z94" i="71" s="1"/>
  <c r="P94" i="71"/>
  <c r="X94" i="71" s="1"/>
  <c r="L94" i="71"/>
  <c r="H94" i="71"/>
  <c r="N94" i="71" s="1"/>
  <c r="D94" i="71"/>
  <c r="B94" i="71"/>
  <c r="Z93" i="71"/>
  <c r="X93" i="71"/>
  <c r="N93" i="71"/>
  <c r="L93" i="71"/>
  <c r="J93" i="71"/>
  <c r="B93" i="71"/>
  <c r="X92" i="71"/>
  <c r="Z92" i="71" s="1"/>
  <c r="N92" i="71"/>
  <c r="L92" i="71"/>
  <c r="B92" i="71"/>
  <c r="V91" i="71"/>
  <c r="T91" i="71"/>
  <c r="P91" i="71"/>
  <c r="X91" i="71" s="1"/>
  <c r="Z91" i="71" s="1"/>
  <c r="L91" i="71"/>
  <c r="H91" i="71"/>
  <c r="N91" i="71" s="1"/>
  <c r="D91" i="71"/>
  <c r="B91" i="71"/>
  <c r="X90" i="71"/>
  <c r="Z90" i="71" s="1"/>
  <c r="L90" i="71"/>
  <c r="N90" i="71" s="1"/>
  <c r="B90" i="71"/>
  <c r="Z89" i="71"/>
  <c r="X89" i="71"/>
  <c r="V89" i="71"/>
  <c r="T89" i="71"/>
  <c r="P89" i="71"/>
  <c r="H89" i="71"/>
  <c r="D89" i="71"/>
  <c r="L89" i="71" s="1"/>
  <c r="N89" i="71" s="1"/>
  <c r="B89" i="71"/>
  <c r="X88" i="71"/>
  <c r="Z88" i="71" s="1"/>
  <c r="L88" i="71"/>
  <c r="N88" i="71" s="1"/>
  <c r="B88" i="71"/>
  <c r="X87" i="71"/>
  <c r="T87" i="71"/>
  <c r="Z87" i="71" s="1"/>
  <c r="P87" i="71"/>
  <c r="J87" i="71"/>
  <c r="H87" i="71"/>
  <c r="D87" i="71"/>
  <c r="L87" i="71" s="1"/>
  <c r="N87" i="71" s="1"/>
  <c r="B87" i="71"/>
  <c r="Z86" i="71"/>
  <c r="X86" i="71"/>
  <c r="N86" i="71"/>
  <c r="L86" i="71"/>
  <c r="B86" i="71"/>
  <c r="X85" i="71"/>
  <c r="Z85" i="71" s="1"/>
  <c r="N85" i="71"/>
  <c r="L85" i="71"/>
  <c r="J85" i="71"/>
  <c r="B85" i="71"/>
  <c r="X84" i="71"/>
  <c r="T84" i="71"/>
  <c r="Z84" i="71" s="1"/>
  <c r="P84" i="71"/>
  <c r="H84" i="71"/>
  <c r="D84" i="71"/>
  <c r="L84" i="71" s="1"/>
  <c r="B84" i="71"/>
  <c r="Z83" i="71"/>
  <c r="X83" i="71"/>
  <c r="L83" i="71"/>
  <c r="N83" i="71" s="1"/>
  <c r="B83" i="71"/>
  <c r="X82" i="71"/>
  <c r="T82" i="71"/>
  <c r="P82" i="71"/>
  <c r="H82" i="71"/>
  <c r="D82" i="71"/>
  <c r="L82" i="71" s="1"/>
  <c r="N82" i="71" s="1"/>
  <c r="B82" i="71"/>
  <c r="Z81" i="71"/>
  <c r="X81" i="71"/>
  <c r="V81" i="71"/>
  <c r="N81" i="71"/>
  <c r="L81" i="71"/>
  <c r="B81" i="71"/>
  <c r="Z80" i="71"/>
  <c r="X80" i="71"/>
  <c r="N80" i="71"/>
  <c r="L80" i="71"/>
  <c r="B80" i="71"/>
  <c r="X79" i="71"/>
  <c r="Z79" i="71" s="1"/>
  <c r="N79" i="71"/>
  <c r="L79" i="71"/>
  <c r="J79" i="71"/>
  <c r="B79" i="71"/>
  <c r="X78" i="71"/>
  <c r="Z78" i="71" s="1"/>
  <c r="N78" i="71"/>
  <c r="L78" i="71"/>
  <c r="B78" i="71"/>
  <c r="Z77" i="71"/>
  <c r="X77" i="71"/>
  <c r="V77" i="71"/>
  <c r="N77" i="71"/>
  <c r="L77" i="71"/>
  <c r="B77" i="71"/>
  <c r="X76" i="71"/>
  <c r="Z76" i="71" s="1"/>
  <c r="L76" i="71"/>
  <c r="N76" i="71" s="1"/>
  <c r="B76" i="71"/>
  <c r="X75" i="71"/>
  <c r="Z75" i="71" s="1"/>
  <c r="N75" i="71"/>
  <c r="L75" i="71"/>
  <c r="J75" i="71"/>
  <c r="B75" i="71"/>
  <c r="Z74" i="71"/>
  <c r="X74" i="71"/>
  <c r="N74" i="71"/>
  <c r="L74" i="71"/>
  <c r="B74" i="71"/>
  <c r="Z73" i="71"/>
  <c r="X73" i="71"/>
  <c r="V73" i="71"/>
  <c r="L73" i="71"/>
  <c r="N73" i="71" s="1"/>
  <c r="B73" i="71"/>
  <c r="Z72" i="71"/>
  <c r="X72" i="71"/>
  <c r="N72" i="71"/>
  <c r="L72" i="71"/>
  <c r="B72" i="71"/>
  <c r="X71" i="71"/>
  <c r="Z71" i="71" s="1"/>
  <c r="T71" i="71"/>
  <c r="P71" i="71"/>
  <c r="N71" i="71"/>
  <c r="J71" i="71"/>
  <c r="H71" i="71"/>
  <c r="D71" i="71"/>
  <c r="L71" i="71" s="1"/>
  <c r="B71" i="71"/>
  <c r="Z70" i="71"/>
  <c r="X70" i="71"/>
  <c r="L70" i="71"/>
  <c r="N70" i="71" s="1"/>
  <c r="B70" i="71"/>
  <c r="X69" i="71"/>
  <c r="Z69" i="71" s="1"/>
  <c r="N69" i="71"/>
  <c r="L69" i="71"/>
  <c r="J69" i="71"/>
  <c r="B69" i="71"/>
  <c r="X68" i="71"/>
  <c r="Z68" i="71" s="1"/>
  <c r="N68" i="71"/>
  <c r="L68" i="71"/>
  <c r="B68" i="71"/>
  <c r="Z67" i="71"/>
  <c r="X67" i="71"/>
  <c r="V67" i="71"/>
  <c r="N67" i="71"/>
  <c r="L67" i="71"/>
  <c r="B67" i="71"/>
  <c r="Z66" i="71"/>
  <c r="X66" i="71"/>
  <c r="N66" i="71"/>
  <c r="L66" i="71"/>
  <c r="B66" i="71"/>
  <c r="X65" i="71"/>
  <c r="Z65" i="71" s="1"/>
  <c r="N65" i="71"/>
  <c r="L65" i="71"/>
  <c r="J65" i="71"/>
  <c r="B65" i="71"/>
  <c r="X64" i="71"/>
  <c r="Z64" i="71" s="1"/>
  <c r="N64" i="71"/>
  <c r="L64" i="71"/>
  <c r="B64" i="71"/>
  <c r="Z63" i="71"/>
  <c r="X63" i="71"/>
  <c r="V63" i="71"/>
  <c r="N63" i="71"/>
  <c r="L63" i="71"/>
  <c r="B63" i="71"/>
  <c r="X62" i="71"/>
  <c r="Z62" i="71" s="1"/>
  <c r="L62" i="71"/>
  <c r="N62" i="71" s="1"/>
  <c r="B62" i="71"/>
  <c r="X61" i="71"/>
  <c r="Z61" i="71" s="1"/>
  <c r="N61" i="71"/>
  <c r="L61" i="71"/>
  <c r="J61" i="71"/>
  <c r="B61" i="71"/>
  <c r="X60" i="71"/>
  <c r="T60" i="71"/>
  <c r="Z60" i="71" s="1"/>
  <c r="P60" i="71"/>
  <c r="H60" i="71"/>
  <c r="D60" i="71"/>
  <c r="L60" i="71" s="1"/>
  <c r="B60" i="71"/>
  <c r="Z59" i="71"/>
  <c r="T59" i="71"/>
  <c r="P59" i="71"/>
  <c r="X59" i="71" s="1"/>
  <c r="J59" i="71"/>
  <c r="H59" i="71"/>
  <c r="D59" i="71"/>
  <c r="L59" i="71" s="1"/>
  <c r="N59" i="71" s="1"/>
  <c r="T57" i="71"/>
  <c r="T122" i="71" s="1"/>
  <c r="T126" i="71" s="1"/>
  <c r="Z55" i="71"/>
  <c r="X55" i="71"/>
  <c r="N55" i="71"/>
  <c r="L55" i="71"/>
  <c r="B55" i="71"/>
  <c r="Z54" i="71"/>
  <c r="X54" i="71"/>
  <c r="N54" i="71"/>
  <c r="L54" i="71"/>
  <c r="J54" i="71"/>
  <c r="B54" i="71"/>
  <c r="Z53" i="71"/>
  <c r="X53" i="71"/>
  <c r="V53" i="71"/>
  <c r="N53" i="71"/>
  <c r="L53" i="71"/>
  <c r="J53" i="71"/>
  <c r="B53" i="71"/>
  <c r="Z52" i="71"/>
  <c r="X52" i="71"/>
  <c r="N52" i="71"/>
  <c r="L52" i="71"/>
  <c r="B52" i="71"/>
  <c r="Z51" i="71"/>
  <c r="X51" i="71"/>
  <c r="N51" i="71"/>
  <c r="L51" i="71"/>
  <c r="B51" i="71"/>
  <c r="Z50" i="71"/>
  <c r="X50" i="71"/>
  <c r="N50" i="71"/>
  <c r="L50" i="71"/>
  <c r="J50" i="71"/>
  <c r="B50" i="71"/>
  <c r="Z49" i="71"/>
  <c r="X49" i="71"/>
  <c r="V49" i="71"/>
  <c r="N49" i="71"/>
  <c r="L49" i="71"/>
  <c r="J49" i="71"/>
  <c r="B49" i="71"/>
  <c r="Z48" i="71"/>
  <c r="X48" i="71"/>
  <c r="N48" i="71"/>
  <c r="L48" i="71"/>
  <c r="B48" i="71"/>
  <c r="Z47" i="71"/>
  <c r="X47" i="71"/>
  <c r="N47" i="71"/>
  <c r="L47" i="71"/>
  <c r="B47" i="71"/>
  <c r="Z46" i="71"/>
  <c r="X46" i="71"/>
  <c r="N46" i="71"/>
  <c r="L46" i="71"/>
  <c r="J46" i="71"/>
  <c r="B46" i="71"/>
  <c r="Z45" i="71"/>
  <c r="X45" i="71"/>
  <c r="V45" i="71"/>
  <c r="N45" i="71"/>
  <c r="L45" i="71"/>
  <c r="J45" i="71"/>
  <c r="B45" i="71"/>
  <c r="Z44" i="71"/>
  <c r="X44" i="71"/>
  <c r="N44" i="71"/>
  <c r="L44" i="71"/>
  <c r="B44" i="71"/>
  <c r="Z43" i="71"/>
  <c r="X43" i="71"/>
  <c r="N43" i="71"/>
  <c r="L43" i="71"/>
  <c r="B43" i="71"/>
  <c r="X42" i="71"/>
  <c r="Z42" i="71" s="1"/>
  <c r="L42" i="71"/>
  <c r="N42" i="71" s="1"/>
  <c r="J42" i="71"/>
  <c r="B42" i="71"/>
  <c r="V41" i="71"/>
  <c r="T41" i="71"/>
  <c r="P41" i="71"/>
  <c r="X41" i="71" s="1"/>
  <c r="Z41" i="71" s="1"/>
  <c r="N41" i="71"/>
  <c r="H41" i="71"/>
  <c r="D41" i="71"/>
  <c r="L41" i="71" s="1"/>
  <c r="Z39" i="71"/>
  <c r="P39" i="71"/>
  <c r="X39" i="71" s="1"/>
  <c r="N39" i="71"/>
  <c r="L39" i="71"/>
  <c r="D39" i="71"/>
  <c r="B39" i="71"/>
  <c r="Z38" i="71"/>
  <c r="P38" i="71"/>
  <c r="X38" i="71" s="1"/>
  <c r="N38" i="71"/>
  <c r="L38" i="71"/>
  <c r="D38" i="71"/>
  <c r="B38" i="71"/>
  <c r="Z37" i="71"/>
  <c r="P37" i="71"/>
  <c r="X37" i="71" s="1"/>
  <c r="N37" i="71"/>
  <c r="L37" i="71"/>
  <c r="D37" i="71"/>
  <c r="B37" i="71"/>
  <c r="Z36" i="71"/>
  <c r="P36" i="71"/>
  <c r="X36" i="71" s="1"/>
  <c r="N36" i="71"/>
  <c r="D36" i="71"/>
  <c r="L36" i="71" s="1"/>
  <c r="B36" i="71"/>
  <c r="Z35" i="71"/>
  <c r="P35" i="71"/>
  <c r="X35" i="71" s="1"/>
  <c r="N35" i="71"/>
  <c r="D35" i="71"/>
  <c r="L35" i="71" s="1"/>
  <c r="B35" i="71"/>
  <c r="Z34" i="71"/>
  <c r="X34" i="71"/>
  <c r="P34" i="71"/>
  <c r="N34" i="71"/>
  <c r="D34" i="71"/>
  <c r="L34" i="71" s="1"/>
  <c r="B34" i="71"/>
  <c r="Z33" i="71"/>
  <c r="P33" i="71"/>
  <c r="X33" i="71" s="1"/>
  <c r="N33" i="71"/>
  <c r="D33" i="71"/>
  <c r="L33" i="71" s="1"/>
  <c r="B33" i="71"/>
  <c r="Z32" i="71"/>
  <c r="X32" i="71"/>
  <c r="P32" i="71"/>
  <c r="N32" i="71"/>
  <c r="D32" i="71"/>
  <c r="L32" i="71" s="1"/>
  <c r="B32" i="71"/>
  <c r="Z31" i="71"/>
  <c r="X31" i="71"/>
  <c r="P31" i="71"/>
  <c r="N31" i="71"/>
  <c r="L31" i="71"/>
  <c r="D31" i="71"/>
  <c r="B31" i="71"/>
  <c r="Z30" i="71"/>
  <c r="X30" i="71"/>
  <c r="P30" i="71"/>
  <c r="N30" i="71"/>
  <c r="L30" i="71"/>
  <c r="D30" i="71"/>
  <c r="B30" i="71"/>
  <c r="Z29" i="71"/>
  <c r="X29" i="71"/>
  <c r="P29" i="71"/>
  <c r="N29" i="71"/>
  <c r="L29" i="71"/>
  <c r="D29" i="71"/>
  <c r="B29" i="71"/>
  <c r="Z28" i="71"/>
  <c r="X28" i="71"/>
  <c r="P28" i="71"/>
  <c r="N28" i="71"/>
  <c r="L28" i="71"/>
  <c r="D28" i="71"/>
  <c r="B28" i="71"/>
  <c r="Z27" i="71"/>
  <c r="P27" i="71"/>
  <c r="X27" i="71" s="1"/>
  <c r="N27" i="71"/>
  <c r="L27" i="71"/>
  <c r="D27" i="71"/>
  <c r="B27" i="71"/>
  <c r="Z26" i="71"/>
  <c r="P26" i="71"/>
  <c r="X26" i="71" s="1"/>
  <c r="N26" i="71"/>
  <c r="L26" i="71"/>
  <c r="D26" i="71"/>
  <c r="B26" i="71"/>
  <c r="Z25" i="71"/>
  <c r="P25" i="71"/>
  <c r="X25" i="71" s="1"/>
  <c r="N25" i="71"/>
  <c r="L25" i="71"/>
  <c r="D25" i="71"/>
  <c r="B25" i="71"/>
  <c r="Z24" i="71"/>
  <c r="P24" i="71"/>
  <c r="X24" i="71" s="1"/>
  <c r="N24" i="71"/>
  <c r="D24" i="71"/>
  <c r="L24" i="71" s="1"/>
  <c r="B24" i="71"/>
  <c r="Z23" i="71"/>
  <c r="P23" i="71"/>
  <c r="X23" i="71" s="1"/>
  <c r="N23" i="71"/>
  <c r="D23" i="71"/>
  <c r="L23" i="71" s="1"/>
  <c r="B23" i="71"/>
  <c r="Z22" i="71"/>
  <c r="X22" i="71"/>
  <c r="P22" i="71"/>
  <c r="N22" i="71"/>
  <c r="D22" i="71"/>
  <c r="L22" i="71" s="1"/>
  <c r="B22" i="71"/>
  <c r="P21" i="71"/>
  <c r="X21" i="71" s="1"/>
  <c r="Z21" i="71" s="1"/>
  <c r="D21" i="71"/>
  <c r="L21" i="71" s="1"/>
  <c r="N21" i="71" s="1"/>
  <c r="B21" i="71"/>
  <c r="Z20" i="71"/>
  <c r="X20" i="71"/>
  <c r="P20" i="71"/>
  <c r="N20" i="71"/>
  <c r="D20" i="71"/>
  <c r="L20" i="71" s="1"/>
  <c r="B20" i="71"/>
  <c r="Z19" i="71"/>
  <c r="X19" i="71"/>
  <c r="P19" i="71"/>
  <c r="N19" i="71"/>
  <c r="L19" i="71"/>
  <c r="D19" i="71"/>
  <c r="B19" i="71"/>
  <c r="Z18" i="71"/>
  <c r="X18" i="71"/>
  <c r="P18" i="71"/>
  <c r="N18" i="71"/>
  <c r="L18" i="71"/>
  <c r="D18" i="71"/>
  <c r="B18" i="71"/>
  <c r="Z17" i="71"/>
  <c r="X17" i="71"/>
  <c r="P17" i="71"/>
  <c r="N17" i="71"/>
  <c r="L17" i="71"/>
  <c r="D17" i="71"/>
  <c r="B17" i="71"/>
  <c r="Z16" i="71"/>
  <c r="X16" i="71"/>
  <c r="P16" i="71"/>
  <c r="N16" i="71"/>
  <c r="L16" i="71"/>
  <c r="D16" i="71"/>
  <c r="B16" i="71"/>
  <c r="Z15" i="71"/>
  <c r="P15" i="71"/>
  <c r="X15" i="71" s="1"/>
  <c r="N15" i="71"/>
  <c r="L15" i="71"/>
  <c r="D15" i="71"/>
  <c r="B15" i="71"/>
  <c r="Z14" i="71"/>
  <c r="P14" i="71"/>
  <c r="X14" i="71" s="1"/>
  <c r="N14" i="71"/>
  <c r="L14" i="71"/>
  <c r="D14" i="71"/>
  <c r="B14" i="71"/>
  <c r="Z13" i="71"/>
  <c r="P13" i="71"/>
  <c r="N13" i="71"/>
  <c r="L13" i="71"/>
  <c r="D13" i="71"/>
  <c r="B13" i="71"/>
  <c r="T12" i="71"/>
  <c r="V118" i="71" s="1"/>
  <c r="H12" i="71"/>
  <c r="D6" i="71"/>
  <c r="D4" i="71"/>
  <c r="X78" i="70"/>
  <c r="Z78" i="70" s="1"/>
  <c r="N78" i="70"/>
  <c r="L78" i="70"/>
  <c r="F78" i="70"/>
  <c r="T74" i="70"/>
  <c r="Z74" i="70" s="1"/>
  <c r="P74" i="70"/>
  <c r="N74" i="70"/>
  <c r="H74" i="70"/>
  <c r="D74" i="70"/>
  <c r="L74" i="70" s="1"/>
  <c r="X72" i="70"/>
  <c r="Z72" i="70" s="1"/>
  <c r="N72" i="70"/>
  <c r="L72" i="70"/>
  <c r="J72" i="70"/>
  <c r="B72" i="70"/>
  <c r="T71" i="70"/>
  <c r="P71" i="70"/>
  <c r="X71" i="70" s="1"/>
  <c r="Z71" i="70" s="1"/>
  <c r="N71" i="70"/>
  <c r="H71" i="70"/>
  <c r="D71" i="70"/>
  <c r="L71" i="70" s="1"/>
  <c r="B71" i="70"/>
  <c r="X70" i="70"/>
  <c r="Z70" i="70" s="1"/>
  <c r="L70" i="70"/>
  <c r="N70" i="70" s="1"/>
  <c r="B70" i="70"/>
  <c r="X69" i="70"/>
  <c r="T69" i="70"/>
  <c r="Z69" i="70" s="1"/>
  <c r="P69" i="70"/>
  <c r="J69" i="70"/>
  <c r="H69" i="70"/>
  <c r="D69" i="70"/>
  <c r="L69" i="70" s="1"/>
  <c r="N69" i="70" s="1"/>
  <c r="B69" i="70"/>
  <c r="Z68" i="70"/>
  <c r="X68" i="70"/>
  <c r="L68" i="70"/>
  <c r="N68" i="70" s="1"/>
  <c r="F68" i="70"/>
  <c r="B68" i="70"/>
  <c r="Z67" i="70"/>
  <c r="X67" i="70"/>
  <c r="N67" i="70"/>
  <c r="L67" i="70"/>
  <c r="J67" i="70"/>
  <c r="B67" i="70"/>
  <c r="Z66" i="70"/>
  <c r="X66" i="70"/>
  <c r="N66" i="70"/>
  <c r="L66" i="70"/>
  <c r="B66" i="70"/>
  <c r="T65" i="70"/>
  <c r="P65" i="70"/>
  <c r="X65" i="70" s="1"/>
  <c r="Z65" i="70" s="1"/>
  <c r="L65" i="70"/>
  <c r="H65" i="70"/>
  <c r="N65" i="70" s="1"/>
  <c r="D65" i="70"/>
  <c r="B65" i="70"/>
  <c r="Z64" i="70"/>
  <c r="X64" i="70"/>
  <c r="N64" i="70"/>
  <c r="L64" i="70"/>
  <c r="J64" i="70"/>
  <c r="B64" i="70"/>
  <c r="Z63" i="70"/>
  <c r="X63" i="70"/>
  <c r="V63" i="70"/>
  <c r="N63" i="70"/>
  <c r="L63" i="70"/>
  <c r="J63" i="70"/>
  <c r="B63" i="70"/>
  <c r="Z62" i="70"/>
  <c r="T62" i="70"/>
  <c r="P62" i="70"/>
  <c r="X62" i="70" s="1"/>
  <c r="L62" i="70"/>
  <c r="H62" i="70"/>
  <c r="D62" i="70"/>
  <c r="B62" i="70"/>
  <c r="X61" i="70"/>
  <c r="Z61" i="70" s="1"/>
  <c r="N61" i="70"/>
  <c r="L61" i="70"/>
  <c r="J61" i="70"/>
  <c r="B61" i="70"/>
  <c r="Z60" i="70"/>
  <c r="X60" i="70"/>
  <c r="N60" i="70"/>
  <c r="L60" i="70"/>
  <c r="F60" i="70"/>
  <c r="B60" i="70"/>
  <c r="Z59" i="70"/>
  <c r="T59" i="70"/>
  <c r="P59" i="70"/>
  <c r="X59" i="70" s="1"/>
  <c r="L59" i="70"/>
  <c r="H59" i="70"/>
  <c r="N59" i="70" s="1"/>
  <c r="D59" i="70"/>
  <c r="B59" i="70"/>
  <c r="X58" i="70"/>
  <c r="Z58" i="70" s="1"/>
  <c r="N58" i="70"/>
  <c r="L58" i="70"/>
  <c r="B58" i="70"/>
  <c r="T57" i="70"/>
  <c r="P57" i="70"/>
  <c r="X57" i="70" s="1"/>
  <c r="Z57" i="70" s="1"/>
  <c r="L57" i="70"/>
  <c r="H57" i="70"/>
  <c r="D57" i="70"/>
  <c r="B57" i="70"/>
  <c r="Z56" i="70"/>
  <c r="X56" i="70"/>
  <c r="N56" i="70"/>
  <c r="L56" i="70"/>
  <c r="J56" i="70"/>
  <c r="B56" i="70"/>
  <c r="Z55" i="70"/>
  <c r="X55" i="70"/>
  <c r="T55" i="70"/>
  <c r="P55" i="70"/>
  <c r="H55" i="70"/>
  <c r="N55" i="70" s="1"/>
  <c r="D55" i="70"/>
  <c r="B55" i="70"/>
  <c r="X54" i="70"/>
  <c r="Z54" i="70" s="1"/>
  <c r="L54" i="70"/>
  <c r="N54" i="70" s="1"/>
  <c r="B54" i="70"/>
  <c r="Z53" i="70"/>
  <c r="X53" i="70"/>
  <c r="N53" i="70"/>
  <c r="L53" i="70"/>
  <c r="J53" i="70"/>
  <c r="B53" i="70"/>
  <c r="T52" i="70"/>
  <c r="P52" i="70"/>
  <c r="X52" i="70" s="1"/>
  <c r="Z52" i="70" s="1"/>
  <c r="H52" i="70"/>
  <c r="D52" i="70"/>
  <c r="L52" i="70" s="1"/>
  <c r="B52" i="70"/>
  <c r="X51" i="70"/>
  <c r="Z51" i="70" s="1"/>
  <c r="N51" i="70"/>
  <c r="L51" i="70"/>
  <c r="J51" i="70"/>
  <c r="B51" i="70"/>
  <c r="X50" i="70"/>
  <c r="T50" i="70"/>
  <c r="Z50" i="70" s="1"/>
  <c r="P50" i="70"/>
  <c r="H50" i="70"/>
  <c r="D50" i="70"/>
  <c r="B50" i="70"/>
  <c r="Z49" i="70"/>
  <c r="X49" i="70"/>
  <c r="N49" i="70"/>
  <c r="L49" i="70"/>
  <c r="B49" i="70"/>
  <c r="T48" i="70"/>
  <c r="Z48" i="70" s="1"/>
  <c r="P48" i="70"/>
  <c r="N48" i="70"/>
  <c r="J48" i="70"/>
  <c r="H48" i="70"/>
  <c r="D48" i="70"/>
  <c r="L48" i="70" s="1"/>
  <c r="B48" i="70"/>
  <c r="Z47" i="70"/>
  <c r="X47" i="70"/>
  <c r="V47" i="70"/>
  <c r="N47" i="70"/>
  <c r="L47" i="70"/>
  <c r="B47" i="70"/>
  <c r="T46" i="70"/>
  <c r="Z46" i="70" s="1"/>
  <c r="P46" i="70"/>
  <c r="X46" i="70" s="1"/>
  <c r="N46" i="70"/>
  <c r="J46" i="70"/>
  <c r="H46" i="70"/>
  <c r="D46" i="70"/>
  <c r="L46" i="70" s="1"/>
  <c r="B46" i="70"/>
  <c r="Z45" i="70"/>
  <c r="X45" i="70"/>
  <c r="N45" i="70"/>
  <c r="L45" i="70"/>
  <c r="F45" i="70"/>
  <c r="B45" i="70"/>
  <c r="Z44" i="70"/>
  <c r="X44" i="70"/>
  <c r="N44" i="70"/>
  <c r="L44" i="70"/>
  <c r="F44" i="70"/>
  <c r="B44" i="70"/>
  <c r="X43" i="70"/>
  <c r="Z43" i="70" s="1"/>
  <c r="N43" i="70"/>
  <c r="L43" i="70"/>
  <c r="J43" i="70"/>
  <c r="B43" i="70"/>
  <c r="X42" i="70"/>
  <c r="Z42" i="70" s="1"/>
  <c r="N42" i="70"/>
  <c r="L42" i="70"/>
  <c r="J42" i="70"/>
  <c r="B42" i="70"/>
  <c r="Z41" i="70"/>
  <c r="X41" i="70"/>
  <c r="N41" i="70"/>
  <c r="L41" i="70"/>
  <c r="F41" i="70"/>
  <c r="B41" i="70"/>
  <c r="Z40" i="70"/>
  <c r="X40" i="70"/>
  <c r="N40" i="70"/>
  <c r="L40" i="70"/>
  <c r="F40" i="70"/>
  <c r="B40" i="70"/>
  <c r="Z39" i="70"/>
  <c r="X39" i="70"/>
  <c r="N39" i="70"/>
  <c r="L39" i="70"/>
  <c r="J39" i="70"/>
  <c r="B39" i="70"/>
  <c r="Z38" i="70"/>
  <c r="X38" i="70"/>
  <c r="N38" i="70"/>
  <c r="L38" i="70"/>
  <c r="J38" i="70"/>
  <c r="B38" i="70"/>
  <c r="Z37" i="70"/>
  <c r="X37" i="70"/>
  <c r="N37" i="70"/>
  <c r="L37" i="70"/>
  <c r="B37" i="70"/>
  <c r="Z36" i="70"/>
  <c r="X36" i="70"/>
  <c r="L36" i="70"/>
  <c r="N36" i="70" s="1"/>
  <c r="B36" i="70"/>
  <c r="X35" i="70"/>
  <c r="T35" i="70"/>
  <c r="P35" i="70"/>
  <c r="J35" i="70"/>
  <c r="H35" i="70"/>
  <c r="D35" i="70"/>
  <c r="L35" i="70" s="1"/>
  <c r="N35" i="70" s="1"/>
  <c r="B35" i="70"/>
  <c r="Z34" i="70"/>
  <c r="X34" i="70"/>
  <c r="N34" i="70"/>
  <c r="L34" i="70"/>
  <c r="B34" i="70"/>
  <c r="Z33" i="70"/>
  <c r="X33" i="70"/>
  <c r="L33" i="70"/>
  <c r="N33" i="70" s="1"/>
  <c r="B33" i="70"/>
  <c r="X32" i="70"/>
  <c r="Z32" i="70" s="1"/>
  <c r="N32" i="70"/>
  <c r="L32" i="70"/>
  <c r="J32" i="70"/>
  <c r="B32" i="70"/>
  <c r="Z31" i="70"/>
  <c r="X31" i="70"/>
  <c r="N31" i="70"/>
  <c r="L31" i="70"/>
  <c r="J31" i="70"/>
  <c r="B31" i="70"/>
  <c r="Z30" i="70"/>
  <c r="X30" i="70"/>
  <c r="L30" i="70"/>
  <c r="N30" i="70" s="1"/>
  <c r="F30" i="70"/>
  <c r="B30" i="70"/>
  <c r="Z29" i="70"/>
  <c r="X29" i="70"/>
  <c r="L29" i="70"/>
  <c r="N29" i="70" s="1"/>
  <c r="B29" i="70"/>
  <c r="X28" i="70"/>
  <c r="Z28" i="70" s="1"/>
  <c r="N28" i="70"/>
  <c r="L28" i="70"/>
  <c r="J28" i="70"/>
  <c r="B28" i="70"/>
  <c r="Z27" i="70"/>
  <c r="X27" i="70"/>
  <c r="N27" i="70"/>
  <c r="L27" i="70"/>
  <c r="J27" i="70"/>
  <c r="B27" i="70"/>
  <c r="Z26" i="70"/>
  <c r="X26" i="70"/>
  <c r="L26" i="70"/>
  <c r="N26" i="70" s="1"/>
  <c r="B26" i="70"/>
  <c r="T25" i="70"/>
  <c r="P25" i="70"/>
  <c r="J25" i="70"/>
  <c r="H25" i="70"/>
  <c r="D25" i="70"/>
  <c r="L25" i="70" s="1"/>
  <c r="N25" i="70" s="1"/>
  <c r="B25" i="70"/>
  <c r="V24" i="70"/>
  <c r="T24" i="70"/>
  <c r="P24" i="70"/>
  <c r="X24" i="70" s="1"/>
  <c r="H24" i="70"/>
  <c r="D24" i="70"/>
  <c r="L24" i="70" s="1"/>
  <c r="H22" i="70"/>
  <c r="Z20" i="70"/>
  <c r="X20" i="70"/>
  <c r="V20" i="70"/>
  <c r="N20" i="70"/>
  <c r="L20" i="70"/>
  <c r="F20" i="70"/>
  <c r="B20" i="70"/>
  <c r="Z19" i="70"/>
  <c r="X19" i="70"/>
  <c r="N19" i="70"/>
  <c r="L19" i="70"/>
  <c r="J19" i="70"/>
  <c r="B19" i="70"/>
  <c r="X18" i="70"/>
  <c r="Z18" i="70" s="1"/>
  <c r="L18" i="70"/>
  <c r="N18" i="70" s="1"/>
  <c r="B18" i="70"/>
  <c r="X17" i="70"/>
  <c r="Z17" i="70" s="1"/>
  <c r="T17" i="70"/>
  <c r="P17" i="70"/>
  <c r="J17" i="70"/>
  <c r="H17" i="70"/>
  <c r="D17" i="70"/>
  <c r="L17" i="70" s="1"/>
  <c r="N17" i="70" s="1"/>
  <c r="Z15" i="70"/>
  <c r="X15" i="70"/>
  <c r="P15" i="70"/>
  <c r="N15" i="70"/>
  <c r="L15" i="70"/>
  <c r="D15" i="70"/>
  <c r="B15" i="70"/>
  <c r="X14" i="70"/>
  <c r="Z14" i="70" s="1"/>
  <c r="P14" i="70"/>
  <c r="L14" i="70"/>
  <c r="N14" i="70" s="1"/>
  <c r="D14" i="70"/>
  <c r="B14" i="70"/>
  <c r="Z13" i="70"/>
  <c r="P13" i="70"/>
  <c r="N13" i="70"/>
  <c r="L13" i="70"/>
  <c r="D13" i="70"/>
  <c r="B13" i="70"/>
  <c r="T12" i="70"/>
  <c r="V65" i="70" s="1"/>
  <c r="H12" i="70"/>
  <c r="J70" i="70" s="1"/>
  <c r="D12" i="70"/>
  <c r="F35" i="70" s="1"/>
  <c r="D6" i="70"/>
  <c r="D4" i="70"/>
  <c r="X121" i="69"/>
  <c r="Z121" i="69" s="1"/>
  <c r="N121" i="69"/>
  <c r="L121" i="69"/>
  <c r="T117" i="69"/>
  <c r="Z117" i="69" s="1"/>
  <c r="P117" i="69"/>
  <c r="H117" i="69"/>
  <c r="N117" i="69" s="1"/>
  <c r="D117" i="69"/>
  <c r="L117" i="69" s="1"/>
  <c r="X115" i="69"/>
  <c r="Z115" i="69" s="1"/>
  <c r="L115" i="69"/>
  <c r="N115" i="69" s="1"/>
  <c r="B115" i="69"/>
  <c r="X114" i="69"/>
  <c r="Z114" i="69" s="1"/>
  <c r="T114" i="69"/>
  <c r="P114" i="69"/>
  <c r="H114" i="69"/>
  <c r="D114" i="69"/>
  <c r="L114" i="69" s="1"/>
  <c r="N114" i="69" s="1"/>
  <c r="B114" i="69"/>
  <c r="Z113" i="69"/>
  <c r="X113" i="69"/>
  <c r="L113" i="69"/>
  <c r="N113" i="69" s="1"/>
  <c r="B113" i="69"/>
  <c r="X112" i="69"/>
  <c r="T112" i="69"/>
  <c r="P112" i="69"/>
  <c r="H112" i="69"/>
  <c r="D112" i="69"/>
  <c r="L112" i="69" s="1"/>
  <c r="N112" i="69" s="1"/>
  <c r="B112" i="69"/>
  <c r="Z111" i="69"/>
  <c r="X111" i="69"/>
  <c r="N111" i="69"/>
  <c r="L111" i="69"/>
  <c r="B111" i="69"/>
  <c r="Z110" i="69"/>
  <c r="X110" i="69"/>
  <c r="L110" i="69"/>
  <c r="N110" i="69" s="1"/>
  <c r="B110" i="69"/>
  <c r="X109" i="69"/>
  <c r="T109" i="69"/>
  <c r="P109" i="69"/>
  <c r="H109" i="69"/>
  <c r="D109" i="69"/>
  <c r="B109" i="69"/>
  <c r="Z108" i="69"/>
  <c r="X108" i="69"/>
  <c r="V108" i="69"/>
  <c r="L108" i="69"/>
  <c r="N108" i="69" s="1"/>
  <c r="B108" i="69"/>
  <c r="X107" i="69"/>
  <c r="Z107" i="69" s="1"/>
  <c r="L107" i="69"/>
  <c r="N107" i="69" s="1"/>
  <c r="B107" i="69"/>
  <c r="X106" i="69"/>
  <c r="Z106" i="69" s="1"/>
  <c r="T106" i="69"/>
  <c r="P106" i="69"/>
  <c r="N106" i="69"/>
  <c r="H106" i="69"/>
  <c r="D106" i="69"/>
  <c r="L106" i="69" s="1"/>
  <c r="B106" i="69"/>
  <c r="X105" i="69"/>
  <c r="Z105" i="69" s="1"/>
  <c r="L105" i="69"/>
  <c r="N105" i="69" s="1"/>
  <c r="B105" i="69"/>
  <c r="Z104" i="69"/>
  <c r="X104" i="69"/>
  <c r="N104" i="69"/>
  <c r="L104" i="69"/>
  <c r="B104" i="69"/>
  <c r="X103" i="69"/>
  <c r="Z103" i="69" s="1"/>
  <c r="T103" i="69"/>
  <c r="P103" i="69"/>
  <c r="L103" i="69"/>
  <c r="H103" i="69"/>
  <c r="D103" i="69"/>
  <c r="B103" i="69"/>
  <c r="Z102" i="69"/>
  <c r="X102" i="69"/>
  <c r="L102" i="69"/>
  <c r="N102" i="69" s="1"/>
  <c r="B102" i="69"/>
  <c r="X101" i="69"/>
  <c r="T101" i="69"/>
  <c r="P101" i="69"/>
  <c r="N101" i="69"/>
  <c r="H101" i="69"/>
  <c r="D101" i="69"/>
  <c r="L101" i="69" s="1"/>
  <c r="B101" i="69"/>
  <c r="Z100" i="69"/>
  <c r="X100" i="69"/>
  <c r="L100" i="69"/>
  <c r="N100" i="69" s="1"/>
  <c r="B100" i="69"/>
  <c r="T99" i="69"/>
  <c r="P99" i="69"/>
  <c r="X99" i="69" s="1"/>
  <c r="H99" i="69"/>
  <c r="N99" i="69" s="1"/>
  <c r="D99" i="69"/>
  <c r="L99" i="69" s="1"/>
  <c r="B99" i="69"/>
  <c r="Z98" i="69"/>
  <c r="X98" i="69"/>
  <c r="N98" i="69"/>
  <c r="L98" i="69"/>
  <c r="B98" i="69"/>
  <c r="T97" i="69"/>
  <c r="P97" i="69"/>
  <c r="L97" i="69"/>
  <c r="H97" i="69"/>
  <c r="D97" i="69"/>
  <c r="B97" i="69"/>
  <c r="Z96" i="69"/>
  <c r="X96" i="69"/>
  <c r="V96" i="69"/>
  <c r="N96" i="69"/>
  <c r="L96" i="69"/>
  <c r="B96" i="69"/>
  <c r="Z95" i="69"/>
  <c r="X95" i="69"/>
  <c r="L95" i="69"/>
  <c r="N95" i="69" s="1"/>
  <c r="B95" i="69"/>
  <c r="Z94" i="69"/>
  <c r="T94" i="69"/>
  <c r="P94" i="69"/>
  <c r="X94" i="69" s="1"/>
  <c r="H94" i="69"/>
  <c r="D94" i="69"/>
  <c r="L94" i="69" s="1"/>
  <c r="N94" i="69" s="1"/>
  <c r="B94" i="69"/>
  <c r="Z93" i="69"/>
  <c r="X93" i="69"/>
  <c r="V93" i="69"/>
  <c r="N93" i="69"/>
  <c r="L93" i="69"/>
  <c r="B93" i="69"/>
  <c r="Z92" i="69"/>
  <c r="T92" i="69"/>
  <c r="P92" i="69"/>
  <c r="X92" i="69" s="1"/>
  <c r="N92" i="69"/>
  <c r="H92" i="69"/>
  <c r="D92" i="69"/>
  <c r="L92" i="69" s="1"/>
  <c r="B92" i="69"/>
  <c r="X91" i="69"/>
  <c r="Z91" i="69" s="1"/>
  <c r="N91" i="69"/>
  <c r="L91" i="69"/>
  <c r="B91" i="69"/>
  <c r="X90" i="69"/>
  <c r="T90" i="69"/>
  <c r="Z90" i="69" s="1"/>
  <c r="P90" i="69"/>
  <c r="L90" i="69"/>
  <c r="N90" i="69" s="1"/>
  <c r="H90" i="69"/>
  <c r="D90" i="69"/>
  <c r="B90" i="69"/>
  <c r="Z89" i="69"/>
  <c r="X89" i="69"/>
  <c r="N89" i="69"/>
  <c r="L89" i="69"/>
  <c r="B89" i="69"/>
  <c r="Z88" i="69"/>
  <c r="X88" i="69"/>
  <c r="N88" i="69"/>
  <c r="L88" i="69"/>
  <c r="B88" i="69"/>
  <c r="Z87" i="69"/>
  <c r="X87" i="69"/>
  <c r="N87" i="69"/>
  <c r="L87" i="69"/>
  <c r="B87" i="69"/>
  <c r="Z86" i="69"/>
  <c r="X86" i="69"/>
  <c r="V86" i="69"/>
  <c r="N86" i="69"/>
  <c r="L86" i="69"/>
  <c r="B86" i="69"/>
  <c r="Z85" i="69"/>
  <c r="X85" i="69"/>
  <c r="N85" i="69"/>
  <c r="L85" i="69"/>
  <c r="B85" i="69"/>
  <c r="Z84" i="69"/>
  <c r="X84" i="69"/>
  <c r="N84" i="69"/>
  <c r="L84" i="69"/>
  <c r="B84" i="69"/>
  <c r="Z83" i="69"/>
  <c r="X83" i="69"/>
  <c r="N83" i="69"/>
  <c r="L83" i="69"/>
  <c r="B83" i="69"/>
  <c r="Z82" i="69"/>
  <c r="X82" i="69"/>
  <c r="V82" i="69"/>
  <c r="N82" i="69"/>
  <c r="L82" i="69"/>
  <c r="B82" i="69"/>
  <c r="Z81" i="69"/>
  <c r="X81" i="69"/>
  <c r="N81" i="69"/>
  <c r="L81" i="69"/>
  <c r="B81" i="69"/>
  <c r="X80" i="69"/>
  <c r="Z80" i="69" s="1"/>
  <c r="L80" i="69"/>
  <c r="N80" i="69" s="1"/>
  <c r="B80" i="69"/>
  <c r="X79" i="69"/>
  <c r="Z79" i="69" s="1"/>
  <c r="T79" i="69"/>
  <c r="P79" i="69"/>
  <c r="H79" i="69"/>
  <c r="D79" i="69"/>
  <c r="L79" i="69" s="1"/>
  <c r="N79" i="69" s="1"/>
  <c r="B79" i="69"/>
  <c r="Z78" i="69"/>
  <c r="X78" i="69"/>
  <c r="N78" i="69"/>
  <c r="L78" i="69"/>
  <c r="B78" i="69"/>
  <c r="X77" i="69"/>
  <c r="Z77" i="69" s="1"/>
  <c r="V77" i="69"/>
  <c r="L77" i="69"/>
  <c r="N77" i="69" s="1"/>
  <c r="B77" i="69"/>
  <c r="X76" i="69"/>
  <c r="Z76" i="69" s="1"/>
  <c r="L76" i="69"/>
  <c r="N76" i="69" s="1"/>
  <c r="B76" i="69"/>
  <c r="Z75" i="69"/>
  <c r="X75" i="69"/>
  <c r="V75" i="69"/>
  <c r="N75" i="69"/>
  <c r="L75" i="69"/>
  <c r="B75" i="69"/>
  <c r="Z74" i="69"/>
  <c r="X74" i="69"/>
  <c r="L74" i="69"/>
  <c r="N74" i="69" s="1"/>
  <c r="B74" i="69"/>
  <c r="X73" i="69"/>
  <c r="Z73" i="69" s="1"/>
  <c r="V73" i="69"/>
  <c r="L73" i="69"/>
  <c r="N73" i="69" s="1"/>
  <c r="B73" i="69"/>
  <c r="X72" i="69"/>
  <c r="Z72" i="69" s="1"/>
  <c r="N72" i="69"/>
  <c r="L72" i="69"/>
  <c r="B72" i="69"/>
  <c r="Z71" i="69"/>
  <c r="X71" i="69"/>
  <c r="V71" i="69"/>
  <c r="L71" i="69"/>
  <c r="N71" i="69" s="1"/>
  <c r="B71" i="69"/>
  <c r="Z70" i="69"/>
  <c r="X70" i="69"/>
  <c r="L70" i="69"/>
  <c r="N70" i="69" s="1"/>
  <c r="B70" i="69"/>
  <c r="T69" i="69"/>
  <c r="P69" i="69"/>
  <c r="H69" i="69"/>
  <c r="D69" i="69"/>
  <c r="L69" i="69" s="1"/>
  <c r="N69" i="69" s="1"/>
  <c r="B69" i="69"/>
  <c r="X68" i="69"/>
  <c r="Z68" i="69" s="1"/>
  <c r="V68" i="69"/>
  <c r="T68" i="69"/>
  <c r="P68" i="69"/>
  <c r="L68" i="69"/>
  <c r="H68" i="69"/>
  <c r="N68" i="69" s="1"/>
  <c r="D68" i="69"/>
  <c r="Z64" i="69"/>
  <c r="X64" i="69"/>
  <c r="V64" i="69"/>
  <c r="N64" i="69"/>
  <c r="L64" i="69"/>
  <c r="B64" i="69"/>
  <c r="Z63" i="69"/>
  <c r="X63" i="69"/>
  <c r="N63" i="69"/>
  <c r="L63" i="69"/>
  <c r="B63" i="69"/>
  <c r="Z62" i="69"/>
  <c r="X62" i="69"/>
  <c r="N62" i="69"/>
  <c r="L62" i="69"/>
  <c r="B62" i="69"/>
  <c r="Z61" i="69"/>
  <c r="X61" i="69"/>
  <c r="V61" i="69"/>
  <c r="N61" i="69"/>
  <c r="L61" i="69"/>
  <c r="B61" i="69"/>
  <c r="Z60" i="69"/>
  <c r="X60" i="69"/>
  <c r="V60" i="69"/>
  <c r="N60" i="69"/>
  <c r="L60" i="69"/>
  <c r="B60" i="69"/>
  <c r="Z59" i="69"/>
  <c r="X59" i="69"/>
  <c r="N59" i="69"/>
  <c r="L59" i="69"/>
  <c r="B59" i="69"/>
  <c r="Z58" i="69"/>
  <c r="X58" i="69"/>
  <c r="N58" i="69"/>
  <c r="L58" i="69"/>
  <c r="B58" i="69"/>
  <c r="Z57" i="69"/>
  <c r="X57" i="69"/>
  <c r="V57" i="69"/>
  <c r="N57" i="69"/>
  <c r="L57" i="69"/>
  <c r="B57" i="69"/>
  <c r="Z56" i="69"/>
  <c r="X56" i="69"/>
  <c r="V56" i="69"/>
  <c r="N56" i="69"/>
  <c r="L56" i="69"/>
  <c r="B56" i="69"/>
  <c r="Z55" i="69"/>
  <c r="X55" i="69"/>
  <c r="N55" i="69"/>
  <c r="L55" i="69"/>
  <c r="B55" i="69"/>
  <c r="Z54" i="69"/>
  <c r="X54" i="69"/>
  <c r="N54" i="69"/>
  <c r="L54" i="69"/>
  <c r="B54" i="69"/>
  <c r="Z53" i="69"/>
  <c r="X53" i="69"/>
  <c r="V53" i="69"/>
  <c r="N53" i="69"/>
  <c r="L53" i="69"/>
  <c r="B53" i="69"/>
  <c r="Z52" i="69"/>
  <c r="X52" i="69"/>
  <c r="V52" i="69"/>
  <c r="N52" i="69"/>
  <c r="L52" i="69"/>
  <c r="B52" i="69"/>
  <c r="Z51" i="69"/>
  <c r="X51" i="69"/>
  <c r="N51" i="69"/>
  <c r="L51" i="69"/>
  <c r="B51" i="69"/>
  <c r="Z50" i="69"/>
  <c r="X50" i="69"/>
  <c r="N50" i="69"/>
  <c r="L50" i="69"/>
  <c r="B50" i="69"/>
  <c r="Z49" i="69"/>
  <c r="X49" i="69"/>
  <c r="V49" i="69"/>
  <c r="N49" i="69"/>
  <c r="L49" i="69"/>
  <c r="B49" i="69"/>
  <c r="Z48" i="69"/>
  <c r="X48" i="69"/>
  <c r="V48" i="69"/>
  <c r="N48" i="69"/>
  <c r="L48" i="69"/>
  <c r="B48" i="69"/>
  <c r="Z47" i="69"/>
  <c r="X47" i="69"/>
  <c r="N47" i="69"/>
  <c r="L47" i="69"/>
  <c r="B47" i="69"/>
  <c r="Z46" i="69"/>
  <c r="X46" i="69"/>
  <c r="N46" i="69"/>
  <c r="L46" i="69"/>
  <c r="B46" i="69"/>
  <c r="Z45" i="69"/>
  <c r="X45" i="69"/>
  <c r="V45" i="69"/>
  <c r="N45" i="69"/>
  <c r="L45" i="69"/>
  <c r="B45" i="69"/>
  <c r="Z44" i="69"/>
  <c r="X44" i="69"/>
  <c r="V44" i="69"/>
  <c r="T44" i="69"/>
  <c r="P44" i="69"/>
  <c r="L44" i="69"/>
  <c r="H44" i="69"/>
  <c r="N44" i="69" s="1"/>
  <c r="D44" i="69"/>
  <c r="Z42" i="69"/>
  <c r="X42" i="69"/>
  <c r="P42" i="69"/>
  <c r="N42" i="69"/>
  <c r="D42" i="69"/>
  <c r="L42" i="69" s="1"/>
  <c r="B42" i="69"/>
  <c r="Z41" i="69"/>
  <c r="P41" i="69"/>
  <c r="X41" i="69" s="1"/>
  <c r="N41" i="69"/>
  <c r="D41" i="69"/>
  <c r="L41" i="69" s="1"/>
  <c r="B41" i="69"/>
  <c r="Z40" i="69"/>
  <c r="X40" i="69"/>
  <c r="P40" i="69"/>
  <c r="N40" i="69"/>
  <c r="D40" i="69"/>
  <c r="L40" i="69" s="1"/>
  <c r="B40" i="69"/>
  <c r="Z39" i="69"/>
  <c r="X39" i="69"/>
  <c r="P39" i="69"/>
  <c r="N39" i="69"/>
  <c r="D39" i="69"/>
  <c r="L39" i="69" s="1"/>
  <c r="B39" i="69"/>
  <c r="Z38" i="69"/>
  <c r="X38" i="69"/>
  <c r="P38" i="69"/>
  <c r="N38" i="69"/>
  <c r="D38" i="69"/>
  <c r="L38" i="69" s="1"/>
  <c r="B38" i="69"/>
  <c r="Z37" i="69"/>
  <c r="P37" i="69"/>
  <c r="X37" i="69" s="1"/>
  <c r="N37" i="69"/>
  <c r="L37" i="69"/>
  <c r="D37" i="69"/>
  <c r="B37" i="69"/>
  <c r="Z36" i="69"/>
  <c r="X36" i="69"/>
  <c r="P36" i="69"/>
  <c r="N36" i="69"/>
  <c r="L36" i="69"/>
  <c r="D36" i="69"/>
  <c r="B36" i="69"/>
  <c r="Z35" i="69"/>
  <c r="X35" i="69"/>
  <c r="P35" i="69"/>
  <c r="N35" i="69"/>
  <c r="L35" i="69"/>
  <c r="D35" i="69"/>
  <c r="B35" i="69"/>
  <c r="Z34" i="69"/>
  <c r="P34" i="69"/>
  <c r="X34" i="69" s="1"/>
  <c r="N34" i="69"/>
  <c r="D34" i="69"/>
  <c r="L34" i="69" s="1"/>
  <c r="B34" i="69"/>
  <c r="Z33" i="69"/>
  <c r="P33" i="69"/>
  <c r="X33" i="69" s="1"/>
  <c r="N33" i="69"/>
  <c r="L33" i="69"/>
  <c r="D33" i="69"/>
  <c r="B33" i="69"/>
  <c r="Z32" i="69"/>
  <c r="P32" i="69"/>
  <c r="X32" i="69" s="1"/>
  <c r="N32" i="69"/>
  <c r="L32" i="69"/>
  <c r="D32" i="69"/>
  <c r="B32" i="69"/>
  <c r="Z31" i="69"/>
  <c r="P31" i="69"/>
  <c r="X31" i="69" s="1"/>
  <c r="N31" i="69"/>
  <c r="D31" i="69"/>
  <c r="L31" i="69" s="1"/>
  <c r="B31" i="69"/>
  <c r="Z30" i="69"/>
  <c r="P30" i="69"/>
  <c r="X30" i="69" s="1"/>
  <c r="N30" i="69"/>
  <c r="D30" i="69"/>
  <c r="L30" i="69" s="1"/>
  <c r="B30" i="69"/>
  <c r="P29" i="69"/>
  <c r="X29" i="69" s="1"/>
  <c r="Z29" i="69" s="1"/>
  <c r="D29" i="69"/>
  <c r="L29" i="69" s="1"/>
  <c r="N29" i="69" s="1"/>
  <c r="B29" i="69"/>
  <c r="Z28" i="69"/>
  <c r="X28" i="69"/>
  <c r="P28" i="69"/>
  <c r="N28" i="69"/>
  <c r="D28" i="69"/>
  <c r="L28" i="69" s="1"/>
  <c r="B28" i="69"/>
  <c r="Z27" i="69"/>
  <c r="X27" i="69"/>
  <c r="P27" i="69"/>
  <c r="N27" i="69"/>
  <c r="D27" i="69"/>
  <c r="L27" i="69" s="1"/>
  <c r="B27" i="69"/>
  <c r="Z26" i="69"/>
  <c r="X26" i="69"/>
  <c r="P26" i="69"/>
  <c r="N26" i="69"/>
  <c r="D26" i="69"/>
  <c r="L26" i="69" s="1"/>
  <c r="B26" i="69"/>
  <c r="Z25" i="69"/>
  <c r="P25" i="69"/>
  <c r="X25" i="69" s="1"/>
  <c r="N25" i="69"/>
  <c r="L25" i="69"/>
  <c r="D25" i="69"/>
  <c r="B25" i="69"/>
  <c r="Z24" i="69"/>
  <c r="X24" i="69"/>
  <c r="P24" i="69"/>
  <c r="N24" i="69"/>
  <c r="L24" i="69"/>
  <c r="D24" i="69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P21" i="69"/>
  <c r="X21" i="69" s="1"/>
  <c r="N21" i="69"/>
  <c r="L21" i="69"/>
  <c r="D21" i="69"/>
  <c r="B21" i="69"/>
  <c r="Z20" i="69"/>
  <c r="P20" i="69"/>
  <c r="X20" i="69" s="1"/>
  <c r="N20" i="69"/>
  <c r="L20" i="69"/>
  <c r="D20" i="69"/>
  <c r="B20" i="69"/>
  <c r="Z19" i="69"/>
  <c r="P19" i="69"/>
  <c r="X19" i="69" s="1"/>
  <c r="N19" i="69"/>
  <c r="D19" i="69"/>
  <c r="L19" i="69" s="1"/>
  <c r="B19" i="69"/>
  <c r="Z18" i="69"/>
  <c r="P18" i="69"/>
  <c r="X18" i="69" s="1"/>
  <c r="N18" i="69"/>
  <c r="D18" i="69"/>
  <c r="L18" i="69" s="1"/>
  <c r="B18" i="69"/>
  <c r="Z17" i="69"/>
  <c r="P17" i="69"/>
  <c r="X17" i="69" s="1"/>
  <c r="N17" i="69"/>
  <c r="D17" i="69"/>
  <c r="L17" i="69" s="1"/>
  <c r="B17" i="69"/>
  <c r="Z16" i="69"/>
  <c r="X16" i="69"/>
  <c r="P16" i="69"/>
  <c r="N16" i="69"/>
  <c r="D16" i="69"/>
  <c r="L16" i="69" s="1"/>
  <c r="B16" i="69"/>
  <c r="Z15" i="69"/>
  <c r="X15" i="69"/>
  <c r="P15" i="69"/>
  <c r="N15" i="69"/>
  <c r="D15" i="69"/>
  <c r="D12" i="69" s="1"/>
  <c r="F95" i="69" s="1"/>
  <c r="B15" i="69"/>
  <c r="Z14" i="69"/>
  <c r="X14" i="69"/>
  <c r="P14" i="69"/>
  <c r="N14" i="69"/>
  <c r="D14" i="69"/>
  <c r="L14" i="69" s="1"/>
  <c r="B14" i="69"/>
  <c r="P13" i="69"/>
  <c r="N13" i="69"/>
  <c r="L13" i="69"/>
  <c r="D13" i="69"/>
  <c r="B13" i="69"/>
  <c r="T12" i="69"/>
  <c r="V106" i="69" s="1"/>
  <c r="H12" i="69"/>
  <c r="J58" i="69" s="1"/>
  <c r="D6" i="69"/>
  <c r="D4" i="69"/>
  <c r="J71" i="68"/>
  <c r="F71" i="68"/>
  <c r="J68" i="68"/>
  <c r="F68" i="68"/>
  <c r="Z66" i="68"/>
  <c r="X66" i="68"/>
  <c r="N66" i="68"/>
  <c r="L66" i="68"/>
  <c r="J66" i="68"/>
  <c r="V64" i="68"/>
  <c r="F64" i="68"/>
  <c r="Z62" i="68"/>
  <c r="X62" i="68"/>
  <c r="V62" i="68"/>
  <c r="T62" i="68"/>
  <c r="P62" i="68"/>
  <c r="L62" i="68"/>
  <c r="H62" i="68"/>
  <c r="N62" i="68" s="1"/>
  <c r="F62" i="68"/>
  <c r="D62" i="68"/>
  <c r="Z60" i="68"/>
  <c r="X60" i="68"/>
  <c r="V60" i="68"/>
  <c r="N60" i="68"/>
  <c r="L60" i="68"/>
  <c r="F60" i="68"/>
  <c r="B60" i="68"/>
  <c r="T59" i="68"/>
  <c r="Z59" i="68" s="1"/>
  <c r="R59" i="68"/>
  <c r="P59" i="68"/>
  <c r="N59" i="68"/>
  <c r="J59" i="68"/>
  <c r="H59" i="68"/>
  <c r="F59" i="68"/>
  <c r="D59" i="68"/>
  <c r="L59" i="68" s="1"/>
  <c r="B59" i="68"/>
  <c r="Z58" i="68"/>
  <c r="X58" i="68"/>
  <c r="V58" i="68"/>
  <c r="R58" i="68"/>
  <c r="N58" i="68"/>
  <c r="L58" i="68"/>
  <c r="F58" i="68"/>
  <c r="B58" i="68"/>
  <c r="T57" i="68"/>
  <c r="P57" i="68"/>
  <c r="X57" i="68" s="1"/>
  <c r="Z57" i="68" s="1"/>
  <c r="L57" i="68"/>
  <c r="N57" i="68" s="1"/>
  <c r="H57" i="68"/>
  <c r="F57" i="68"/>
  <c r="D57" i="68"/>
  <c r="B57" i="68"/>
  <c r="X56" i="68"/>
  <c r="Z56" i="68" s="1"/>
  <c r="V56" i="68"/>
  <c r="N56" i="68"/>
  <c r="L56" i="68"/>
  <c r="J56" i="68"/>
  <c r="B56" i="68"/>
  <c r="Z55" i="68"/>
  <c r="X55" i="68"/>
  <c r="V55" i="68"/>
  <c r="N55" i="68"/>
  <c r="L55" i="68"/>
  <c r="F55" i="68"/>
  <c r="B55" i="68"/>
  <c r="Z54" i="68"/>
  <c r="X54" i="68"/>
  <c r="L54" i="68"/>
  <c r="N54" i="68" s="1"/>
  <c r="B54" i="68"/>
  <c r="V53" i="68"/>
  <c r="T53" i="68"/>
  <c r="P53" i="68"/>
  <c r="J53" i="68"/>
  <c r="H53" i="68"/>
  <c r="D53" i="68"/>
  <c r="L53" i="68" s="1"/>
  <c r="N53" i="68" s="1"/>
  <c r="B53" i="68"/>
  <c r="Z52" i="68"/>
  <c r="X52" i="68"/>
  <c r="V52" i="68"/>
  <c r="L52" i="68"/>
  <c r="N52" i="68" s="1"/>
  <c r="F52" i="68"/>
  <c r="B52" i="68"/>
  <c r="Z51" i="68"/>
  <c r="X51" i="68"/>
  <c r="R51" i="68"/>
  <c r="N51" i="68"/>
  <c r="L51" i="68"/>
  <c r="B51" i="68"/>
  <c r="X50" i="68"/>
  <c r="T50" i="68"/>
  <c r="Z50" i="68" s="1"/>
  <c r="P50" i="68"/>
  <c r="L50" i="68"/>
  <c r="N50" i="68" s="1"/>
  <c r="J50" i="68"/>
  <c r="H50" i="68"/>
  <c r="D50" i="68"/>
  <c r="B50" i="68"/>
  <c r="Z49" i="68"/>
  <c r="X49" i="68"/>
  <c r="N49" i="68"/>
  <c r="L49" i="68"/>
  <c r="J49" i="68"/>
  <c r="F49" i="68"/>
  <c r="B49" i="68"/>
  <c r="X48" i="68"/>
  <c r="T48" i="68"/>
  <c r="Z48" i="68" s="1"/>
  <c r="P48" i="68"/>
  <c r="J48" i="68"/>
  <c r="H48" i="68"/>
  <c r="N48" i="68" s="1"/>
  <c r="F48" i="68"/>
  <c r="D48" i="68"/>
  <c r="L48" i="68" s="1"/>
  <c r="B48" i="68"/>
  <c r="Z47" i="68"/>
  <c r="X47" i="68"/>
  <c r="V47" i="68"/>
  <c r="L47" i="68"/>
  <c r="N47" i="68" s="1"/>
  <c r="F47" i="68"/>
  <c r="B47" i="68"/>
  <c r="T46" i="68"/>
  <c r="P46" i="68"/>
  <c r="X46" i="68" s="1"/>
  <c r="Z46" i="68" s="1"/>
  <c r="J46" i="68"/>
  <c r="H46" i="68"/>
  <c r="F46" i="68"/>
  <c r="D46" i="68"/>
  <c r="L46" i="68" s="1"/>
  <c r="N46" i="68" s="1"/>
  <c r="B46" i="68"/>
  <c r="Z45" i="68"/>
  <c r="X45" i="68"/>
  <c r="V45" i="68"/>
  <c r="N45" i="68"/>
  <c r="L45" i="68"/>
  <c r="F45" i="68"/>
  <c r="B45" i="68"/>
  <c r="Z44" i="68"/>
  <c r="X44" i="68"/>
  <c r="V44" i="68"/>
  <c r="T44" i="68"/>
  <c r="P44" i="68"/>
  <c r="L44" i="68"/>
  <c r="H44" i="68"/>
  <c r="N44" i="68" s="1"/>
  <c r="F44" i="68"/>
  <c r="D44" i="68"/>
  <c r="B44" i="68"/>
  <c r="X43" i="68"/>
  <c r="Z43" i="68" s="1"/>
  <c r="N43" i="68"/>
  <c r="L43" i="68"/>
  <c r="J43" i="68"/>
  <c r="B43" i="68"/>
  <c r="V42" i="68"/>
  <c r="T42" i="68"/>
  <c r="R42" i="68"/>
  <c r="P42" i="68"/>
  <c r="X42" i="68" s="1"/>
  <c r="L42" i="68"/>
  <c r="H42" i="68"/>
  <c r="N42" i="68" s="1"/>
  <c r="D42" i="68"/>
  <c r="B42" i="68"/>
  <c r="X41" i="68"/>
  <c r="Z41" i="68" s="1"/>
  <c r="V41" i="68"/>
  <c r="R41" i="68"/>
  <c r="N41" i="68"/>
  <c r="L41" i="68"/>
  <c r="J41" i="68"/>
  <c r="B41" i="68"/>
  <c r="V40" i="68"/>
  <c r="T40" i="68"/>
  <c r="R40" i="68"/>
  <c r="P40" i="68"/>
  <c r="X40" i="68" s="1"/>
  <c r="Z40" i="68" s="1"/>
  <c r="N40" i="68"/>
  <c r="H40" i="68"/>
  <c r="D40" i="68"/>
  <c r="L40" i="68" s="1"/>
  <c r="B40" i="68"/>
  <c r="Z39" i="68"/>
  <c r="X39" i="68"/>
  <c r="R39" i="68"/>
  <c r="N39" i="68"/>
  <c r="L39" i="68"/>
  <c r="B39" i="68"/>
  <c r="Z38" i="68"/>
  <c r="X38" i="68"/>
  <c r="N38" i="68"/>
  <c r="L38" i="68"/>
  <c r="J38" i="68"/>
  <c r="F38" i="68"/>
  <c r="B38" i="68"/>
  <c r="Z37" i="68"/>
  <c r="X37" i="68"/>
  <c r="V37" i="68"/>
  <c r="N37" i="68"/>
  <c r="L37" i="68"/>
  <c r="F37" i="68"/>
  <c r="B37" i="68"/>
  <c r="X36" i="68"/>
  <c r="Z36" i="68" s="1"/>
  <c r="V36" i="68"/>
  <c r="N36" i="68"/>
  <c r="L36" i="68"/>
  <c r="F36" i="68"/>
  <c r="B36" i="68"/>
  <c r="Z35" i="68"/>
  <c r="X35" i="68"/>
  <c r="R35" i="68"/>
  <c r="N35" i="68"/>
  <c r="L35" i="68"/>
  <c r="B35" i="68"/>
  <c r="Z34" i="68"/>
  <c r="X34" i="68"/>
  <c r="N34" i="68"/>
  <c r="L34" i="68"/>
  <c r="J34" i="68"/>
  <c r="F34" i="68"/>
  <c r="B34" i="68"/>
  <c r="Z33" i="68"/>
  <c r="X33" i="68"/>
  <c r="V33" i="68"/>
  <c r="N33" i="68"/>
  <c r="L33" i="68"/>
  <c r="F33" i="68"/>
  <c r="B33" i="68"/>
  <c r="Z32" i="68"/>
  <c r="X32" i="68"/>
  <c r="V32" i="68"/>
  <c r="N32" i="68"/>
  <c r="L32" i="68"/>
  <c r="F32" i="68"/>
  <c r="B32" i="68"/>
  <c r="X31" i="68"/>
  <c r="Z31" i="68" s="1"/>
  <c r="R31" i="68"/>
  <c r="L31" i="68"/>
  <c r="N31" i="68" s="1"/>
  <c r="B31" i="68"/>
  <c r="X30" i="68"/>
  <c r="Z30" i="68" s="1"/>
  <c r="N30" i="68"/>
  <c r="L30" i="68"/>
  <c r="J30" i="68"/>
  <c r="F30" i="68"/>
  <c r="B30" i="68"/>
  <c r="V29" i="68"/>
  <c r="T29" i="68"/>
  <c r="P29" i="68"/>
  <c r="X29" i="68" s="1"/>
  <c r="Z29" i="68" s="1"/>
  <c r="H29" i="68"/>
  <c r="F29" i="68"/>
  <c r="D29" i="68"/>
  <c r="L29" i="68" s="1"/>
  <c r="B29" i="68"/>
  <c r="Z28" i="68"/>
  <c r="X28" i="68"/>
  <c r="N28" i="68"/>
  <c r="L28" i="68"/>
  <c r="J28" i="68"/>
  <c r="B28" i="68"/>
  <c r="Z27" i="68"/>
  <c r="X27" i="68"/>
  <c r="V27" i="68"/>
  <c r="N27" i="68"/>
  <c r="L27" i="68"/>
  <c r="J27" i="68"/>
  <c r="B27" i="68"/>
  <c r="Z26" i="68"/>
  <c r="X26" i="68"/>
  <c r="V26" i="68"/>
  <c r="R26" i="68"/>
  <c r="N26" i="68"/>
  <c r="L26" i="68"/>
  <c r="F26" i="68"/>
  <c r="B26" i="68"/>
  <c r="Z25" i="68"/>
  <c r="X25" i="68"/>
  <c r="V25" i="68"/>
  <c r="N25" i="68"/>
  <c r="L25" i="68"/>
  <c r="J25" i="68"/>
  <c r="F25" i="68"/>
  <c r="B25" i="68"/>
  <c r="X24" i="68"/>
  <c r="Z24" i="68" s="1"/>
  <c r="L24" i="68"/>
  <c r="N24" i="68" s="1"/>
  <c r="J24" i="68"/>
  <c r="B24" i="68"/>
  <c r="Z23" i="68"/>
  <c r="X23" i="68"/>
  <c r="V23" i="68"/>
  <c r="N23" i="68"/>
  <c r="L23" i="68"/>
  <c r="J23" i="68"/>
  <c r="B23" i="68"/>
  <c r="Z22" i="68"/>
  <c r="X22" i="68"/>
  <c r="V22" i="68"/>
  <c r="R22" i="68"/>
  <c r="N22" i="68"/>
  <c r="L22" i="68"/>
  <c r="F22" i="68"/>
  <c r="B22" i="68"/>
  <c r="Z21" i="68"/>
  <c r="X21" i="68"/>
  <c r="V21" i="68"/>
  <c r="L21" i="68"/>
  <c r="N21" i="68" s="1"/>
  <c r="J21" i="68"/>
  <c r="F21" i="68"/>
  <c r="B21" i="68"/>
  <c r="X20" i="68"/>
  <c r="Z20" i="68" s="1"/>
  <c r="L20" i="68"/>
  <c r="N20" i="68" s="1"/>
  <c r="J20" i="68"/>
  <c r="B20" i="68"/>
  <c r="X19" i="68"/>
  <c r="Z19" i="68" s="1"/>
  <c r="V19" i="68"/>
  <c r="T19" i="68"/>
  <c r="P19" i="68"/>
  <c r="J19" i="68"/>
  <c r="H19" i="68"/>
  <c r="D19" i="68"/>
  <c r="L19" i="68" s="1"/>
  <c r="N19" i="68" s="1"/>
  <c r="B19" i="68"/>
  <c r="T18" i="68"/>
  <c r="P18" i="68"/>
  <c r="X18" i="68" s="1"/>
  <c r="Z18" i="68" s="1"/>
  <c r="J18" i="68"/>
  <c r="H18" i="68"/>
  <c r="F18" i="68"/>
  <c r="D18" i="68"/>
  <c r="L18" i="68" s="1"/>
  <c r="N18" i="68" s="1"/>
  <c r="J16" i="68"/>
  <c r="F16" i="68"/>
  <c r="D16" i="68"/>
  <c r="Z14" i="68"/>
  <c r="T14" i="68"/>
  <c r="T16" i="68" s="1"/>
  <c r="T64" i="68" s="1"/>
  <c r="T68" i="68" s="1"/>
  <c r="P14" i="68"/>
  <c r="X14" i="68" s="1"/>
  <c r="N14" i="68"/>
  <c r="J14" i="68"/>
  <c r="H14" i="68"/>
  <c r="F14" i="68"/>
  <c r="D14" i="68"/>
  <c r="L14" i="68" s="1"/>
  <c r="Z12" i="68"/>
  <c r="T12" i="68"/>
  <c r="V43" i="68" s="1"/>
  <c r="P12" i="68"/>
  <c r="R60" i="68" s="1"/>
  <c r="L12" i="68"/>
  <c r="H12" i="68"/>
  <c r="J57" i="68" s="1"/>
  <c r="D12" i="68"/>
  <c r="F56" i="68" s="1"/>
  <c r="D6" i="68"/>
  <c r="D4" i="68"/>
  <c r="J112" i="64"/>
  <c r="F112" i="64"/>
  <c r="J109" i="64"/>
  <c r="F109" i="64"/>
  <c r="Z107" i="64"/>
  <c r="X107" i="64"/>
  <c r="N107" i="64"/>
  <c r="L107" i="64"/>
  <c r="Z103" i="64"/>
  <c r="X103" i="64"/>
  <c r="P103" i="64"/>
  <c r="J103" i="64"/>
  <c r="D103" i="64"/>
  <c r="L103" i="64" s="1"/>
  <c r="N103" i="64" s="1"/>
  <c r="B103" i="64"/>
  <c r="X102" i="64"/>
  <c r="Z102" i="64" s="1"/>
  <c r="R102" i="64"/>
  <c r="P102" i="64"/>
  <c r="L102" i="64"/>
  <c r="N102" i="64" s="1"/>
  <c r="D102" i="64"/>
  <c r="B102" i="64"/>
  <c r="P101" i="64"/>
  <c r="X101" i="64" s="1"/>
  <c r="Z101" i="64" s="1"/>
  <c r="J101" i="64"/>
  <c r="D101" i="64"/>
  <c r="L101" i="64" s="1"/>
  <c r="N101" i="64" s="1"/>
  <c r="B101" i="64"/>
  <c r="T100" i="64"/>
  <c r="R100" i="64"/>
  <c r="J100" i="64"/>
  <c r="H100" i="64"/>
  <c r="X98" i="64"/>
  <c r="Z98" i="64" s="1"/>
  <c r="L98" i="64"/>
  <c r="N98" i="64" s="1"/>
  <c r="B98" i="64"/>
  <c r="X97" i="64"/>
  <c r="T97" i="64"/>
  <c r="Z97" i="64" s="1"/>
  <c r="P97" i="64"/>
  <c r="N97" i="64"/>
  <c r="L97" i="64"/>
  <c r="J97" i="64"/>
  <c r="H97" i="64"/>
  <c r="D97" i="64"/>
  <c r="B97" i="64"/>
  <c r="Z96" i="64"/>
  <c r="X96" i="64"/>
  <c r="N96" i="64"/>
  <c r="L96" i="64"/>
  <c r="J96" i="64"/>
  <c r="F96" i="64"/>
  <c r="B96" i="64"/>
  <c r="Z95" i="64"/>
  <c r="X95" i="64"/>
  <c r="N95" i="64"/>
  <c r="L95" i="64"/>
  <c r="B95" i="64"/>
  <c r="Z94" i="64"/>
  <c r="X94" i="64"/>
  <c r="T94" i="64"/>
  <c r="P94" i="64"/>
  <c r="N94" i="64"/>
  <c r="H94" i="64"/>
  <c r="D94" i="64"/>
  <c r="L94" i="64" s="1"/>
  <c r="B94" i="64"/>
  <c r="Z93" i="64"/>
  <c r="X93" i="64"/>
  <c r="L93" i="64"/>
  <c r="N93" i="64" s="1"/>
  <c r="B93" i="64"/>
  <c r="T92" i="64"/>
  <c r="P92" i="64"/>
  <c r="N92" i="64"/>
  <c r="J92" i="64"/>
  <c r="H92" i="64"/>
  <c r="D92" i="64"/>
  <c r="L92" i="64" s="1"/>
  <c r="B92" i="64"/>
  <c r="Z91" i="64"/>
  <c r="X91" i="64"/>
  <c r="L91" i="64"/>
  <c r="N91" i="64" s="1"/>
  <c r="B91" i="64"/>
  <c r="T90" i="64"/>
  <c r="R90" i="64"/>
  <c r="P90" i="64"/>
  <c r="X90" i="64" s="1"/>
  <c r="J90" i="64"/>
  <c r="H90" i="64"/>
  <c r="D90" i="64"/>
  <c r="L90" i="64" s="1"/>
  <c r="N90" i="64" s="1"/>
  <c r="B90" i="64"/>
  <c r="Z89" i="64"/>
  <c r="X89" i="64"/>
  <c r="R89" i="64"/>
  <c r="N89" i="64"/>
  <c r="L89" i="64"/>
  <c r="F89" i="64"/>
  <c r="B89" i="64"/>
  <c r="Z88" i="64"/>
  <c r="X88" i="64"/>
  <c r="L88" i="64"/>
  <c r="N88" i="64" s="1"/>
  <c r="J88" i="64"/>
  <c r="F88" i="64"/>
  <c r="B88" i="64"/>
  <c r="Z87" i="64"/>
  <c r="X87" i="64"/>
  <c r="N87" i="64"/>
  <c r="L87" i="64"/>
  <c r="J87" i="64"/>
  <c r="B87" i="64"/>
  <c r="Z86" i="64"/>
  <c r="X86" i="64"/>
  <c r="N86" i="64"/>
  <c r="L86" i="64"/>
  <c r="J86" i="64"/>
  <c r="B86" i="64"/>
  <c r="Z85" i="64"/>
  <c r="X85" i="64"/>
  <c r="R85" i="64"/>
  <c r="N85" i="64"/>
  <c r="L85" i="64"/>
  <c r="F85" i="64"/>
  <c r="B85" i="64"/>
  <c r="Z84" i="64"/>
  <c r="X84" i="64"/>
  <c r="N84" i="64"/>
  <c r="L84" i="64"/>
  <c r="J84" i="64"/>
  <c r="F84" i="64"/>
  <c r="B84" i="64"/>
  <c r="X83" i="64"/>
  <c r="T83" i="64"/>
  <c r="Z83" i="64" s="1"/>
  <c r="P83" i="64"/>
  <c r="J83" i="64"/>
  <c r="H83" i="64"/>
  <c r="F83" i="64"/>
  <c r="D83" i="64"/>
  <c r="B83" i="64"/>
  <c r="Z82" i="64"/>
  <c r="X82" i="64"/>
  <c r="N82" i="64"/>
  <c r="L82" i="64"/>
  <c r="F82" i="64"/>
  <c r="B82" i="64"/>
  <c r="Z81" i="64"/>
  <c r="X81" i="64"/>
  <c r="L81" i="64"/>
  <c r="N81" i="64" s="1"/>
  <c r="B81" i="64"/>
  <c r="T80" i="64"/>
  <c r="P80" i="64"/>
  <c r="J80" i="64"/>
  <c r="H80" i="64"/>
  <c r="D80" i="64"/>
  <c r="L80" i="64" s="1"/>
  <c r="N80" i="64" s="1"/>
  <c r="B80" i="64"/>
  <c r="Z79" i="64"/>
  <c r="X79" i="64"/>
  <c r="L79" i="64"/>
  <c r="N79" i="64" s="1"/>
  <c r="B79" i="64"/>
  <c r="Z78" i="64"/>
  <c r="X78" i="64"/>
  <c r="N78" i="64"/>
  <c r="L78" i="64"/>
  <c r="B78" i="64"/>
  <c r="Z77" i="64"/>
  <c r="X77" i="64"/>
  <c r="N77" i="64"/>
  <c r="L77" i="64"/>
  <c r="J77" i="64"/>
  <c r="F77" i="64"/>
  <c r="B77" i="64"/>
  <c r="T76" i="64"/>
  <c r="P76" i="64"/>
  <c r="X76" i="64" s="1"/>
  <c r="Z76" i="64" s="1"/>
  <c r="H76" i="64"/>
  <c r="F76" i="64"/>
  <c r="D76" i="64"/>
  <c r="B76" i="64"/>
  <c r="X75" i="64"/>
  <c r="Z75" i="64" s="1"/>
  <c r="L75" i="64"/>
  <c r="N75" i="64" s="1"/>
  <c r="J75" i="64"/>
  <c r="B75" i="64"/>
  <c r="Z74" i="64"/>
  <c r="X74" i="64"/>
  <c r="N74" i="64"/>
  <c r="L74" i="64"/>
  <c r="J74" i="64"/>
  <c r="B74" i="64"/>
  <c r="Z73" i="64"/>
  <c r="X73" i="64"/>
  <c r="N73" i="64"/>
  <c r="L73" i="64"/>
  <c r="F73" i="64"/>
  <c r="B73" i="64"/>
  <c r="T72" i="64"/>
  <c r="P72" i="64"/>
  <c r="X72" i="64" s="1"/>
  <c r="Z72" i="64" s="1"/>
  <c r="N72" i="64"/>
  <c r="L72" i="64"/>
  <c r="H72" i="64"/>
  <c r="F72" i="64"/>
  <c r="D72" i="64"/>
  <c r="B72" i="64"/>
  <c r="X71" i="64"/>
  <c r="Z71" i="64" s="1"/>
  <c r="L71" i="64"/>
  <c r="N71" i="64" s="1"/>
  <c r="J71" i="64"/>
  <c r="B71" i="64"/>
  <c r="T70" i="64"/>
  <c r="P70" i="64"/>
  <c r="X70" i="64" s="1"/>
  <c r="Z70" i="64" s="1"/>
  <c r="L70" i="64"/>
  <c r="J70" i="64"/>
  <c r="H70" i="64"/>
  <c r="D70" i="64"/>
  <c r="B70" i="64"/>
  <c r="X69" i="64"/>
  <c r="Z69" i="64" s="1"/>
  <c r="N69" i="64"/>
  <c r="L69" i="64"/>
  <c r="J69" i="64"/>
  <c r="F69" i="64"/>
  <c r="B69" i="64"/>
  <c r="V68" i="64"/>
  <c r="T68" i="64"/>
  <c r="P68" i="64"/>
  <c r="X68" i="64" s="1"/>
  <c r="Z68" i="64" s="1"/>
  <c r="H68" i="64"/>
  <c r="D68" i="64"/>
  <c r="L68" i="64" s="1"/>
  <c r="B68" i="64"/>
  <c r="Z67" i="64"/>
  <c r="X67" i="64"/>
  <c r="N67" i="64"/>
  <c r="L67" i="64"/>
  <c r="J67" i="64"/>
  <c r="B67" i="64"/>
  <c r="Z66" i="64"/>
  <c r="X66" i="64"/>
  <c r="T66" i="64"/>
  <c r="P66" i="64"/>
  <c r="N66" i="64"/>
  <c r="H66" i="64"/>
  <c r="D66" i="64"/>
  <c r="L66" i="64" s="1"/>
  <c r="B66" i="64"/>
  <c r="Z65" i="64"/>
  <c r="X65" i="64"/>
  <c r="R65" i="64"/>
  <c r="L65" i="64"/>
  <c r="N65" i="64" s="1"/>
  <c r="B65" i="64"/>
  <c r="T64" i="64"/>
  <c r="P64" i="64"/>
  <c r="J64" i="64"/>
  <c r="H64" i="64"/>
  <c r="D64" i="64"/>
  <c r="L64" i="64" s="1"/>
  <c r="N64" i="64" s="1"/>
  <c r="B64" i="64"/>
  <c r="Z63" i="64"/>
  <c r="X63" i="64"/>
  <c r="L63" i="64"/>
  <c r="N63" i="64" s="1"/>
  <c r="B63" i="64"/>
  <c r="T62" i="64"/>
  <c r="P62" i="64"/>
  <c r="J62" i="64"/>
  <c r="H62" i="64"/>
  <c r="D62" i="64"/>
  <c r="L62" i="64" s="1"/>
  <c r="N62" i="64" s="1"/>
  <c r="B62" i="64"/>
  <c r="Z61" i="64"/>
  <c r="X61" i="64"/>
  <c r="N61" i="64"/>
  <c r="L61" i="64"/>
  <c r="F61" i="64"/>
  <c r="B61" i="64"/>
  <c r="T60" i="64"/>
  <c r="P60" i="64"/>
  <c r="X60" i="64" s="1"/>
  <c r="Z60" i="64" s="1"/>
  <c r="L60" i="64"/>
  <c r="N60" i="64" s="1"/>
  <c r="H60" i="64"/>
  <c r="F60" i="64"/>
  <c r="D60" i="64"/>
  <c r="B60" i="64"/>
  <c r="Z59" i="64"/>
  <c r="X59" i="64"/>
  <c r="L59" i="64"/>
  <c r="N59" i="64" s="1"/>
  <c r="J59" i="64"/>
  <c r="B59" i="64"/>
  <c r="T58" i="64"/>
  <c r="P58" i="64"/>
  <c r="X58" i="64" s="1"/>
  <c r="Z58" i="64" s="1"/>
  <c r="L58" i="64"/>
  <c r="J58" i="64"/>
  <c r="H58" i="64"/>
  <c r="D58" i="64"/>
  <c r="B58" i="64"/>
  <c r="Z57" i="64"/>
  <c r="X57" i="64"/>
  <c r="N57" i="64"/>
  <c r="L57" i="64"/>
  <c r="J57" i="64"/>
  <c r="F57" i="64"/>
  <c r="B57" i="64"/>
  <c r="X56" i="64"/>
  <c r="Z56" i="64" s="1"/>
  <c r="N56" i="64"/>
  <c r="L56" i="64"/>
  <c r="B56" i="64"/>
  <c r="T55" i="64"/>
  <c r="P55" i="64"/>
  <c r="X55" i="64" s="1"/>
  <c r="Z55" i="64" s="1"/>
  <c r="L55" i="64"/>
  <c r="N55" i="64" s="1"/>
  <c r="H55" i="64"/>
  <c r="D55" i="64"/>
  <c r="B55" i="64"/>
  <c r="Z54" i="64"/>
  <c r="X54" i="64"/>
  <c r="N54" i="64"/>
  <c r="L54" i="64"/>
  <c r="J54" i="64"/>
  <c r="B54" i="64"/>
  <c r="Z53" i="64"/>
  <c r="X53" i="64"/>
  <c r="V53" i="64"/>
  <c r="R53" i="64"/>
  <c r="N53" i="64"/>
  <c r="L53" i="64"/>
  <c r="F53" i="64"/>
  <c r="B53" i="64"/>
  <c r="T52" i="64"/>
  <c r="P52" i="64"/>
  <c r="X52" i="64" s="1"/>
  <c r="Z52" i="64" s="1"/>
  <c r="L52" i="64"/>
  <c r="N52" i="64" s="1"/>
  <c r="H52" i="64"/>
  <c r="F52" i="64"/>
  <c r="D52" i="64"/>
  <c r="B52" i="64"/>
  <c r="X51" i="64"/>
  <c r="Z51" i="64" s="1"/>
  <c r="N51" i="64"/>
  <c r="L51" i="64"/>
  <c r="J51" i="64"/>
  <c r="B51" i="64"/>
  <c r="Z50" i="64"/>
  <c r="X50" i="64"/>
  <c r="L50" i="64"/>
  <c r="N50" i="64" s="1"/>
  <c r="B50" i="64"/>
  <c r="Z49" i="64"/>
  <c r="X49" i="64"/>
  <c r="L49" i="64"/>
  <c r="N49" i="64" s="1"/>
  <c r="B49" i="64"/>
  <c r="X48" i="64"/>
  <c r="Z48" i="64" s="1"/>
  <c r="L48" i="64"/>
  <c r="N48" i="64" s="1"/>
  <c r="J48" i="64"/>
  <c r="B48" i="64"/>
  <c r="T47" i="64"/>
  <c r="R47" i="64"/>
  <c r="P47" i="64"/>
  <c r="X47" i="64" s="1"/>
  <c r="Z47" i="64" s="1"/>
  <c r="H47" i="64"/>
  <c r="D47" i="64"/>
  <c r="B47" i="64"/>
  <c r="X46" i="64"/>
  <c r="Z46" i="64" s="1"/>
  <c r="L46" i="64"/>
  <c r="N46" i="64" s="1"/>
  <c r="B46" i="64"/>
  <c r="X45" i="64"/>
  <c r="Z45" i="64" s="1"/>
  <c r="T45" i="64"/>
  <c r="P45" i="64"/>
  <c r="L45" i="64"/>
  <c r="N45" i="64" s="1"/>
  <c r="J45" i="64"/>
  <c r="H45" i="64"/>
  <c r="D45" i="64"/>
  <c r="B45" i="64"/>
  <c r="Z44" i="64"/>
  <c r="X44" i="64"/>
  <c r="N44" i="64"/>
  <c r="L44" i="64"/>
  <c r="J44" i="64"/>
  <c r="F44" i="64"/>
  <c r="B44" i="64"/>
  <c r="X43" i="64"/>
  <c r="Z43" i="64" s="1"/>
  <c r="N43" i="64"/>
  <c r="L43" i="64"/>
  <c r="J43" i="64"/>
  <c r="B43" i="64"/>
  <c r="X42" i="64"/>
  <c r="Z42" i="64" s="1"/>
  <c r="T42" i="64"/>
  <c r="R42" i="64"/>
  <c r="P42" i="64"/>
  <c r="H42" i="64"/>
  <c r="D42" i="64"/>
  <c r="L42" i="64" s="1"/>
  <c r="N42" i="64" s="1"/>
  <c r="B42" i="64"/>
  <c r="Z41" i="64"/>
  <c r="X41" i="64"/>
  <c r="L41" i="64"/>
  <c r="N41" i="64" s="1"/>
  <c r="B41" i="64"/>
  <c r="T40" i="64"/>
  <c r="P40" i="64"/>
  <c r="N40" i="64"/>
  <c r="J40" i="64"/>
  <c r="H40" i="64"/>
  <c r="D40" i="64"/>
  <c r="L40" i="64" s="1"/>
  <c r="B40" i="64"/>
  <c r="Z39" i="64"/>
  <c r="X39" i="64"/>
  <c r="N39" i="64"/>
  <c r="L39" i="64"/>
  <c r="B39" i="64"/>
  <c r="Z38" i="64"/>
  <c r="X38" i="64"/>
  <c r="N38" i="64"/>
  <c r="L38" i="64"/>
  <c r="B38" i="64"/>
  <c r="X37" i="64"/>
  <c r="Z37" i="64" s="1"/>
  <c r="N37" i="64"/>
  <c r="L37" i="64"/>
  <c r="J37" i="64"/>
  <c r="B37" i="64"/>
  <c r="X36" i="64"/>
  <c r="Z36" i="64" s="1"/>
  <c r="V36" i="64"/>
  <c r="N36" i="64"/>
  <c r="L36" i="64"/>
  <c r="F36" i="64"/>
  <c r="B36" i="64"/>
  <c r="Z35" i="64"/>
  <c r="X35" i="64"/>
  <c r="N35" i="64"/>
  <c r="L35" i="64"/>
  <c r="B35" i="64"/>
  <c r="Z34" i="64"/>
  <c r="X34" i="64"/>
  <c r="N34" i="64"/>
  <c r="L34" i="64"/>
  <c r="B34" i="64"/>
  <c r="X33" i="64"/>
  <c r="Z33" i="64" s="1"/>
  <c r="N33" i="64"/>
  <c r="L33" i="64"/>
  <c r="J33" i="64"/>
  <c r="B33" i="64"/>
  <c r="Z32" i="64"/>
  <c r="X32" i="64"/>
  <c r="N32" i="64"/>
  <c r="L32" i="64"/>
  <c r="B32" i="64"/>
  <c r="X31" i="64"/>
  <c r="Z31" i="64" s="1"/>
  <c r="L31" i="64"/>
  <c r="N31" i="64" s="1"/>
  <c r="B31" i="64"/>
  <c r="X30" i="64"/>
  <c r="Z30" i="64" s="1"/>
  <c r="R30" i="64"/>
  <c r="L30" i="64"/>
  <c r="N30" i="64" s="1"/>
  <c r="B30" i="64"/>
  <c r="X29" i="64"/>
  <c r="Z29" i="64" s="1"/>
  <c r="T29" i="64"/>
  <c r="P29" i="64"/>
  <c r="J29" i="64"/>
  <c r="H29" i="64"/>
  <c r="D29" i="64"/>
  <c r="L29" i="64" s="1"/>
  <c r="N29" i="64" s="1"/>
  <c r="B29" i="64"/>
  <c r="Z28" i="64"/>
  <c r="X28" i="64"/>
  <c r="L28" i="64"/>
  <c r="N28" i="64" s="1"/>
  <c r="J28" i="64"/>
  <c r="F28" i="64"/>
  <c r="B28" i="64"/>
  <c r="X27" i="64"/>
  <c r="Z27" i="64" s="1"/>
  <c r="R27" i="64"/>
  <c r="N27" i="64"/>
  <c r="L27" i="64"/>
  <c r="J27" i="64"/>
  <c r="B27" i="64"/>
  <c r="Z26" i="64"/>
  <c r="X26" i="64"/>
  <c r="N26" i="64"/>
  <c r="L26" i="64"/>
  <c r="J26" i="64"/>
  <c r="B26" i="64"/>
  <c r="Z25" i="64"/>
  <c r="X25" i="64"/>
  <c r="R25" i="64"/>
  <c r="N25" i="64"/>
  <c r="L25" i="64"/>
  <c r="F25" i="64"/>
  <c r="B25" i="64"/>
  <c r="Z24" i="64"/>
  <c r="X24" i="64"/>
  <c r="L24" i="64"/>
  <c r="N24" i="64" s="1"/>
  <c r="J24" i="64"/>
  <c r="F24" i="64"/>
  <c r="B24" i="64"/>
  <c r="X23" i="64"/>
  <c r="Z23" i="64" s="1"/>
  <c r="N23" i="64"/>
  <c r="L23" i="64"/>
  <c r="J23" i="64"/>
  <c r="B23" i="64"/>
  <c r="X22" i="64"/>
  <c r="Z22" i="64" s="1"/>
  <c r="N22" i="64"/>
  <c r="L22" i="64"/>
  <c r="J22" i="64"/>
  <c r="B22" i="64"/>
  <c r="Z21" i="64"/>
  <c r="X21" i="64"/>
  <c r="N21" i="64"/>
  <c r="L21" i="64"/>
  <c r="F21" i="64"/>
  <c r="B21" i="64"/>
  <c r="Z20" i="64"/>
  <c r="X20" i="64"/>
  <c r="R20" i="64"/>
  <c r="L20" i="64"/>
  <c r="N20" i="64" s="1"/>
  <c r="J20" i="64"/>
  <c r="F20" i="64"/>
  <c r="B20" i="64"/>
  <c r="X19" i="64"/>
  <c r="T19" i="64"/>
  <c r="P19" i="64"/>
  <c r="J19" i="64"/>
  <c r="H19" i="64"/>
  <c r="N19" i="64" s="1"/>
  <c r="D19" i="64"/>
  <c r="L19" i="64" s="1"/>
  <c r="B19" i="64"/>
  <c r="Z18" i="64"/>
  <c r="T18" i="64"/>
  <c r="P18" i="64"/>
  <c r="X18" i="64" s="1"/>
  <c r="J18" i="64"/>
  <c r="H18" i="64"/>
  <c r="D18" i="64"/>
  <c r="P16" i="64"/>
  <c r="L16" i="64"/>
  <c r="J16" i="64"/>
  <c r="H16" i="64"/>
  <c r="Z14" i="64"/>
  <c r="T14" i="64"/>
  <c r="P14" i="64"/>
  <c r="X14" i="64" s="1"/>
  <c r="J14" i="64"/>
  <c r="H14" i="64"/>
  <c r="N14" i="64" s="1"/>
  <c r="D14" i="64"/>
  <c r="D16" i="64" s="1"/>
  <c r="Z12" i="64"/>
  <c r="T12" i="64"/>
  <c r="V25" i="64" s="1"/>
  <c r="P12" i="64"/>
  <c r="R81" i="64" s="1"/>
  <c r="L12" i="64"/>
  <c r="H12" i="64"/>
  <c r="J98" i="64" s="1"/>
  <c r="D12" i="64"/>
  <c r="F50" i="64" s="1"/>
  <c r="D6" i="64"/>
  <c r="D4" i="64"/>
  <c r="R69" i="61"/>
  <c r="J69" i="61"/>
  <c r="R66" i="61"/>
  <c r="J66" i="61"/>
  <c r="Z64" i="61"/>
  <c r="X64" i="61"/>
  <c r="N64" i="61"/>
  <c r="L64" i="61"/>
  <c r="J64" i="61"/>
  <c r="J62" i="61"/>
  <c r="F62" i="61"/>
  <c r="Z60" i="61"/>
  <c r="X60" i="61"/>
  <c r="T60" i="61"/>
  <c r="P60" i="61"/>
  <c r="J60" i="61"/>
  <c r="H60" i="61"/>
  <c r="N60" i="61" s="1"/>
  <c r="F60" i="61"/>
  <c r="D60" i="61"/>
  <c r="X58" i="61"/>
  <c r="Z58" i="61" s="1"/>
  <c r="N58" i="61"/>
  <c r="L58" i="61"/>
  <c r="J58" i="61"/>
  <c r="B58" i="61"/>
  <c r="X57" i="61"/>
  <c r="Z57" i="61" s="1"/>
  <c r="T57" i="61"/>
  <c r="P57" i="61"/>
  <c r="J57" i="61"/>
  <c r="H57" i="61"/>
  <c r="N57" i="61" s="1"/>
  <c r="D57" i="61"/>
  <c r="L57" i="61" s="1"/>
  <c r="B57" i="61"/>
  <c r="Z56" i="61"/>
  <c r="X56" i="61"/>
  <c r="L56" i="61"/>
  <c r="N56" i="61" s="1"/>
  <c r="J56" i="61"/>
  <c r="B56" i="61"/>
  <c r="V55" i="61"/>
  <c r="T55" i="61"/>
  <c r="P55" i="61"/>
  <c r="J55" i="61"/>
  <c r="H55" i="61"/>
  <c r="D55" i="61"/>
  <c r="L55" i="61" s="1"/>
  <c r="B55" i="61"/>
  <c r="X54" i="61"/>
  <c r="Z54" i="61" s="1"/>
  <c r="V54" i="61"/>
  <c r="L54" i="61"/>
  <c r="N54" i="61" s="1"/>
  <c r="B54" i="61"/>
  <c r="T53" i="61"/>
  <c r="R53" i="61"/>
  <c r="P53" i="61"/>
  <c r="J53" i="61"/>
  <c r="H53" i="61"/>
  <c r="D53" i="61"/>
  <c r="L53" i="61" s="1"/>
  <c r="N53" i="61" s="1"/>
  <c r="B53" i="61"/>
  <c r="Z52" i="61"/>
  <c r="X52" i="61"/>
  <c r="V52" i="61"/>
  <c r="R52" i="61"/>
  <c r="N52" i="61"/>
  <c r="L52" i="61"/>
  <c r="J52" i="61"/>
  <c r="B52" i="61"/>
  <c r="X51" i="61"/>
  <c r="Z51" i="61" s="1"/>
  <c r="R51" i="61"/>
  <c r="L51" i="61"/>
  <c r="N51" i="61" s="1"/>
  <c r="J51" i="61"/>
  <c r="F51" i="61"/>
  <c r="B51" i="61"/>
  <c r="X50" i="61"/>
  <c r="Z50" i="61" s="1"/>
  <c r="T50" i="61"/>
  <c r="R50" i="61"/>
  <c r="P50" i="61"/>
  <c r="J50" i="61"/>
  <c r="H50" i="61"/>
  <c r="F50" i="61"/>
  <c r="D50" i="61"/>
  <c r="B50" i="61"/>
  <c r="Z49" i="61"/>
  <c r="X49" i="61"/>
  <c r="R49" i="61"/>
  <c r="L49" i="61"/>
  <c r="N49" i="61" s="1"/>
  <c r="F49" i="61"/>
  <c r="B49" i="61"/>
  <c r="Z48" i="61"/>
  <c r="T48" i="61"/>
  <c r="P48" i="61"/>
  <c r="X48" i="61" s="1"/>
  <c r="J48" i="61"/>
  <c r="H48" i="61"/>
  <c r="F48" i="61"/>
  <c r="D48" i="61"/>
  <c r="L48" i="61" s="1"/>
  <c r="N48" i="61" s="1"/>
  <c r="B48" i="61"/>
  <c r="Z47" i="61"/>
  <c r="X47" i="61"/>
  <c r="N47" i="61"/>
  <c r="L47" i="61"/>
  <c r="J47" i="61"/>
  <c r="F47" i="61"/>
  <c r="B47" i="61"/>
  <c r="Z46" i="61"/>
  <c r="X46" i="61"/>
  <c r="V46" i="61"/>
  <c r="T46" i="61"/>
  <c r="P46" i="61"/>
  <c r="L46" i="61"/>
  <c r="J46" i="61"/>
  <c r="H46" i="61"/>
  <c r="N46" i="61" s="1"/>
  <c r="F46" i="61"/>
  <c r="D46" i="61"/>
  <c r="B46" i="61"/>
  <c r="Z45" i="61"/>
  <c r="X45" i="61"/>
  <c r="N45" i="61"/>
  <c r="L45" i="61"/>
  <c r="J45" i="61"/>
  <c r="F45" i="61"/>
  <c r="B45" i="61"/>
  <c r="V44" i="61"/>
  <c r="T44" i="61"/>
  <c r="R44" i="61"/>
  <c r="P44" i="61"/>
  <c r="X44" i="61" s="1"/>
  <c r="L44" i="61"/>
  <c r="N44" i="61" s="1"/>
  <c r="H44" i="61"/>
  <c r="F44" i="61"/>
  <c r="D44" i="61"/>
  <c r="B44" i="61"/>
  <c r="X43" i="61"/>
  <c r="Z43" i="61" s="1"/>
  <c r="V43" i="61"/>
  <c r="R43" i="61"/>
  <c r="L43" i="61"/>
  <c r="N43" i="61" s="1"/>
  <c r="J43" i="61"/>
  <c r="B43" i="61"/>
  <c r="T42" i="61"/>
  <c r="R42" i="61"/>
  <c r="P42" i="61"/>
  <c r="X42" i="61" s="1"/>
  <c r="Z42" i="61" s="1"/>
  <c r="J42" i="61"/>
  <c r="H42" i="61"/>
  <c r="D42" i="61"/>
  <c r="L42" i="61" s="1"/>
  <c r="N42" i="61" s="1"/>
  <c r="B42" i="61"/>
  <c r="X41" i="61"/>
  <c r="Z41" i="61" s="1"/>
  <c r="R41" i="61"/>
  <c r="L41" i="61"/>
  <c r="N41" i="61" s="1"/>
  <c r="J41" i="61"/>
  <c r="B41" i="61"/>
  <c r="X40" i="61"/>
  <c r="T40" i="61"/>
  <c r="Z40" i="61" s="1"/>
  <c r="R40" i="61"/>
  <c r="P40" i="61"/>
  <c r="N40" i="61"/>
  <c r="L40" i="61"/>
  <c r="J40" i="61"/>
  <c r="H40" i="61"/>
  <c r="D40" i="61"/>
  <c r="B40" i="61"/>
  <c r="Z39" i="61"/>
  <c r="X39" i="61"/>
  <c r="R39" i="61"/>
  <c r="N39" i="61"/>
  <c r="L39" i="61"/>
  <c r="J39" i="61"/>
  <c r="F39" i="61"/>
  <c r="B39" i="61"/>
  <c r="Z38" i="61"/>
  <c r="X38" i="61"/>
  <c r="N38" i="61"/>
  <c r="L38" i="61"/>
  <c r="J38" i="61"/>
  <c r="B38" i="61"/>
  <c r="Z37" i="61"/>
  <c r="X37" i="61"/>
  <c r="N37" i="61"/>
  <c r="L37" i="61"/>
  <c r="J37" i="61"/>
  <c r="F37" i="61"/>
  <c r="B37" i="61"/>
  <c r="Z36" i="61"/>
  <c r="X36" i="61"/>
  <c r="V36" i="61"/>
  <c r="R36" i="61"/>
  <c r="N36" i="61"/>
  <c r="L36" i="61"/>
  <c r="J36" i="61"/>
  <c r="B36" i="61"/>
  <c r="Z35" i="61"/>
  <c r="X35" i="61"/>
  <c r="R35" i="61"/>
  <c r="N35" i="61"/>
  <c r="L35" i="61"/>
  <c r="J35" i="61"/>
  <c r="F35" i="61"/>
  <c r="B35" i="61"/>
  <c r="Z34" i="61"/>
  <c r="X34" i="61"/>
  <c r="N34" i="61"/>
  <c r="L34" i="61"/>
  <c r="J34" i="61"/>
  <c r="B34" i="61"/>
  <c r="X33" i="61"/>
  <c r="Z33" i="61" s="1"/>
  <c r="N33" i="61"/>
  <c r="L33" i="61"/>
  <c r="J33" i="61"/>
  <c r="F33" i="61"/>
  <c r="B33" i="61"/>
  <c r="Z32" i="61"/>
  <c r="X32" i="61"/>
  <c r="R32" i="61"/>
  <c r="N32" i="61"/>
  <c r="L32" i="61"/>
  <c r="J32" i="61"/>
  <c r="B32" i="61"/>
  <c r="Z31" i="61"/>
  <c r="X31" i="61"/>
  <c r="R31" i="61"/>
  <c r="N31" i="61"/>
  <c r="L31" i="61"/>
  <c r="J31" i="61"/>
  <c r="F31" i="61"/>
  <c r="B31" i="61"/>
  <c r="X30" i="61"/>
  <c r="Z30" i="61" s="1"/>
  <c r="N30" i="61"/>
  <c r="L30" i="61"/>
  <c r="J30" i="61"/>
  <c r="B30" i="61"/>
  <c r="X29" i="61"/>
  <c r="Z29" i="61" s="1"/>
  <c r="T29" i="61"/>
  <c r="P29" i="61"/>
  <c r="J29" i="61"/>
  <c r="H29" i="61"/>
  <c r="D29" i="61"/>
  <c r="L29" i="61" s="1"/>
  <c r="B29" i="61"/>
  <c r="Z28" i="61"/>
  <c r="X28" i="61"/>
  <c r="N28" i="61"/>
  <c r="L28" i="61"/>
  <c r="J28" i="61"/>
  <c r="B28" i="61"/>
  <c r="X27" i="61"/>
  <c r="Z27" i="61" s="1"/>
  <c r="V27" i="61"/>
  <c r="R27" i="61"/>
  <c r="L27" i="61"/>
  <c r="N27" i="61" s="1"/>
  <c r="J27" i="61"/>
  <c r="B27" i="61"/>
  <c r="Z26" i="61"/>
  <c r="X26" i="61"/>
  <c r="N26" i="61"/>
  <c r="L26" i="61"/>
  <c r="J26" i="61"/>
  <c r="B26" i="61"/>
  <c r="Z25" i="61"/>
  <c r="X25" i="61"/>
  <c r="R25" i="61"/>
  <c r="N25" i="61"/>
  <c r="L25" i="61"/>
  <c r="F25" i="61"/>
  <c r="B25" i="61"/>
  <c r="Z24" i="61"/>
  <c r="X24" i="61"/>
  <c r="R24" i="61"/>
  <c r="L24" i="61"/>
  <c r="N24" i="61" s="1"/>
  <c r="J24" i="61"/>
  <c r="B24" i="61"/>
  <c r="X23" i="61"/>
  <c r="Z23" i="61" s="1"/>
  <c r="V23" i="61"/>
  <c r="R23" i="61"/>
  <c r="L23" i="61"/>
  <c r="N23" i="61" s="1"/>
  <c r="J23" i="61"/>
  <c r="B23" i="61"/>
  <c r="Z22" i="61"/>
  <c r="X22" i="61"/>
  <c r="L22" i="61"/>
  <c r="N22" i="61" s="1"/>
  <c r="J22" i="61"/>
  <c r="B22" i="61"/>
  <c r="Z21" i="61"/>
  <c r="X21" i="61"/>
  <c r="R21" i="61"/>
  <c r="L21" i="61"/>
  <c r="N21" i="61" s="1"/>
  <c r="F21" i="61"/>
  <c r="B21" i="61"/>
  <c r="Z20" i="61"/>
  <c r="X20" i="61"/>
  <c r="R20" i="61"/>
  <c r="L20" i="61"/>
  <c r="N20" i="61" s="1"/>
  <c r="J20" i="61"/>
  <c r="B20" i="61"/>
  <c r="X19" i="61"/>
  <c r="V19" i="61"/>
  <c r="T19" i="61"/>
  <c r="P19" i="61"/>
  <c r="J19" i="61"/>
  <c r="H19" i="61"/>
  <c r="D19" i="61"/>
  <c r="L19" i="61" s="1"/>
  <c r="B19" i="61"/>
  <c r="X18" i="61"/>
  <c r="Z18" i="61" s="1"/>
  <c r="V18" i="61"/>
  <c r="T18" i="61"/>
  <c r="R18" i="61"/>
  <c r="P18" i="61"/>
  <c r="L18" i="61"/>
  <c r="J18" i="61"/>
  <c r="H18" i="61"/>
  <c r="N18" i="61" s="1"/>
  <c r="F18" i="61"/>
  <c r="D18" i="61"/>
  <c r="V16" i="61"/>
  <c r="R16" i="61"/>
  <c r="J16" i="61"/>
  <c r="F16" i="61"/>
  <c r="Z14" i="61"/>
  <c r="X14" i="61"/>
  <c r="V14" i="61"/>
  <c r="T14" i="61"/>
  <c r="R14" i="61"/>
  <c r="P14" i="61"/>
  <c r="P16" i="61" s="1"/>
  <c r="P62" i="61" s="1"/>
  <c r="P66" i="61" s="1"/>
  <c r="L14" i="61"/>
  <c r="J14" i="61"/>
  <c r="H14" i="61"/>
  <c r="N14" i="61" s="1"/>
  <c r="F14" i="61"/>
  <c r="D14" i="61"/>
  <c r="Z12" i="61"/>
  <c r="X12" i="61"/>
  <c r="T12" i="61"/>
  <c r="P12" i="61"/>
  <c r="R55" i="61" s="1"/>
  <c r="N12" i="61"/>
  <c r="L12" i="61"/>
  <c r="H12" i="61"/>
  <c r="J54" i="61" s="1"/>
  <c r="D12" i="61"/>
  <c r="F64" i="61" s="1"/>
  <c r="D6" i="61"/>
  <c r="D4" i="61"/>
  <c r="V68" i="60"/>
  <c r="R68" i="60"/>
  <c r="V65" i="60"/>
  <c r="R65" i="60"/>
  <c r="Z63" i="60"/>
  <c r="X63" i="60"/>
  <c r="V63" i="60"/>
  <c r="R63" i="60"/>
  <c r="N63" i="60"/>
  <c r="L63" i="60"/>
  <c r="V61" i="60"/>
  <c r="R61" i="60"/>
  <c r="J61" i="60"/>
  <c r="V59" i="60"/>
  <c r="T59" i="60"/>
  <c r="Z59" i="60" s="1"/>
  <c r="R59" i="60"/>
  <c r="P59" i="60"/>
  <c r="N59" i="60"/>
  <c r="L59" i="60"/>
  <c r="J59" i="60"/>
  <c r="H59" i="60"/>
  <c r="D59" i="60"/>
  <c r="Z57" i="60"/>
  <c r="X57" i="60"/>
  <c r="V57" i="60"/>
  <c r="N57" i="60"/>
  <c r="L57" i="60"/>
  <c r="J57" i="60"/>
  <c r="F57" i="60"/>
  <c r="B57" i="60"/>
  <c r="Z56" i="60"/>
  <c r="T56" i="60"/>
  <c r="P56" i="60"/>
  <c r="X56" i="60" s="1"/>
  <c r="H56" i="60"/>
  <c r="N56" i="60" s="1"/>
  <c r="F56" i="60"/>
  <c r="D56" i="60"/>
  <c r="B56" i="60"/>
  <c r="X55" i="60"/>
  <c r="Z55" i="60" s="1"/>
  <c r="N55" i="60"/>
  <c r="L55" i="60"/>
  <c r="J55" i="60"/>
  <c r="B55" i="60"/>
  <c r="X54" i="60"/>
  <c r="Z54" i="60" s="1"/>
  <c r="T54" i="60"/>
  <c r="P54" i="60"/>
  <c r="H54" i="60"/>
  <c r="N54" i="60" s="1"/>
  <c r="D54" i="60"/>
  <c r="L54" i="60" s="1"/>
  <c r="B54" i="60"/>
  <c r="Z53" i="60"/>
  <c r="X53" i="60"/>
  <c r="L53" i="60"/>
  <c r="N53" i="60" s="1"/>
  <c r="B53" i="60"/>
  <c r="X52" i="60"/>
  <c r="Z52" i="60" s="1"/>
  <c r="V52" i="60"/>
  <c r="R52" i="60"/>
  <c r="L52" i="60"/>
  <c r="N52" i="60" s="1"/>
  <c r="B52" i="60"/>
  <c r="V51" i="60"/>
  <c r="T51" i="60"/>
  <c r="R51" i="60"/>
  <c r="P51" i="60"/>
  <c r="X51" i="60" s="1"/>
  <c r="Z51" i="60" s="1"/>
  <c r="H51" i="60"/>
  <c r="D51" i="60"/>
  <c r="L51" i="60" s="1"/>
  <c r="N51" i="60" s="1"/>
  <c r="B51" i="60"/>
  <c r="X50" i="60"/>
  <c r="Z50" i="60" s="1"/>
  <c r="R50" i="60"/>
  <c r="L50" i="60"/>
  <c r="N50" i="60" s="1"/>
  <c r="B50" i="60"/>
  <c r="X49" i="60"/>
  <c r="V49" i="60"/>
  <c r="T49" i="60"/>
  <c r="Z49" i="60" s="1"/>
  <c r="R49" i="60"/>
  <c r="P49" i="60"/>
  <c r="N49" i="60"/>
  <c r="L49" i="60"/>
  <c r="J49" i="60"/>
  <c r="H49" i="60"/>
  <c r="D49" i="60"/>
  <c r="B49" i="60"/>
  <c r="Z48" i="60"/>
  <c r="X48" i="60"/>
  <c r="R48" i="60"/>
  <c r="N48" i="60"/>
  <c r="L48" i="60"/>
  <c r="J48" i="60"/>
  <c r="F48" i="60"/>
  <c r="B48" i="60"/>
  <c r="X47" i="60"/>
  <c r="Z47" i="60" s="1"/>
  <c r="N47" i="60"/>
  <c r="L47" i="60"/>
  <c r="J47" i="60"/>
  <c r="B47" i="60"/>
  <c r="Z46" i="60"/>
  <c r="X46" i="60"/>
  <c r="T46" i="60"/>
  <c r="P46" i="60"/>
  <c r="H46" i="60"/>
  <c r="D46" i="60"/>
  <c r="L46" i="60" s="1"/>
  <c r="B46" i="60"/>
  <c r="Z45" i="60"/>
  <c r="X45" i="60"/>
  <c r="N45" i="60"/>
  <c r="L45" i="60"/>
  <c r="J45" i="60"/>
  <c r="B45" i="60"/>
  <c r="V44" i="60"/>
  <c r="T44" i="60"/>
  <c r="P44" i="60"/>
  <c r="H44" i="60"/>
  <c r="N44" i="60" s="1"/>
  <c r="D44" i="60"/>
  <c r="L44" i="60" s="1"/>
  <c r="B44" i="60"/>
  <c r="X43" i="60"/>
  <c r="Z43" i="60" s="1"/>
  <c r="V43" i="60"/>
  <c r="L43" i="60"/>
  <c r="N43" i="60" s="1"/>
  <c r="B43" i="60"/>
  <c r="T42" i="60"/>
  <c r="R42" i="60"/>
  <c r="P42" i="60"/>
  <c r="X42" i="60" s="1"/>
  <c r="H42" i="60"/>
  <c r="D42" i="60"/>
  <c r="L42" i="60" s="1"/>
  <c r="N42" i="60" s="1"/>
  <c r="B42" i="60"/>
  <c r="Z41" i="60"/>
  <c r="X41" i="60"/>
  <c r="V41" i="60"/>
  <c r="R41" i="60"/>
  <c r="N41" i="60"/>
  <c r="L41" i="60"/>
  <c r="B41" i="60"/>
  <c r="T40" i="60"/>
  <c r="Z40" i="60" s="1"/>
  <c r="P40" i="60"/>
  <c r="X40" i="60" s="1"/>
  <c r="L40" i="60"/>
  <c r="N40" i="60" s="1"/>
  <c r="H40" i="60"/>
  <c r="D40" i="60"/>
  <c r="B40" i="60"/>
  <c r="Z39" i="60"/>
  <c r="X39" i="60"/>
  <c r="V39" i="60"/>
  <c r="N39" i="60"/>
  <c r="L39" i="60"/>
  <c r="J39" i="60"/>
  <c r="B39" i="60"/>
  <c r="Z38" i="60"/>
  <c r="X38" i="60"/>
  <c r="N38" i="60"/>
  <c r="L38" i="60"/>
  <c r="F38" i="60"/>
  <c r="B38" i="60"/>
  <c r="Z37" i="60"/>
  <c r="X37" i="60"/>
  <c r="N37" i="60"/>
  <c r="L37" i="60"/>
  <c r="J37" i="60"/>
  <c r="B37" i="60"/>
  <c r="Z36" i="60"/>
  <c r="X36" i="60"/>
  <c r="V36" i="60"/>
  <c r="R36" i="60"/>
  <c r="N36" i="60"/>
  <c r="L36" i="60"/>
  <c r="B36" i="60"/>
  <c r="Z35" i="60"/>
  <c r="X35" i="60"/>
  <c r="V35" i="60"/>
  <c r="N35" i="60"/>
  <c r="L35" i="60"/>
  <c r="J35" i="60"/>
  <c r="B35" i="60"/>
  <c r="Z34" i="60"/>
  <c r="X34" i="60"/>
  <c r="R34" i="60"/>
  <c r="N34" i="60"/>
  <c r="L34" i="60"/>
  <c r="F34" i="60"/>
  <c r="B34" i="60"/>
  <c r="Z33" i="60"/>
  <c r="X33" i="60"/>
  <c r="V33" i="60"/>
  <c r="N33" i="60"/>
  <c r="L33" i="60"/>
  <c r="J33" i="60"/>
  <c r="B33" i="60"/>
  <c r="Z32" i="60"/>
  <c r="X32" i="60"/>
  <c r="V32" i="60"/>
  <c r="R32" i="60"/>
  <c r="N32" i="60"/>
  <c r="L32" i="60"/>
  <c r="B32" i="60"/>
  <c r="Z31" i="60"/>
  <c r="X31" i="60"/>
  <c r="V31" i="60"/>
  <c r="N31" i="60"/>
  <c r="L31" i="60"/>
  <c r="J31" i="60"/>
  <c r="B31" i="60"/>
  <c r="Z30" i="60"/>
  <c r="X30" i="60"/>
  <c r="R30" i="60"/>
  <c r="N30" i="60"/>
  <c r="L30" i="60"/>
  <c r="F30" i="60"/>
  <c r="B30" i="60"/>
  <c r="V29" i="60"/>
  <c r="T29" i="60"/>
  <c r="P29" i="60"/>
  <c r="X29" i="60" s="1"/>
  <c r="Z29" i="60" s="1"/>
  <c r="J29" i="60"/>
  <c r="H29" i="60"/>
  <c r="F29" i="60"/>
  <c r="D29" i="60"/>
  <c r="L29" i="60" s="1"/>
  <c r="N29" i="60" s="1"/>
  <c r="B29" i="60"/>
  <c r="X28" i="60"/>
  <c r="Z28" i="60" s="1"/>
  <c r="V28" i="60"/>
  <c r="L28" i="60"/>
  <c r="N28" i="60" s="1"/>
  <c r="F28" i="60"/>
  <c r="B28" i="60"/>
  <c r="X27" i="60"/>
  <c r="Z27" i="60" s="1"/>
  <c r="V27" i="60"/>
  <c r="N27" i="60"/>
  <c r="L27" i="60"/>
  <c r="B27" i="60"/>
  <c r="X26" i="60"/>
  <c r="Z26" i="60" s="1"/>
  <c r="R26" i="60"/>
  <c r="N26" i="60"/>
  <c r="L26" i="60"/>
  <c r="B26" i="60"/>
  <c r="Z25" i="60"/>
  <c r="X25" i="60"/>
  <c r="V25" i="60"/>
  <c r="N25" i="60"/>
  <c r="L25" i="60"/>
  <c r="J25" i="60"/>
  <c r="F25" i="60"/>
  <c r="B25" i="60"/>
  <c r="X24" i="60"/>
  <c r="Z24" i="60" s="1"/>
  <c r="V24" i="60"/>
  <c r="L24" i="60"/>
  <c r="N24" i="60" s="1"/>
  <c r="F24" i="60"/>
  <c r="B24" i="60"/>
  <c r="X23" i="60"/>
  <c r="Z23" i="60" s="1"/>
  <c r="V23" i="60"/>
  <c r="L23" i="60"/>
  <c r="N23" i="60" s="1"/>
  <c r="B23" i="60"/>
  <c r="X22" i="60"/>
  <c r="Z22" i="60" s="1"/>
  <c r="R22" i="60"/>
  <c r="N22" i="60"/>
  <c r="L22" i="60"/>
  <c r="B22" i="60"/>
  <c r="X21" i="60"/>
  <c r="Z21" i="60" s="1"/>
  <c r="V21" i="60"/>
  <c r="N21" i="60"/>
  <c r="L21" i="60"/>
  <c r="J21" i="60"/>
  <c r="F21" i="60"/>
  <c r="B21" i="60"/>
  <c r="X20" i="60"/>
  <c r="Z20" i="60" s="1"/>
  <c r="V20" i="60"/>
  <c r="L20" i="60"/>
  <c r="N20" i="60" s="1"/>
  <c r="F20" i="60"/>
  <c r="B20" i="60"/>
  <c r="Z19" i="60"/>
  <c r="X19" i="60"/>
  <c r="V19" i="60"/>
  <c r="T19" i="60"/>
  <c r="P19" i="60"/>
  <c r="L19" i="60"/>
  <c r="J19" i="60"/>
  <c r="H19" i="60"/>
  <c r="N19" i="60" s="1"/>
  <c r="F19" i="60"/>
  <c r="D19" i="60"/>
  <c r="B19" i="60"/>
  <c r="X18" i="60"/>
  <c r="Z18" i="60" s="1"/>
  <c r="T18" i="60"/>
  <c r="P18" i="60"/>
  <c r="H18" i="60"/>
  <c r="D18" i="60"/>
  <c r="L18" i="60" s="1"/>
  <c r="Z16" i="60"/>
  <c r="D16" i="60"/>
  <c r="Z14" i="60"/>
  <c r="X14" i="60"/>
  <c r="T14" i="60"/>
  <c r="T16" i="60" s="1"/>
  <c r="T61" i="60" s="1"/>
  <c r="P14" i="60"/>
  <c r="H14" i="60"/>
  <c r="N14" i="60" s="1"/>
  <c r="D14" i="60"/>
  <c r="L14" i="60" s="1"/>
  <c r="Z12" i="60"/>
  <c r="X12" i="60"/>
  <c r="T12" i="60"/>
  <c r="V54" i="60" s="1"/>
  <c r="P12" i="60"/>
  <c r="R44" i="60" s="1"/>
  <c r="N12" i="60"/>
  <c r="H12" i="60"/>
  <c r="J50" i="60" s="1"/>
  <c r="D12" i="60"/>
  <c r="F39" i="60" s="1"/>
  <c r="D6" i="60"/>
  <c r="D4" i="60"/>
  <c r="V75" i="59"/>
  <c r="Z73" i="59"/>
  <c r="X73" i="59"/>
  <c r="R73" i="59"/>
  <c r="N73" i="59"/>
  <c r="L73" i="59"/>
  <c r="T69" i="59"/>
  <c r="Z69" i="59" s="1"/>
  <c r="P69" i="59"/>
  <c r="X69" i="59" s="1"/>
  <c r="N69" i="59"/>
  <c r="L69" i="59"/>
  <c r="H69" i="59"/>
  <c r="D69" i="59"/>
  <c r="Z67" i="59"/>
  <c r="X67" i="59"/>
  <c r="R67" i="59"/>
  <c r="N67" i="59"/>
  <c r="L67" i="59"/>
  <c r="F67" i="59"/>
  <c r="B67" i="59"/>
  <c r="Z66" i="59"/>
  <c r="X66" i="59"/>
  <c r="N66" i="59"/>
  <c r="L66" i="59"/>
  <c r="B66" i="59"/>
  <c r="Z65" i="59"/>
  <c r="X65" i="59"/>
  <c r="T65" i="59"/>
  <c r="P65" i="59"/>
  <c r="H65" i="59"/>
  <c r="N65" i="59" s="1"/>
  <c r="D65" i="59"/>
  <c r="L65" i="59" s="1"/>
  <c r="B65" i="59"/>
  <c r="Z64" i="59"/>
  <c r="X64" i="59"/>
  <c r="L64" i="59"/>
  <c r="N64" i="59" s="1"/>
  <c r="B64" i="59"/>
  <c r="V63" i="59"/>
  <c r="T63" i="59"/>
  <c r="P63" i="59"/>
  <c r="H63" i="59"/>
  <c r="N63" i="59" s="1"/>
  <c r="D63" i="59"/>
  <c r="L63" i="59" s="1"/>
  <c r="B63" i="59"/>
  <c r="X62" i="59"/>
  <c r="Z62" i="59" s="1"/>
  <c r="V62" i="59"/>
  <c r="N62" i="59"/>
  <c r="L62" i="59"/>
  <c r="B62" i="59"/>
  <c r="X61" i="59"/>
  <c r="Z61" i="59" s="1"/>
  <c r="R61" i="59"/>
  <c r="L61" i="59"/>
  <c r="N61" i="59" s="1"/>
  <c r="B61" i="59"/>
  <c r="X60" i="59"/>
  <c r="T60" i="59"/>
  <c r="Z60" i="59" s="1"/>
  <c r="R60" i="59"/>
  <c r="P60" i="59"/>
  <c r="N60" i="59"/>
  <c r="L60" i="59"/>
  <c r="H60" i="59"/>
  <c r="D60" i="59"/>
  <c r="B60" i="59"/>
  <c r="X59" i="59"/>
  <c r="Z59" i="59" s="1"/>
  <c r="R59" i="59"/>
  <c r="L59" i="59"/>
  <c r="N59" i="59" s="1"/>
  <c r="F59" i="59"/>
  <c r="B59" i="59"/>
  <c r="Z58" i="59"/>
  <c r="X58" i="59"/>
  <c r="T58" i="59"/>
  <c r="R58" i="59"/>
  <c r="P58" i="59"/>
  <c r="H58" i="59"/>
  <c r="F58" i="59"/>
  <c r="D58" i="59"/>
  <c r="B58" i="59"/>
  <c r="Z57" i="59"/>
  <c r="X57" i="59"/>
  <c r="R57" i="59"/>
  <c r="L57" i="59"/>
  <c r="N57" i="59" s="1"/>
  <c r="F57" i="59"/>
  <c r="B57" i="59"/>
  <c r="T56" i="59"/>
  <c r="P56" i="59"/>
  <c r="X56" i="59" s="1"/>
  <c r="Z56" i="59" s="1"/>
  <c r="H56" i="59"/>
  <c r="F56" i="59"/>
  <c r="D56" i="59"/>
  <c r="L56" i="59" s="1"/>
  <c r="N56" i="59" s="1"/>
  <c r="B56" i="59"/>
  <c r="Z55" i="59"/>
  <c r="X55" i="59"/>
  <c r="N55" i="59"/>
  <c r="L55" i="59"/>
  <c r="F55" i="59"/>
  <c r="B55" i="59"/>
  <c r="X54" i="59"/>
  <c r="Z54" i="59" s="1"/>
  <c r="N54" i="59"/>
  <c r="L54" i="59"/>
  <c r="B54" i="59"/>
  <c r="X53" i="59"/>
  <c r="Z53" i="59" s="1"/>
  <c r="R53" i="59"/>
  <c r="N53" i="59"/>
  <c r="L53" i="59"/>
  <c r="F53" i="59"/>
  <c r="B53" i="59"/>
  <c r="X52" i="59"/>
  <c r="Z52" i="59" s="1"/>
  <c r="N52" i="59"/>
  <c r="L52" i="59"/>
  <c r="F52" i="59"/>
  <c r="B52" i="59"/>
  <c r="T51" i="59"/>
  <c r="P51" i="59"/>
  <c r="X51" i="59" s="1"/>
  <c r="Z51" i="59" s="1"/>
  <c r="H51" i="59"/>
  <c r="F51" i="59"/>
  <c r="D51" i="59"/>
  <c r="L51" i="59" s="1"/>
  <c r="B51" i="59"/>
  <c r="Z50" i="59"/>
  <c r="X50" i="59"/>
  <c r="N50" i="59"/>
  <c r="L50" i="59"/>
  <c r="B50" i="59"/>
  <c r="Z49" i="59"/>
  <c r="X49" i="59"/>
  <c r="T49" i="59"/>
  <c r="R49" i="59"/>
  <c r="P49" i="59"/>
  <c r="H49" i="59"/>
  <c r="N49" i="59" s="1"/>
  <c r="D49" i="59"/>
  <c r="L49" i="59" s="1"/>
  <c r="B49" i="59"/>
  <c r="Z48" i="59"/>
  <c r="X48" i="59"/>
  <c r="R48" i="59"/>
  <c r="L48" i="59"/>
  <c r="N48" i="59" s="1"/>
  <c r="B48" i="59"/>
  <c r="X47" i="59"/>
  <c r="T47" i="59"/>
  <c r="P47" i="59"/>
  <c r="H47" i="59"/>
  <c r="N47" i="59" s="1"/>
  <c r="D47" i="59"/>
  <c r="L47" i="59" s="1"/>
  <c r="B47" i="59"/>
  <c r="Z46" i="59"/>
  <c r="X46" i="59"/>
  <c r="N46" i="59"/>
  <c r="L46" i="59"/>
  <c r="B46" i="59"/>
  <c r="T45" i="59"/>
  <c r="R45" i="59"/>
  <c r="P45" i="59"/>
  <c r="H45" i="59"/>
  <c r="D45" i="59"/>
  <c r="L45" i="59" s="1"/>
  <c r="N45" i="59" s="1"/>
  <c r="B45" i="59"/>
  <c r="Z44" i="59"/>
  <c r="X44" i="59"/>
  <c r="R44" i="59"/>
  <c r="N44" i="59"/>
  <c r="L44" i="59"/>
  <c r="F44" i="59"/>
  <c r="B44" i="59"/>
  <c r="T43" i="59"/>
  <c r="P43" i="59"/>
  <c r="X43" i="59" s="1"/>
  <c r="N43" i="59"/>
  <c r="L43" i="59"/>
  <c r="H43" i="59"/>
  <c r="F43" i="59"/>
  <c r="D43" i="59"/>
  <c r="B43" i="59"/>
  <c r="Z42" i="59"/>
  <c r="X42" i="59"/>
  <c r="N42" i="59"/>
  <c r="L42" i="59"/>
  <c r="B42" i="59"/>
  <c r="T41" i="59"/>
  <c r="Z41" i="59" s="1"/>
  <c r="P41" i="59"/>
  <c r="X41" i="59" s="1"/>
  <c r="L41" i="59"/>
  <c r="H41" i="59"/>
  <c r="N41" i="59" s="1"/>
  <c r="D41" i="59"/>
  <c r="B41" i="59"/>
  <c r="Z40" i="59"/>
  <c r="X40" i="59"/>
  <c r="N40" i="59"/>
  <c r="L40" i="59"/>
  <c r="J40" i="59"/>
  <c r="F40" i="59"/>
  <c r="B40" i="59"/>
  <c r="Z39" i="59"/>
  <c r="X39" i="59"/>
  <c r="N39" i="59"/>
  <c r="L39" i="59"/>
  <c r="F39" i="59"/>
  <c r="B39" i="59"/>
  <c r="Z38" i="59"/>
  <c r="X38" i="59"/>
  <c r="R38" i="59"/>
  <c r="N38" i="59"/>
  <c r="L38" i="59"/>
  <c r="B38" i="59"/>
  <c r="X37" i="59"/>
  <c r="Z37" i="59" s="1"/>
  <c r="R37" i="59"/>
  <c r="L37" i="59"/>
  <c r="N37" i="59" s="1"/>
  <c r="F37" i="59"/>
  <c r="B37" i="59"/>
  <c r="Z36" i="59"/>
  <c r="X36" i="59"/>
  <c r="R36" i="59"/>
  <c r="N36" i="59"/>
  <c r="L36" i="59"/>
  <c r="F36" i="59"/>
  <c r="B36" i="59"/>
  <c r="Z35" i="59"/>
  <c r="X35" i="59"/>
  <c r="N35" i="59"/>
  <c r="L35" i="59"/>
  <c r="F35" i="59"/>
  <c r="B35" i="59"/>
  <c r="Z34" i="59"/>
  <c r="X34" i="59"/>
  <c r="R34" i="59"/>
  <c r="N34" i="59"/>
  <c r="L34" i="59"/>
  <c r="B34" i="59"/>
  <c r="Z33" i="59"/>
  <c r="X33" i="59"/>
  <c r="R33" i="59"/>
  <c r="N33" i="59"/>
  <c r="L33" i="59"/>
  <c r="F33" i="59"/>
  <c r="B33" i="59"/>
  <c r="X32" i="59"/>
  <c r="Z32" i="59" s="1"/>
  <c r="R32" i="59"/>
  <c r="N32" i="59"/>
  <c r="L32" i="59"/>
  <c r="F32" i="59"/>
  <c r="B32" i="59"/>
  <c r="Z31" i="59"/>
  <c r="X31" i="59"/>
  <c r="N31" i="59"/>
  <c r="L31" i="59"/>
  <c r="F31" i="59"/>
  <c r="B31" i="59"/>
  <c r="Z30" i="59"/>
  <c r="X30" i="59"/>
  <c r="T30" i="59"/>
  <c r="R30" i="59"/>
  <c r="P30" i="59"/>
  <c r="L30" i="59"/>
  <c r="H30" i="59"/>
  <c r="N30" i="59" s="1"/>
  <c r="F30" i="59"/>
  <c r="D30" i="59"/>
  <c r="B30" i="59"/>
  <c r="Z29" i="59"/>
  <c r="X29" i="59"/>
  <c r="R29" i="59"/>
  <c r="N29" i="59"/>
  <c r="L29" i="59"/>
  <c r="F29" i="59"/>
  <c r="B29" i="59"/>
  <c r="Z28" i="59"/>
  <c r="X28" i="59"/>
  <c r="R28" i="59"/>
  <c r="N28" i="59"/>
  <c r="L28" i="59"/>
  <c r="F28" i="59"/>
  <c r="B28" i="59"/>
  <c r="X27" i="59"/>
  <c r="Z27" i="59" s="1"/>
  <c r="R27" i="59"/>
  <c r="L27" i="59"/>
  <c r="N27" i="59" s="1"/>
  <c r="J27" i="59"/>
  <c r="F27" i="59"/>
  <c r="B27" i="59"/>
  <c r="Z26" i="59"/>
  <c r="X26" i="59"/>
  <c r="R26" i="59"/>
  <c r="N26" i="59"/>
  <c r="L26" i="59"/>
  <c r="B26" i="59"/>
  <c r="Z25" i="59"/>
  <c r="X25" i="59"/>
  <c r="R25" i="59"/>
  <c r="N25" i="59"/>
  <c r="L25" i="59"/>
  <c r="F25" i="59"/>
  <c r="B25" i="59"/>
  <c r="Z24" i="59"/>
  <c r="X24" i="59"/>
  <c r="R24" i="59"/>
  <c r="N24" i="59"/>
  <c r="L24" i="59"/>
  <c r="F24" i="59"/>
  <c r="B24" i="59"/>
  <c r="X23" i="59"/>
  <c r="Z23" i="59" s="1"/>
  <c r="R23" i="59"/>
  <c r="L23" i="59"/>
  <c r="N23" i="59" s="1"/>
  <c r="J23" i="59"/>
  <c r="F23" i="59"/>
  <c r="B23" i="59"/>
  <c r="X22" i="59"/>
  <c r="Z22" i="59" s="1"/>
  <c r="R22" i="59"/>
  <c r="N22" i="59"/>
  <c r="L22" i="59"/>
  <c r="J22" i="59"/>
  <c r="B22" i="59"/>
  <c r="Z21" i="59"/>
  <c r="X21" i="59"/>
  <c r="R21" i="59"/>
  <c r="N21" i="59"/>
  <c r="L21" i="59"/>
  <c r="F21" i="59"/>
  <c r="B21" i="59"/>
  <c r="Z20" i="59"/>
  <c r="X20" i="59"/>
  <c r="V20" i="59"/>
  <c r="R20" i="59"/>
  <c r="N20" i="59"/>
  <c r="L20" i="59"/>
  <c r="F20" i="59"/>
  <c r="B20" i="59"/>
  <c r="T19" i="59"/>
  <c r="P19" i="59"/>
  <c r="L19" i="59"/>
  <c r="N19" i="59" s="1"/>
  <c r="H19" i="59"/>
  <c r="F19" i="59"/>
  <c r="D19" i="59"/>
  <c r="B19" i="59"/>
  <c r="V18" i="59"/>
  <c r="T18" i="59"/>
  <c r="R18" i="59"/>
  <c r="P18" i="59"/>
  <c r="X18" i="59" s="1"/>
  <c r="Z18" i="59" s="1"/>
  <c r="N18" i="59"/>
  <c r="H18" i="59"/>
  <c r="D18" i="59"/>
  <c r="L18" i="59" s="1"/>
  <c r="R16" i="59"/>
  <c r="Z14" i="59"/>
  <c r="V14" i="59"/>
  <c r="T14" i="59"/>
  <c r="R14" i="59"/>
  <c r="P14" i="59"/>
  <c r="X14" i="59" s="1"/>
  <c r="N14" i="59"/>
  <c r="H14" i="59"/>
  <c r="D14" i="59"/>
  <c r="L14" i="59" s="1"/>
  <c r="T12" i="59"/>
  <c r="V54" i="59" s="1"/>
  <c r="P12" i="59"/>
  <c r="R78" i="59" s="1"/>
  <c r="H12" i="59"/>
  <c r="D12" i="59"/>
  <c r="F42" i="59" s="1"/>
  <c r="D6" i="59"/>
  <c r="D4" i="59"/>
  <c r="R83" i="58"/>
  <c r="J83" i="58"/>
  <c r="R80" i="58"/>
  <c r="J80" i="58"/>
  <c r="Z78" i="58"/>
  <c r="X78" i="58"/>
  <c r="N78" i="58"/>
  <c r="L78" i="58"/>
  <c r="J78" i="58"/>
  <c r="F78" i="58"/>
  <c r="J76" i="58"/>
  <c r="F76" i="58"/>
  <c r="Z74" i="58"/>
  <c r="T74" i="58"/>
  <c r="P74" i="58"/>
  <c r="X74" i="58" s="1"/>
  <c r="N74" i="58"/>
  <c r="J74" i="58"/>
  <c r="H74" i="58"/>
  <c r="F74" i="58"/>
  <c r="D74" i="58"/>
  <c r="L74" i="58" s="1"/>
  <c r="Z72" i="58"/>
  <c r="X72" i="58"/>
  <c r="N72" i="58"/>
  <c r="L72" i="58"/>
  <c r="J72" i="58"/>
  <c r="B72" i="58"/>
  <c r="X71" i="58"/>
  <c r="V71" i="58"/>
  <c r="T71" i="58"/>
  <c r="P71" i="58"/>
  <c r="N71" i="58"/>
  <c r="H71" i="58"/>
  <c r="D71" i="58"/>
  <c r="L71" i="58" s="1"/>
  <c r="B71" i="58"/>
  <c r="Z70" i="58"/>
  <c r="X70" i="58"/>
  <c r="N70" i="58"/>
  <c r="L70" i="58"/>
  <c r="B70" i="58"/>
  <c r="T69" i="58"/>
  <c r="R69" i="58"/>
  <c r="P69" i="58"/>
  <c r="X69" i="58" s="1"/>
  <c r="N69" i="58"/>
  <c r="J69" i="58"/>
  <c r="H69" i="58"/>
  <c r="D69" i="58"/>
  <c r="L69" i="58" s="1"/>
  <c r="B69" i="58"/>
  <c r="Z68" i="58"/>
  <c r="X68" i="58"/>
  <c r="V68" i="58"/>
  <c r="R68" i="58"/>
  <c r="N68" i="58"/>
  <c r="L68" i="58"/>
  <c r="B68" i="58"/>
  <c r="T67" i="58"/>
  <c r="P67" i="58"/>
  <c r="N67" i="58"/>
  <c r="L67" i="58"/>
  <c r="H67" i="58"/>
  <c r="D67" i="58"/>
  <c r="B67" i="58"/>
  <c r="Z66" i="58"/>
  <c r="X66" i="58"/>
  <c r="N66" i="58"/>
  <c r="L66" i="58"/>
  <c r="J66" i="58"/>
  <c r="B66" i="58"/>
  <c r="Z65" i="58"/>
  <c r="X65" i="58"/>
  <c r="L65" i="58"/>
  <c r="N65" i="58" s="1"/>
  <c r="F65" i="58"/>
  <c r="B65" i="58"/>
  <c r="Z64" i="58"/>
  <c r="X64" i="58"/>
  <c r="L64" i="58"/>
  <c r="N64" i="58" s="1"/>
  <c r="J64" i="58"/>
  <c r="B64" i="58"/>
  <c r="T63" i="58"/>
  <c r="P63" i="58"/>
  <c r="H63" i="58"/>
  <c r="D63" i="58"/>
  <c r="L63" i="58" s="1"/>
  <c r="B63" i="58"/>
  <c r="Z62" i="58"/>
  <c r="X62" i="58"/>
  <c r="N62" i="58"/>
  <c r="L62" i="58"/>
  <c r="B62" i="58"/>
  <c r="T61" i="58"/>
  <c r="R61" i="58"/>
  <c r="P61" i="58"/>
  <c r="N61" i="58"/>
  <c r="J61" i="58"/>
  <c r="H61" i="58"/>
  <c r="D61" i="58"/>
  <c r="L61" i="58" s="1"/>
  <c r="B61" i="58"/>
  <c r="Z60" i="58"/>
  <c r="X60" i="58"/>
  <c r="R60" i="58"/>
  <c r="N60" i="58"/>
  <c r="L60" i="58"/>
  <c r="J60" i="58"/>
  <c r="B60" i="58"/>
  <c r="X59" i="58"/>
  <c r="Z59" i="58" s="1"/>
  <c r="R59" i="58"/>
  <c r="L59" i="58"/>
  <c r="N59" i="58" s="1"/>
  <c r="J59" i="58"/>
  <c r="F59" i="58"/>
  <c r="B59" i="58"/>
  <c r="X58" i="58"/>
  <c r="Z58" i="58" s="1"/>
  <c r="T58" i="58"/>
  <c r="P58" i="58"/>
  <c r="J58" i="58"/>
  <c r="H58" i="58"/>
  <c r="F58" i="58"/>
  <c r="D58" i="58"/>
  <c r="L58" i="58" s="1"/>
  <c r="B58" i="58"/>
  <c r="Z57" i="58"/>
  <c r="X57" i="58"/>
  <c r="L57" i="58"/>
  <c r="N57" i="58" s="1"/>
  <c r="F57" i="58"/>
  <c r="B57" i="58"/>
  <c r="Z56" i="58"/>
  <c r="X56" i="58"/>
  <c r="L56" i="58"/>
  <c r="N56" i="58" s="1"/>
  <c r="J56" i="58"/>
  <c r="B56" i="58"/>
  <c r="X55" i="58"/>
  <c r="T55" i="58"/>
  <c r="P55" i="58"/>
  <c r="H55" i="58"/>
  <c r="N55" i="58" s="1"/>
  <c r="D55" i="58"/>
  <c r="L55" i="58" s="1"/>
  <c r="B55" i="58"/>
  <c r="Z54" i="58"/>
  <c r="X54" i="58"/>
  <c r="L54" i="58"/>
  <c r="N54" i="58" s="1"/>
  <c r="B54" i="58"/>
  <c r="X53" i="58"/>
  <c r="T53" i="58"/>
  <c r="R53" i="58"/>
  <c r="P53" i="58"/>
  <c r="J53" i="58"/>
  <c r="H53" i="58"/>
  <c r="D53" i="58"/>
  <c r="L53" i="58" s="1"/>
  <c r="N53" i="58" s="1"/>
  <c r="B53" i="58"/>
  <c r="Z52" i="58"/>
  <c r="X52" i="58"/>
  <c r="R52" i="58"/>
  <c r="N52" i="58"/>
  <c r="L52" i="58"/>
  <c r="J52" i="58"/>
  <c r="F52" i="58"/>
  <c r="B52" i="58"/>
  <c r="T51" i="58"/>
  <c r="P51" i="58"/>
  <c r="N51" i="58"/>
  <c r="L51" i="58"/>
  <c r="H51" i="58"/>
  <c r="F51" i="58"/>
  <c r="D51" i="58"/>
  <c r="B51" i="58"/>
  <c r="Z50" i="58"/>
  <c r="X50" i="58"/>
  <c r="N50" i="58"/>
  <c r="L50" i="58"/>
  <c r="J50" i="58"/>
  <c r="B50" i="58"/>
  <c r="T49" i="58"/>
  <c r="Z49" i="58" s="1"/>
  <c r="P49" i="58"/>
  <c r="X49" i="58" s="1"/>
  <c r="J49" i="58"/>
  <c r="H49" i="58"/>
  <c r="D49" i="58"/>
  <c r="B49" i="58"/>
  <c r="X48" i="58"/>
  <c r="Z48" i="58" s="1"/>
  <c r="N48" i="58"/>
  <c r="L48" i="58"/>
  <c r="J48" i="58"/>
  <c r="F48" i="58"/>
  <c r="B48" i="58"/>
  <c r="T47" i="58"/>
  <c r="P47" i="58"/>
  <c r="X47" i="58" s="1"/>
  <c r="Z47" i="58" s="1"/>
  <c r="H47" i="58"/>
  <c r="F47" i="58"/>
  <c r="D47" i="58"/>
  <c r="B47" i="58"/>
  <c r="X46" i="58"/>
  <c r="Z46" i="58" s="1"/>
  <c r="N46" i="58"/>
  <c r="L46" i="58"/>
  <c r="J46" i="58"/>
  <c r="B46" i="58"/>
  <c r="X45" i="58"/>
  <c r="Z45" i="58" s="1"/>
  <c r="T45" i="58"/>
  <c r="R45" i="58"/>
  <c r="P45" i="58"/>
  <c r="H45" i="58"/>
  <c r="D45" i="58"/>
  <c r="B45" i="58"/>
  <c r="Z44" i="58"/>
  <c r="X44" i="58"/>
  <c r="R44" i="58"/>
  <c r="L44" i="58"/>
  <c r="N44" i="58" s="1"/>
  <c r="J44" i="58"/>
  <c r="B44" i="58"/>
  <c r="X43" i="58"/>
  <c r="V43" i="58"/>
  <c r="T43" i="58"/>
  <c r="P43" i="58"/>
  <c r="J43" i="58"/>
  <c r="H43" i="58"/>
  <c r="N43" i="58" s="1"/>
  <c r="D43" i="58"/>
  <c r="L43" i="58" s="1"/>
  <c r="B43" i="58"/>
  <c r="Z42" i="58"/>
  <c r="X42" i="58"/>
  <c r="L42" i="58"/>
  <c r="N42" i="58" s="1"/>
  <c r="B42" i="58"/>
  <c r="X41" i="58"/>
  <c r="T41" i="58"/>
  <c r="R41" i="58"/>
  <c r="P41" i="58"/>
  <c r="J41" i="58"/>
  <c r="H41" i="58"/>
  <c r="D41" i="58"/>
  <c r="L41" i="58" s="1"/>
  <c r="N41" i="58" s="1"/>
  <c r="B41" i="58"/>
  <c r="Z40" i="58"/>
  <c r="X40" i="58"/>
  <c r="R40" i="58"/>
  <c r="N40" i="58"/>
  <c r="L40" i="58"/>
  <c r="J40" i="58"/>
  <c r="F40" i="58"/>
  <c r="B40" i="58"/>
  <c r="Z39" i="58"/>
  <c r="X39" i="58"/>
  <c r="R39" i="58"/>
  <c r="N39" i="58"/>
  <c r="L39" i="58"/>
  <c r="J39" i="58"/>
  <c r="F39" i="58"/>
  <c r="B39" i="58"/>
  <c r="Z38" i="58"/>
  <c r="X38" i="58"/>
  <c r="N38" i="58"/>
  <c r="L38" i="58"/>
  <c r="J38" i="58"/>
  <c r="B38" i="58"/>
  <c r="Z37" i="58"/>
  <c r="X37" i="58"/>
  <c r="R37" i="58"/>
  <c r="N37" i="58"/>
  <c r="L37" i="58"/>
  <c r="J37" i="58"/>
  <c r="F37" i="58"/>
  <c r="B37" i="58"/>
  <c r="Z36" i="58"/>
  <c r="X36" i="58"/>
  <c r="R36" i="58"/>
  <c r="N36" i="58"/>
  <c r="L36" i="58"/>
  <c r="J36" i="58"/>
  <c r="F36" i="58"/>
  <c r="B36" i="58"/>
  <c r="X35" i="58"/>
  <c r="Z35" i="58" s="1"/>
  <c r="R35" i="58"/>
  <c r="L35" i="58"/>
  <c r="N35" i="58" s="1"/>
  <c r="J35" i="58"/>
  <c r="F35" i="58"/>
  <c r="B35" i="58"/>
  <c r="X34" i="58"/>
  <c r="Z34" i="58" s="1"/>
  <c r="N34" i="58"/>
  <c r="L34" i="58"/>
  <c r="J34" i="58"/>
  <c r="B34" i="58"/>
  <c r="Z33" i="58"/>
  <c r="X33" i="58"/>
  <c r="R33" i="58"/>
  <c r="N33" i="58"/>
  <c r="L33" i="58"/>
  <c r="J33" i="58"/>
  <c r="F33" i="58"/>
  <c r="B33" i="58"/>
  <c r="Z32" i="58"/>
  <c r="X32" i="58"/>
  <c r="R32" i="58"/>
  <c r="N32" i="58"/>
  <c r="L32" i="58"/>
  <c r="J32" i="58"/>
  <c r="F32" i="58"/>
  <c r="B32" i="58"/>
  <c r="X31" i="58"/>
  <c r="Z31" i="58" s="1"/>
  <c r="R31" i="58"/>
  <c r="L31" i="58"/>
  <c r="N31" i="58" s="1"/>
  <c r="J31" i="58"/>
  <c r="F31" i="58"/>
  <c r="B31" i="58"/>
  <c r="X30" i="58"/>
  <c r="Z30" i="58" s="1"/>
  <c r="T30" i="58"/>
  <c r="R30" i="58"/>
  <c r="P30" i="58"/>
  <c r="J30" i="58"/>
  <c r="H30" i="58"/>
  <c r="F30" i="58"/>
  <c r="D30" i="58"/>
  <c r="B30" i="58"/>
  <c r="Z29" i="58"/>
  <c r="X29" i="58"/>
  <c r="R29" i="58"/>
  <c r="L29" i="58"/>
  <c r="N29" i="58" s="1"/>
  <c r="F29" i="58"/>
  <c r="B29" i="58"/>
  <c r="Z28" i="58"/>
  <c r="X28" i="58"/>
  <c r="R28" i="58"/>
  <c r="L28" i="58"/>
  <c r="N28" i="58" s="1"/>
  <c r="J28" i="58"/>
  <c r="B28" i="58"/>
  <c r="X27" i="58"/>
  <c r="Z27" i="58" s="1"/>
  <c r="R27" i="58"/>
  <c r="L27" i="58"/>
  <c r="N27" i="58" s="1"/>
  <c r="J27" i="58"/>
  <c r="B27" i="58"/>
  <c r="Z26" i="58"/>
  <c r="X26" i="58"/>
  <c r="V26" i="58"/>
  <c r="N26" i="58"/>
  <c r="L26" i="58"/>
  <c r="J26" i="58"/>
  <c r="B26" i="58"/>
  <c r="Z25" i="58"/>
  <c r="X25" i="58"/>
  <c r="R25" i="58"/>
  <c r="L25" i="58"/>
  <c r="N25" i="58" s="1"/>
  <c r="F25" i="58"/>
  <c r="B25" i="58"/>
  <c r="Z24" i="58"/>
  <c r="X24" i="58"/>
  <c r="R24" i="58"/>
  <c r="L24" i="58"/>
  <c r="N24" i="58" s="1"/>
  <c r="J24" i="58"/>
  <c r="B24" i="58"/>
  <c r="X23" i="58"/>
  <c r="Z23" i="58" s="1"/>
  <c r="R23" i="58"/>
  <c r="L23" i="58"/>
  <c r="N23" i="58" s="1"/>
  <c r="J23" i="58"/>
  <c r="B23" i="58"/>
  <c r="Z22" i="58"/>
  <c r="X22" i="58"/>
  <c r="L22" i="58"/>
  <c r="N22" i="58" s="1"/>
  <c r="J22" i="58"/>
  <c r="B22" i="58"/>
  <c r="Z21" i="58"/>
  <c r="X21" i="58"/>
  <c r="R21" i="58"/>
  <c r="L21" i="58"/>
  <c r="N21" i="58" s="1"/>
  <c r="F21" i="58"/>
  <c r="B21" i="58"/>
  <c r="Z20" i="58"/>
  <c r="X20" i="58"/>
  <c r="R20" i="58"/>
  <c r="L20" i="58"/>
  <c r="N20" i="58" s="1"/>
  <c r="J20" i="58"/>
  <c r="B20" i="58"/>
  <c r="V19" i="58"/>
  <c r="T19" i="58"/>
  <c r="P19" i="58"/>
  <c r="J19" i="58"/>
  <c r="H19" i="58"/>
  <c r="D19" i="58"/>
  <c r="L19" i="58" s="1"/>
  <c r="B19" i="58"/>
  <c r="X18" i="58"/>
  <c r="Z18" i="58" s="1"/>
  <c r="T18" i="58"/>
  <c r="R18" i="58"/>
  <c r="P18" i="58"/>
  <c r="J18" i="58"/>
  <c r="H18" i="58"/>
  <c r="F18" i="58"/>
  <c r="D18" i="58"/>
  <c r="R16" i="58"/>
  <c r="J16" i="58"/>
  <c r="F16" i="58"/>
  <c r="Z14" i="58"/>
  <c r="X14" i="58"/>
  <c r="V14" i="58"/>
  <c r="T14" i="58"/>
  <c r="R14" i="58"/>
  <c r="P14" i="58"/>
  <c r="P16" i="58" s="1"/>
  <c r="P76" i="58" s="1"/>
  <c r="J14" i="58"/>
  <c r="H14" i="58"/>
  <c r="N14" i="58" s="1"/>
  <c r="F14" i="58"/>
  <c r="D14" i="58"/>
  <c r="T12" i="58"/>
  <c r="P12" i="58"/>
  <c r="R71" i="58" s="1"/>
  <c r="N12" i="58"/>
  <c r="L12" i="58"/>
  <c r="H12" i="58"/>
  <c r="J67" i="58" s="1"/>
  <c r="D12" i="58"/>
  <c r="F66" i="58" s="1"/>
  <c r="D6" i="58"/>
  <c r="D4" i="58"/>
  <c r="Z79" i="57"/>
  <c r="X79" i="57"/>
  <c r="N79" i="57"/>
  <c r="L79" i="57"/>
  <c r="J77" i="57"/>
  <c r="T75" i="57"/>
  <c r="Z75" i="57" s="1"/>
  <c r="P75" i="57"/>
  <c r="N75" i="57"/>
  <c r="L75" i="57"/>
  <c r="H75" i="57"/>
  <c r="D75" i="57"/>
  <c r="X73" i="57"/>
  <c r="Z73" i="57" s="1"/>
  <c r="N73" i="57"/>
  <c r="L73" i="57"/>
  <c r="J73" i="57"/>
  <c r="F73" i="57"/>
  <c r="B73" i="57"/>
  <c r="T72" i="57"/>
  <c r="P72" i="57"/>
  <c r="X72" i="57" s="1"/>
  <c r="Z72" i="57" s="1"/>
  <c r="L72" i="57"/>
  <c r="H72" i="57"/>
  <c r="F72" i="57"/>
  <c r="D72" i="57"/>
  <c r="B72" i="57"/>
  <c r="X71" i="57"/>
  <c r="Z71" i="57" s="1"/>
  <c r="L71" i="57"/>
  <c r="N71" i="57" s="1"/>
  <c r="J71" i="57"/>
  <c r="B71" i="57"/>
  <c r="Z70" i="57"/>
  <c r="X70" i="57"/>
  <c r="T70" i="57"/>
  <c r="P70" i="57"/>
  <c r="H70" i="57"/>
  <c r="D70" i="57"/>
  <c r="B70" i="57"/>
  <c r="Z69" i="57"/>
  <c r="X69" i="57"/>
  <c r="N69" i="57"/>
  <c r="L69" i="57"/>
  <c r="B69" i="57"/>
  <c r="X68" i="57"/>
  <c r="Z68" i="57" s="1"/>
  <c r="L68" i="57"/>
  <c r="N68" i="57" s="1"/>
  <c r="B68" i="57"/>
  <c r="T67" i="57"/>
  <c r="P67" i="57"/>
  <c r="X67" i="57" s="1"/>
  <c r="Z67" i="57" s="1"/>
  <c r="H67" i="57"/>
  <c r="L67" i="57" s="1"/>
  <c r="N67" i="57" s="1"/>
  <c r="D67" i="57"/>
  <c r="B67" i="57"/>
  <c r="Z66" i="57"/>
  <c r="X66" i="57"/>
  <c r="N66" i="57"/>
  <c r="L66" i="57"/>
  <c r="B66" i="57"/>
  <c r="T65" i="57"/>
  <c r="R65" i="57"/>
  <c r="P65" i="57"/>
  <c r="N65" i="57"/>
  <c r="H65" i="57"/>
  <c r="D65" i="57"/>
  <c r="L65" i="57" s="1"/>
  <c r="B65" i="57"/>
  <c r="X64" i="57"/>
  <c r="Z64" i="57" s="1"/>
  <c r="L64" i="57"/>
  <c r="N64" i="57" s="1"/>
  <c r="J64" i="57"/>
  <c r="F64" i="57"/>
  <c r="B64" i="57"/>
  <c r="X63" i="57"/>
  <c r="Z63" i="57" s="1"/>
  <c r="T63" i="57"/>
  <c r="P63" i="57"/>
  <c r="H63" i="57"/>
  <c r="F63" i="57"/>
  <c r="D63" i="57"/>
  <c r="B63" i="57"/>
  <c r="Z62" i="57"/>
  <c r="X62" i="57"/>
  <c r="N62" i="57"/>
  <c r="L62" i="57"/>
  <c r="F62" i="57"/>
  <c r="B62" i="57"/>
  <c r="Z61" i="57"/>
  <c r="X61" i="57"/>
  <c r="L61" i="57"/>
  <c r="N61" i="57" s="1"/>
  <c r="F61" i="57"/>
  <c r="B61" i="57"/>
  <c r="T60" i="57"/>
  <c r="P60" i="57"/>
  <c r="H60" i="57"/>
  <c r="F60" i="57"/>
  <c r="D60" i="57"/>
  <c r="L60" i="57" s="1"/>
  <c r="N60" i="57" s="1"/>
  <c r="B60" i="57"/>
  <c r="Z59" i="57"/>
  <c r="X59" i="57"/>
  <c r="L59" i="57"/>
  <c r="N59" i="57" s="1"/>
  <c r="B59" i="57"/>
  <c r="Z58" i="57"/>
  <c r="T58" i="57"/>
  <c r="P58" i="57"/>
  <c r="X58" i="57" s="1"/>
  <c r="H58" i="57"/>
  <c r="D58" i="57"/>
  <c r="L58" i="57" s="1"/>
  <c r="N58" i="57" s="1"/>
  <c r="B58" i="57"/>
  <c r="Z57" i="57"/>
  <c r="X57" i="57"/>
  <c r="V57" i="57"/>
  <c r="R57" i="57"/>
  <c r="N57" i="57"/>
  <c r="L57" i="57"/>
  <c r="B57" i="57"/>
  <c r="Z56" i="57"/>
  <c r="X56" i="57"/>
  <c r="N56" i="57"/>
  <c r="L56" i="57"/>
  <c r="J56" i="57"/>
  <c r="F56" i="57"/>
  <c r="B56" i="57"/>
  <c r="Z55" i="57"/>
  <c r="X55" i="57"/>
  <c r="N55" i="57"/>
  <c r="L55" i="57"/>
  <c r="B55" i="57"/>
  <c r="Z54" i="57"/>
  <c r="X54" i="57"/>
  <c r="T54" i="57"/>
  <c r="R54" i="57"/>
  <c r="P54" i="57"/>
  <c r="H54" i="57"/>
  <c r="N54" i="57" s="1"/>
  <c r="D54" i="57"/>
  <c r="L54" i="57" s="1"/>
  <c r="B54" i="57"/>
  <c r="Z53" i="57"/>
  <c r="X53" i="57"/>
  <c r="L53" i="57"/>
  <c r="N53" i="57" s="1"/>
  <c r="J53" i="57"/>
  <c r="F53" i="57"/>
  <c r="B53" i="57"/>
  <c r="X52" i="57"/>
  <c r="T52" i="57"/>
  <c r="P52" i="57"/>
  <c r="H52" i="57"/>
  <c r="F52" i="57"/>
  <c r="D52" i="57"/>
  <c r="B52" i="57"/>
  <c r="X51" i="57"/>
  <c r="Z51" i="57" s="1"/>
  <c r="N51" i="57"/>
  <c r="L51" i="57"/>
  <c r="B51" i="57"/>
  <c r="Z50" i="57"/>
  <c r="X50" i="57"/>
  <c r="T50" i="57"/>
  <c r="P50" i="57"/>
  <c r="J50" i="57"/>
  <c r="H50" i="57"/>
  <c r="D50" i="57"/>
  <c r="L50" i="57" s="1"/>
  <c r="N50" i="57" s="1"/>
  <c r="B50" i="57"/>
  <c r="Z49" i="57"/>
  <c r="X49" i="57"/>
  <c r="N49" i="57"/>
  <c r="L49" i="57"/>
  <c r="B49" i="57"/>
  <c r="X48" i="57"/>
  <c r="T48" i="57"/>
  <c r="P48" i="57"/>
  <c r="L48" i="57"/>
  <c r="H48" i="57"/>
  <c r="N48" i="57" s="1"/>
  <c r="F48" i="57"/>
  <c r="D48" i="57"/>
  <c r="B48" i="57"/>
  <c r="X47" i="57"/>
  <c r="Z47" i="57" s="1"/>
  <c r="V47" i="57"/>
  <c r="N47" i="57"/>
  <c r="L47" i="57"/>
  <c r="B47" i="57"/>
  <c r="Z46" i="57"/>
  <c r="T46" i="57"/>
  <c r="P46" i="57"/>
  <c r="X46" i="57" s="1"/>
  <c r="H46" i="57"/>
  <c r="D46" i="57"/>
  <c r="L46" i="57" s="1"/>
  <c r="B46" i="57"/>
  <c r="X45" i="57"/>
  <c r="Z45" i="57" s="1"/>
  <c r="N45" i="57"/>
  <c r="L45" i="57"/>
  <c r="F45" i="57"/>
  <c r="B45" i="57"/>
  <c r="T44" i="57"/>
  <c r="P44" i="57"/>
  <c r="X44" i="57" s="1"/>
  <c r="Z44" i="57" s="1"/>
  <c r="H44" i="57"/>
  <c r="F44" i="57"/>
  <c r="D44" i="57"/>
  <c r="L44" i="57" s="1"/>
  <c r="N44" i="57" s="1"/>
  <c r="B44" i="57"/>
  <c r="Z43" i="57"/>
  <c r="X43" i="57"/>
  <c r="L43" i="57"/>
  <c r="N43" i="57" s="1"/>
  <c r="J43" i="57"/>
  <c r="B43" i="57"/>
  <c r="Z42" i="57"/>
  <c r="X42" i="57"/>
  <c r="T42" i="57"/>
  <c r="R42" i="57"/>
  <c r="P42" i="57"/>
  <c r="L42" i="57"/>
  <c r="J42" i="57"/>
  <c r="H42" i="57"/>
  <c r="D42" i="57"/>
  <c r="B42" i="57"/>
  <c r="Z41" i="57"/>
  <c r="X41" i="57"/>
  <c r="N41" i="57"/>
  <c r="L41" i="57"/>
  <c r="F41" i="57"/>
  <c r="B41" i="57"/>
  <c r="T40" i="57"/>
  <c r="P40" i="57"/>
  <c r="X40" i="57" s="1"/>
  <c r="N40" i="57"/>
  <c r="H40" i="57"/>
  <c r="F40" i="57"/>
  <c r="D40" i="57"/>
  <c r="B40" i="57"/>
  <c r="Z39" i="57"/>
  <c r="X39" i="57"/>
  <c r="N39" i="57"/>
  <c r="L39" i="57"/>
  <c r="B39" i="57"/>
  <c r="Z38" i="57"/>
  <c r="X38" i="57"/>
  <c r="N38" i="57"/>
  <c r="L38" i="57"/>
  <c r="F38" i="57"/>
  <c r="B38" i="57"/>
  <c r="X37" i="57"/>
  <c r="Z37" i="57" s="1"/>
  <c r="N37" i="57"/>
  <c r="L37" i="57"/>
  <c r="J37" i="57"/>
  <c r="F37" i="57"/>
  <c r="B37" i="57"/>
  <c r="X36" i="57"/>
  <c r="Z36" i="57" s="1"/>
  <c r="N36" i="57"/>
  <c r="L36" i="57"/>
  <c r="F36" i="57"/>
  <c r="B36" i="57"/>
  <c r="Z35" i="57"/>
  <c r="X35" i="57"/>
  <c r="N35" i="57"/>
  <c r="L35" i="57"/>
  <c r="B35" i="57"/>
  <c r="Z34" i="57"/>
  <c r="X34" i="57"/>
  <c r="N34" i="57"/>
  <c r="L34" i="57"/>
  <c r="F34" i="57"/>
  <c r="B34" i="57"/>
  <c r="X33" i="57"/>
  <c r="Z33" i="57" s="1"/>
  <c r="V33" i="57"/>
  <c r="R33" i="57"/>
  <c r="N33" i="57"/>
  <c r="L33" i="57"/>
  <c r="F33" i="57"/>
  <c r="B33" i="57"/>
  <c r="Z32" i="57"/>
  <c r="X32" i="57"/>
  <c r="N32" i="57"/>
  <c r="L32" i="57"/>
  <c r="J32" i="57"/>
  <c r="F32" i="57"/>
  <c r="B32" i="57"/>
  <c r="Z31" i="57"/>
  <c r="X31" i="57"/>
  <c r="N31" i="57"/>
  <c r="L31" i="57"/>
  <c r="B31" i="57"/>
  <c r="Z30" i="57"/>
  <c r="X30" i="57"/>
  <c r="R30" i="57"/>
  <c r="N30" i="57"/>
  <c r="L30" i="57"/>
  <c r="F30" i="57"/>
  <c r="B30" i="57"/>
  <c r="T29" i="57"/>
  <c r="P29" i="57"/>
  <c r="H29" i="57"/>
  <c r="N29" i="57" s="1"/>
  <c r="F29" i="57"/>
  <c r="D29" i="57"/>
  <c r="L29" i="57" s="1"/>
  <c r="B29" i="57"/>
  <c r="X28" i="57"/>
  <c r="Z28" i="57" s="1"/>
  <c r="R28" i="57"/>
  <c r="L28" i="57"/>
  <c r="N28" i="57" s="1"/>
  <c r="F28" i="57"/>
  <c r="B28" i="57"/>
  <c r="X27" i="57"/>
  <c r="Z27" i="57" s="1"/>
  <c r="N27" i="57"/>
  <c r="L27" i="57"/>
  <c r="J27" i="57"/>
  <c r="B27" i="57"/>
  <c r="X26" i="57"/>
  <c r="Z26" i="57" s="1"/>
  <c r="N26" i="57"/>
  <c r="L26" i="57"/>
  <c r="B26" i="57"/>
  <c r="Z25" i="57"/>
  <c r="X25" i="57"/>
  <c r="N25" i="57"/>
  <c r="L25" i="57"/>
  <c r="J25" i="57"/>
  <c r="F25" i="57"/>
  <c r="B25" i="57"/>
  <c r="X24" i="57"/>
  <c r="Z24" i="57" s="1"/>
  <c r="R24" i="57"/>
  <c r="L24" i="57"/>
  <c r="N24" i="57" s="1"/>
  <c r="J24" i="57"/>
  <c r="F24" i="57"/>
  <c r="B24" i="57"/>
  <c r="X23" i="57"/>
  <c r="Z23" i="57" s="1"/>
  <c r="L23" i="57"/>
  <c r="N23" i="57" s="1"/>
  <c r="B23" i="57"/>
  <c r="X22" i="57"/>
  <c r="Z22" i="57" s="1"/>
  <c r="N22" i="57"/>
  <c r="L22" i="57"/>
  <c r="J22" i="57"/>
  <c r="F22" i="57"/>
  <c r="B22" i="57"/>
  <c r="Z21" i="57"/>
  <c r="X21" i="57"/>
  <c r="R21" i="57"/>
  <c r="N21" i="57"/>
  <c r="L21" i="57"/>
  <c r="J21" i="57"/>
  <c r="F21" i="57"/>
  <c r="B21" i="57"/>
  <c r="Z20" i="57"/>
  <c r="X20" i="57"/>
  <c r="R20" i="57"/>
  <c r="N20" i="57"/>
  <c r="L20" i="57"/>
  <c r="J20" i="57"/>
  <c r="F20" i="57"/>
  <c r="B20" i="57"/>
  <c r="T19" i="57"/>
  <c r="P19" i="57"/>
  <c r="X19" i="57" s="1"/>
  <c r="H19" i="57"/>
  <c r="F19" i="57"/>
  <c r="D19" i="57"/>
  <c r="L19" i="57" s="1"/>
  <c r="B19" i="57"/>
  <c r="V18" i="57"/>
  <c r="T18" i="57"/>
  <c r="Z18" i="57" s="1"/>
  <c r="P18" i="57"/>
  <c r="X18" i="57" s="1"/>
  <c r="J18" i="57"/>
  <c r="H18" i="57"/>
  <c r="F18" i="57"/>
  <c r="D18" i="57"/>
  <c r="V16" i="57"/>
  <c r="J16" i="57"/>
  <c r="F16" i="57"/>
  <c r="T14" i="57"/>
  <c r="Z14" i="57" s="1"/>
  <c r="P14" i="57"/>
  <c r="X14" i="57" s="1"/>
  <c r="J14" i="57"/>
  <c r="H14" i="57"/>
  <c r="N14" i="57" s="1"/>
  <c r="F14" i="57"/>
  <c r="D14" i="57"/>
  <c r="D16" i="57" s="1"/>
  <c r="T12" i="57"/>
  <c r="V48" i="57" s="1"/>
  <c r="P12" i="57"/>
  <c r="R61" i="57" s="1"/>
  <c r="N12" i="57"/>
  <c r="L12" i="57"/>
  <c r="H12" i="57"/>
  <c r="J46" i="57" s="1"/>
  <c r="D12" i="57"/>
  <c r="D6" i="57"/>
  <c r="D4" i="57"/>
  <c r="F88" i="56"/>
  <c r="F85" i="56"/>
  <c r="Z83" i="56"/>
  <c r="X83" i="56"/>
  <c r="N83" i="56"/>
  <c r="L83" i="56"/>
  <c r="F83" i="56"/>
  <c r="V81" i="56"/>
  <c r="J81" i="56"/>
  <c r="V79" i="56"/>
  <c r="T79" i="56"/>
  <c r="Z79" i="56" s="1"/>
  <c r="P79" i="56"/>
  <c r="X79" i="56" s="1"/>
  <c r="J79" i="56"/>
  <c r="H79" i="56"/>
  <c r="N79" i="56" s="1"/>
  <c r="D79" i="56"/>
  <c r="L79" i="56" s="1"/>
  <c r="Z77" i="56"/>
  <c r="X77" i="56"/>
  <c r="V77" i="56"/>
  <c r="N77" i="56"/>
  <c r="L77" i="56"/>
  <c r="B77" i="56"/>
  <c r="Z76" i="56"/>
  <c r="X76" i="56"/>
  <c r="V76" i="56"/>
  <c r="L76" i="56"/>
  <c r="N76" i="56" s="1"/>
  <c r="J76" i="56"/>
  <c r="F76" i="56"/>
  <c r="B76" i="56"/>
  <c r="V75" i="56"/>
  <c r="T75" i="56"/>
  <c r="Z75" i="56" s="1"/>
  <c r="P75" i="56"/>
  <c r="X75" i="56" s="1"/>
  <c r="H75" i="56"/>
  <c r="F75" i="56"/>
  <c r="D75" i="56"/>
  <c r="B75" i="56"/>
  <c r="X74" i="56"/>
  <c r="Z74" i="56" s="1"/>
  <c r="V74" i="56"/>
  <c r="N74" i="56"/>
  <c r="L74" i="56"/>
  <c r="F74" i="56"/>
  <c r="B74" i="56"/>
  <c r="Z73" i="56"/>
  <c r="X73" i="56"/>
  <c r="T73" i="56"/>
  <c r="P73" i="56"/>
  <c r="N73" i="56"/>
  <c r="H73" i="56"/>
  <c r="F73" i="56"/>
  <c r="D73" i="56"/>
  <c r="L73" i="56" s="1"/>
  <c r="B73" i="56"/>
  <c r="Z72" i="56"/>
  <c r="X72" i="56"/>
  <c r="N72" i="56"/>
  <c r="L72" i="56"/>
  <c r="B72" i="56"/>
  <c r="X71" i="56"/>
  <c r="Z71" i="56" s="1"/>
  <c r="V71" i="56"/>
  <c r="T71" i="56"/>
  <c r="P71" i="56"/>
  <c r="N71" i="56"/>
  <c r="H71" i="56"/>
  <c r="L71" i="56" s="1"/>
  <c r="D71" i="56"/>
  <c r="B71" i="56"/>
  <c r="Z70" i="56"/>
  <c r="X70" i="56"/>
  <c r="V70" i="56"/>
  <c r="N70" i="56"/>
  <c r="L70" i="56"/>
  <c r="B70" i="56"/>
  <c r="Z69" i="56"/>
  <c r="X69" i="56"/>
  <c r="V69" i="56"/>
  <c r="N69" i="56"/>
  <c r="L69" i="56"/>
  <c r="B69" i="56"/>
  <c r="Z68" i="56"/>
  <c r="X68" i="56"/>
  <c r="V68" i="56"/>
  <c r="L68" i="56"/>
  <c r="N68" i="56" s="1"/>
  <c r="J68" i="56"/>
  <c r="F68" i="56"/>
  <c r="B68" i="56"/>
  <c r="V67" i="56"/>
  <c r="T67" i="56"/>
  <c r="P67" i="56"/>
  <c r="X67" i="56" s="1"/>
  <c r="J67" i="56"/>
  <c r="H67" i="56"/>
  <c r="F67" i="56"/>
  <c r="D67" i="56"/>
  <c r="B67" i="56"/>
  <c r="X66" i="56"/>
  <c r="Z66" i="56" s="1"/>
  <c r="V66" i="56"/>
  <c r="N66" i="56"/>
  <c r="L66" i="56"/>
  <c r="F66" i="56"/>
  <c r="B66" i="56"/>
  <c r="Z65" i="56"/>
  <c r="X65" i="56"/>
  <c r="T65" i="56"/>
  <c r="P65" i="56"/>
  <c r="N65" i="56"/>
  <c r="H65" i="56"/>
  <c r="F65" i="56"/>
  <c r="D65" i="56"/>
  <c r="L65" i="56" s="1"/>
  <c r="B65" i="56"/>
  <c r="Z64" i="56"/>
  <c r="X64" i="56"/>
  <c r="N64" i="56"/>
  <c r="L64" i="56"/>
  <c r="B64" i="56"/>
  <c r="X63" i="56"/>
  <c r="Z63" i="56" s="1"/>
  <c r="V63" i="56"/>
  <c r="N63" i="56"/>
  <c r="L63" i="56"/>
  <c r="J63" i="56"/>
  <c r="F63" i="56"/>
  <c r="B63" i="56"/>
  <c r="Z62" i="56"/>
  <c r="X62" i="56"/>
  <c r="N62" i="56"/>
  <c r="L62" i="56"/>
  <c r="B62" i="56"/>
  <c r="Z61" i="56"/>
  <c r="V61" i="56"/>
  <c r="T61" i="56"/>
  <c r="X61" i="56" s="1"/>
  <c r="P61" i="56"/>
  <c r="L61" i="56"/>
  <c r="N61" i="56" s="1"/>
  <c r="J61" i="56"/>
  <c r="H61" i="56"/>
  <c r="D61" i="56"/>
  <c r="B61" i="56"/>
  <c r="Z60" i="56"/>
  <c r="X60" i="56"/>
  <c r="V60" i="56"/>
  <c r="N60" i="56"/>
  <c r="L60" i="56"/>
  <c r="J60" i="56"/>
  <c r="F60" i="56"/>
  <c r="B60" i="56"/>
  <c r="Z59" i="56"/>
  <c r="X59" i="56"/>
  <c r="V59" i="56"/>
  <c r="N59" i="56"/>
  <c r="L59" i="56"/>
  <c r="B59" i="56"/>
  <c r="X58" i="56"/>
  <c r="Z58" i="56" s="1"/>
  <c r="V58" i="56"/>
  <c r="L58" i="56"/>
  <c r="N58" i="56" s="1"/>
  <c r="B58" i="56"/>
  <c r="V57" i="56"/>
  <c r="T57" i="56"/>
  <c r="P57" i="56"/>
  <c r="J57" i="56"/>
  <c r="H57" i="56"/>
  <c r="D57" i="56"/>
  <c r="L57" i="56" s="1"/>
  <c r="B57" i="56"/>
  <c r="X56" i="56"/>
  <c r="Z56" i="56" s="1"/>
  <c r="V56" i="56"/>
  <c r="N56" i="56"/>
  <c r="L56" i="56"/>
  <c r="F56" i="56"/>
  <c r="B56" i="56"/>
  <c r="V55" i="56"/>
  <c r="T55" i="56"/>
  <c r="P55" i="56"/>
  <c r="X55" i="56" s="1"/>
  <c r="Z55" i="56" s="1"/>
  <c r="N55" i="56"/>
  <c r="L55" i="56"/>
  <c r="H55" i="56"/>
  <c r="F55" i="56"/>
  <c r="D55" i="56"/>
  <c r="B55" i="56"/>
  <c r="Z54" i="56"/>
  <c r="X54" i="56"/>
  <c r="N54" i="56"/>
  <c r="L54" i="56"/>
  <c r="B54" i="56"/>
  <c r="Z53" i="56"/>
  <c r="V53" i="56"/>
  <c r="T53" i="56"/>
  <c r="X53" i="56" s="1"/>
  <c r="P53" i="56"/>
  <c r="N53" i="56"/>
  <c r="L53" i="56"/>
  <c r="J53" i="56"/>
  <c r="H53" i="56"/>
  <c r="D53" i="56"/>
  <c r="B53" i="56"/>
  <c r="Z52" i="56"/>
  <c r="X52" i="56"/>
  <c r="V52" i="56"/>
  <c r="N52" i="56"/>
  <c r="L52" i="56"/>
  <c r="J52" i="56"/>
  <c r="F52" i="56"/>
  <c r="B52" i="56"/>
  <c r="V51" i="56"/>
  <c r="T51" i="56"/>
  <c r="Z51" i="56" s="1"/>
  <c r="P51" i="56"/>
  <c r="X51" i="56" s="1"/>
  <c r="J51" i="56"/>
  <c r="H51" i="56"/>
  <c r="N51" i="56" s="1"/>
  <c r="F51" i="56"/>
  <c r="D51" i="56"/>
  <c r="L51" i="56" s="1"/>
  <c r="B51" i="56"/>
  <c r="X50" i="56"/>
  <c r="Z50" i="56" s="1"/>
  <c r="V50" i="56"/>
  <c r="N50" i="56"/>
  <c r="L50" i="56"/>
  <c r="F50" i="56"/>
  <c r="B50" i="56"/>
  <c r="Z49" i="56"/>
  <c r="X49" i="56"/>
  <c r="V49" i="56"/>
  <c r="T49" i="56"/>
  <c r="P49" i="56"/>
  <c r="H49" i="56"/>
  <c r="F49" i="56"/>
  <c r="D49" i="56"/>
  <c r="L49" i="56" s="1"/>
  <c r="N49" i="56" s="1"/>
  <c r="B49" i="56"/>
  <c r="Z48" i="56"/>
  <c r="X48" i="56"/>
  <c r="R48" i="56"/>
  <c r="N48" i="56"/>
  <c r="L48" i="56"/>
  <c r="B48" i="56"/>
  <c r="X47" i="56"/>
  <c r="Z47" i="56" s="1"/>
  <c r="V47" i="56"/>
  <c r="T47" i="56"/>
  <c r="P47" i="56"/>
  <c r="N47" i="56"/>
  <c r="H47" i="56"/>
  <c r="L47" i="56" s="1"/>
  <c r="D47" i="56"/>
  <c r="B47" i="56"/>
  <c r="Z46" i="56"/>
  <c r="X46" i="56"/>
  <c r="V46" i="56"/>
  <c r="L46" i="56"/>
  <c r="N46" i="56" s="1"/>
  <c r="B46" i="56"/>
  <c r="Z45" i="56"/>
  <c r="X45" i="56"/>
  <c r="V45" i="56"/>
  <c r="N45" i="56"/>
  <c r="L45" i="56"/>
  <c r="B45" i="56"/>
  <c r="V44" i="56"/>
  <c r="T44" i="56"/>
  <c r="P44" i="56"/>
  <c r="X44" i="56" s="1"/>
  <c r="Z44" i="56" s="1"/>
  <c r="L44" i="56"/>
  <c r="N44" i="56" s="1"/>
  <c r="H44" i="56"/>
  <c r="D44" i="56"/>
  <c r="B44" i="56"/>
  <c r="X43" i="56"/>
  <c r="Z43" i="56" s="1"/>
  <c r="V43" i="56"/>
  <c r="N43" i="56"/>
  <c r="L43" i="56"/>
  <c r="J43" i="56"/>
  <c r="F43" i="56"/>
  <c r="B43" i="56"/>
  <c r="X42" i="56"/>
  <c r="V42" i="56"/>
  <c r="T42" i="56"/>
  <c r="Z42" i="56" s="1"/>
  <c r="P42" i="56"/>
  <c r="L42" i="56"/>
  <c r="J42" i="56"/>
  <c r="H42" i="56"/>
  <c r="F42" i="56"/>
  <c r="D42" i="56"/>
  <c r="B42" i="56"/>
  <c r="Z41" i="56"/>
  <c r="X41" i="56"/>
  <c r="V41" i="56"/>
  <c r="N41" i="56"/>
  <c r="L41" i="56"/>
  <c r="J41" i="56"/>
  <c r="F41" i="56"/>
  <c r="B41" i="56"/>
  <c r="T40" i="56"/>
  <c r="P40" i="56"/>
  <c r="X40" i="56" s="1"/>
  <c r="H40" i="56"/>
  <c r="F40" i="56"/>
  <c r="D40" i="56"/>
  <c r="L40" i="56" s="1"/>
  <c r="B40" i="56"/>
  <c r="Z39" i="56"/>
  <c r="X39" i="56"/>
  <c r="V39" i="56"/>
  <c r="N39" i="56"/>
  <c r="L39" i="56"/>
  <c r="B39" i="56"/>
  <c r="Z38" i="56"/>
  <c r="X38" i="56"/>
  <c r="V38" i="56"/>
  <c r="N38" i="56"/>
  <c r="L38" i="56"/>
  <c r="B38" i="56"/>
  <c r="Z37" i="56"/>
  <c r="X37" i="56"/>
  <c r="V37" i="56"/>
  <c r="N37" i="56"/>
  <c r="L37" i="56"/>
  <c r="B37" i="56"/>
  <c r="Z36" i="56"/>
  <c r="X36" i="56"/>
  <c r="V36" i="56"/>
  <c r="N36" i="56"/>
  <c r="L36" i="56"/>
  <c r="J36" i="56"/>
  <c r="F36" i="56"/>
  <c r="B36" i="56"/>
  <c r="Z35" i="56"/>
  <c r="X35" i="56"/>
  <c r="V35" i="56"/>
  <c r="N35" i="56"/>
  <c r="L35" i="56"/>
  <c r="B35" i="56"/>
  <c r="Z34" i="56"/>
  <c r="X34" i="56"/>
  <c r="V34" i="56"/>
  <c r="N34" i="56"/>
  <c r="L34" i="56"/>
  <c r="B34" i="56"/>
  <c r="Z33" i="56"/>
  <c r="X33" i="56"/>
  <c r="V33" i="56"/>
  <c r="N33" i="56"/>
  <c r="L33" i="56"/>
  <c r="B33" i="56"/>
  <c r="Z32" i="56"/>
  <c r="X32" i="56"/>
  <c r="V32" i="56"/>
  <c r="N32" i="56"/>
  <c r="L32" i="56"/>
  <c r="J32" i="56"/>
  <c r="F32" i="56"/>
  <c r="B32" i="56"/>
  <c r="Z31" i="56"/>
  <c r="X31" i="56"/>
  <c r="V31" i="56"/>
  <c r="L31" i="56"/>
  <c r="N31" i="56" s="1"/>
  <c r="B31" i="56"/>
  <c r="Z30" i="56"/>
  <c r="X30" i="56"/>
  <c r="V30" i="56"/>
  <c r="L30" i="56"/>
  <c r="N30" i="56" s="1"/>
  <c r="B30" i="56"/>
  <c r="V29" i="56"/>
  <c r="T29" i="56"/>
  <c r="P29" i="56"/>
  <c r="X29" i="56" s="1"/>
  <c r="J29" i="56"/>
  <c r="H29" i="56"/>
  <c r="N29" i="56" s="1"/>
  <c r="D29" i="56"/>
  <c r="L29" i="56" s="1"/>
  <c r="B29" i="56"/>
  <c r="Z28" i="56"/>
  <c r="X28" i="56"/>
  <c r="V28" i="56"/>
  <c r="N28" i="56"/>
  <c r="L28" i="56"/>
  <c r="F28" i="56"/>
  <c r="B28" i="56"/>
  <c r="X27" i="56"/>
  <c r="Z27" i="56" s="1"/>
  <c r="V27" i="56"/>
  <c r="N27" i="56"/>
  <c r="L27" i="56"/>
  <c r="J27" i="56"/>
  <c r="F27" i="56"/>
  <c r="B27" i="56"/>
  <c r="X26" i="56"/>
  <c r="Z26" i="56" s="1"/>
  <c r="V26" i="56"/>
  <c r="N26" i="56"/>
  <c r="L26" i="56"/>
  <c r="F26" i="56"/>
  <c r="B26" i="56"/>
  <c r="Z25" i="56"/>
  <c r="X25" i="56"/>
  <c r="V25" i="56"/>
  <c r="N25" i="56"/>
  <c r="L25" i="56"/>
  <c r="F25" i="56"/>
  <c r="B25" i="56"/>
  <c r="X24" i="56"/>
  <c r="Z24" i="56" s="1"/>
  <c r="V24" i="56"/>
  <c r="N24" i="56"/>
  <c r="L24" i="56"/>
  <c r="F24" i="56"/>
  <c r="B24" i="56"/>
  <c r="X23" i="56"/>
  <c r="Z23" i="56" s="1"/>
  <c r="V23" i="56"/>
  <c r="L23" i="56"/>
  <c r="N23" i="56" s="1"/>
  <c r="J23" i="56"/>
  <c r="F23" i="56"/>
  <c r="B23" i="56"/>
  <c r="X22" i="56"/>
  <c r="Z22" i="56" s="1"/>
  <c r="V22" i="56"/>
  <c r="N22" i="56"/>
  <c r="L22" i="56"/>
  <c r="F22" i="56"/>
  <c r="B22" i="56"/>
  <c r="Z21" i="56"/>
  <c r="X21" i="56"/>
  <c r="V21" i="56"/>
  <c r="N21" i="56"/>
  <c r="L21" i="56"/>
  <c r="F21" i="56"/>
  <c r="B21" i="56"/>
  <c r="X20" i="56"/>
  <c r="Z20" i="56" s="1"/>
  <c r="V20" i="56"/>
  <c r="R20" i="56"/>
  <c r="N20" i="56"/>
  <c r="L20" i="56"/>
  <c r="F20" i="56"/>
  <c r="B20" i="56"/>
  <c r="X19" i="56"/>
  <c r="Z19" i="56" s="1"/>
  <c r="V19" i="56"/>
  <c r="T19" i="56"/>
  <c r="R19" i="56"/>
  <c r="P19" i="56"/>
  <c r="N19" i="56"/>
  <c r="L19" i="56"/>
  <c r="H19" i="56"/>
  <c r="F19" i="56"/>
  <c r="D19" i="56"/>
  <c r="B19" i="56"/>
  <c r="T18" i="56"/>
  <c r="P18" i="56"/>
  <c r="H18" i="56"/>
  <c r="F18" i="56"/>
  <c r="D18" i="56"/>
  <c r="L18" i="56" s="1"/>
  <c r="T16" i="56"/>
  <c r="R16" i="56"/>
  <c r="F16" i="56"/>
  <c r="Z14" i="56"/>
  <c r="T14" i="56"/>
  <c r="R14" i="56"/>
  <c r="P14" i="56"/>
  <c r="X14" i="56" s="1"/>
  <c r="H14" i="56"/>
  <c r="N14" i="56" s="1"/>
  <c r="F14" i="56"/>
  <c r="D14" i="56"/>
  <c r="Z12" i="56"/>
  <c r="T12" i="56"/>
  <c r="V88" i="56" s="1"/>
  <c r="P12" i="56"/>
  <c r="R88" i="56" s="1"/>
  <c r="N12" i="56"/>
  <c r="L12" i="56"/>
  <c r="H12" i="56"/>
  <c r="J62" i="56" s="1"/>
  <c r="D12" i="56"/>
  <c r="F62" i="56" s="1"/>
  <c r="D6" i="56"/>
  <c r="D4" i="56"/>
  <c r="J38" i="55"/>
  <c r="J35" i="55"/>
  <c r="Z33" i="55"/>
  <c r="X33" i="55"/>
  <c r="N33" i="55"/>
  <c r="L33" i="55"/>
  <c r="J33" i="55"/>
  <c r="F33" i="55"/>
  <c r="F31" i="55"/>
  <c r="T29" i="55"/>
  <c r="Z29" i="55" s="1"/>
  <c r="P29" i="55"/>
  <c r="X29" i="55" s="1"/>
  <c r="H29" i="55"/>
  <c r="N29" i="55" s="1"/>
  <c r="F29" i="55"/>
  <c r="D29" i="55"/>
  <c r="Z27" i="55"/>
  <c r="X27" i="55"/>
  <c r="R27" i="55"/>
  <c r="N27" i="55"/>
  <c r="L27" i="55"/>
  <c r="J27" i="55"/>
  <c r="F27" i="55"/>
  <c r="B27" i="55"/>
  <c r="X26" i="55"/>
  <c r="Z26" i="55" s="1"/>
  <c r="V26" i="55"/>
  <c r="R26" i="55"/>
  <c r="N26" i="55"/>
  <c r="L26" i="55"/>
  <c r="J26" i="55"/>
  <c r="F26" i="55"/>
  <c r="B26" i="55"/>
  <c r="T25" i="55"/>
  <c r="R25" i="55"/>
  <c r="P25" i="55"/>
  <c r="H25" i="55"/>
  <c r="F25" i="55"/>
  <c r="D25" i="55"/>
  <c r="B25" i="55"/>
  <c r="Z24" i="55"/>
  <c r="X24" i="55"/>
  <c r="R24" i="55"/>
  <c r="N24" i="55"/>
  <c r="L24" i="55"/>
  <c r="B24" i="55"/>
  <c r="T23" i="55"/>
  <c r="P23" i="55"/>
  <c r="X23" i="55" s="1"/>
  <c r="Z23" i="55" s="1"/>
  <c r="N23" i="55"/>
  <c r="L23" i="55"/>
  <c r="J23" i="55"/>
  <c r="H23" i="55"/>
  <c r="D23" i="55"/>
  <c r="B23" i="55"/>
  <c r="X22" i="55"/>
  <c r="Z22" i="55" s="1"/>
  <c r="L22" i="55"/>
  <c r="N22" i="55" s="1"/>
  <c r="J22" i="55"/>
  <c r="F22" i="55"/>
  <c r="B22" i="55"/>
  <c r="X21" i="55"/>
  <c r="T21" i="55"/>
  <c r="R21" i="55"/>
  <c r="P21" i="55"/>
  <c r="J21" i="55"/>
  <c r="H21" i="55"/>
  <c r="F21" i="55"/>
  <c r="D21" i="55"/>
  <c r="B21" i="55"/>
  <c r="Z20" i="55"/>
  <c r="X20" i="55"/>
  <c r="R20" i="55"/>
  <c r="N20" i="55"/>
  <c r="L20" i="55"/>
  <c r="J20" i="55"/>
  <c r="F20" i="55"/>
  <c r="B20" i="55"/>
  <c r="T19" i="55"/>
  <c r="P19" i="55"/>
  <c r="N19" i="55"/>
  <c r="H19" i="55"/>
  <c r="F19" i="55"/>
  <c r="D19" i="55"/>
  <c r="L19" i="55" s="1"/>
  <c r="B19" i="55"/>
  <c r="T18" i="55"/>
  <c r="P18" i="55"/>
  <c r="X18" i="55" s="1"/>
  <c r="J18" i="55"/>
  <c r="H18" i="55"/>
  <c r="F18" i="55"/>
  <c r="D18" i="55"/>
  <c r="V16" i="55"/>
  <c r="P16" i="55"/>
  <c r="J16" i="55"/>
  <c r="F16" i="55"/>
  <c r="V14" i="55"/>
  <c r="T14" i="55"/>
  <c r="Z14" i="55" s="1"/>
  <c r="P14" i="55"/>
  <c r="X14" i="55" s="1"/>
  <c r="J14" i="55"/>
  <c r="H14" i="55"/>
  <c r="N14" i="55" s="1"/>
  <c r="F14" i="55"/>
  <c r="D14" i="55"/>
  <c r="T12" i="55"/>
  <c r="P12" i="55"/>
  <c r="X12" i="55" s="1"/>
  <c r="N12" i="55"/>
  <c r="L12" i="55"/>
  <c r="H12" i="55"/>
  <c r="J24" i="55" s="1"/>
  <c r="D12" i="55"/>
  <c r="F38" i="55" s="1"/>
  <c r="D6" i="55"/>
  <c r="D4" i="55"/>
  <c r="F31" i="54"/>
  <c r="Z29" i="54"/>
  <c r="X29" i="54"/>
  <c r="T29" i="54"/>
  <c r="P29" i="54"/>
  <c r="H29" i="54"/>
  <c r="F29" i="54"/>
  <c r="D29" i="54"/>
  <c r="L29" i="54" s="1"/>
  <c r="N29" i="54" s="1"/>
  <c r="Z28" i="54"/>
  <c r="X28" i="54"/>
  <c r="T28" i="54"/>
  <c r="P28" i="54"/>
  <c r="H28" i="54"/>
  <c r="F28" i="54"/>
  <c r="D28" i="54"/>
  <c r="L28" i="54" s="1"/>
  <c r="N28" i="54" s="1"/>
  <c r="F26" i="54"/>
  <c r="Z24" i="54"/>
  <c r="X24" i="54"/>
  <c r="N24" i="54"/>
  <c r="L24" i="54"/>
  <c r="J24" i="54"/>
  <c r="F24" i="54"/>
  <c r="V22" i="54"/>
  <c r="J22" i="54"/>
  <c r="F22" i="54"/>
  <c r="T20" i="54"/>
  <c r="Z20" i="54" s="1"/>
  <c r="P20" i="54"/>
  <c r="X20" i="54" s="1"/>
  <c r="J20" i="54"/>
  <c r="H20" i="54"/>
  <c r="N20" i="54" s="1"/>
  <c r="F20" i="54"/>
  <c r="D20" i="54"/>
  <c r="L20" i="54" s="1"/>
  <c r="V18" i="54"/>
  <c r="T18" i="54"/>
  <c r="Z18" i="54" s="1"/>
  <c r="P18" i="54"/>
  <c r="X18" i="54" s="1"/>
  <c r="J18" i="54"/>
  <c r="H18" i="54"/>
  <c r="N18" i="54" s="1"/>
  <c r="F18" i="54"/>
  <c r="D18" i="54"/>
  <c r="L18" i="54" s="1"/>
  <c r="T16" i="54"/>
  <c r="Z16" i="54" s="1"/>
  <c r="J16" i="54"/>
  <c r="F16" i="54"/>
  <c r="D16" i="54"/>
  <c r="V14" i="54"/>
  <c r="T14" i="54"/>
  <c r="Z14" i="54" s="1"/>
  <c r="P14" i="54"/>
  <c r="J14" i="54"/>
  <c r="H14" i="54"/>
  <c r="N14" i="54" s="1"/>
  <c r="F14" i="54"/>
  <c r="D14" i="54"/>
  <c r="L14" i="54" s="1"/>
  <c r="T12" i="54"/>
  <c r="P12" i="54"/>
  <c r="N12" i="54"/>
  <c r="L12" i="54"/>
  <c r="H12" i="54"/>
  <c r="J31" i="54" s="1"/>
  <c r="D12" i="54"/>
  <c r="D6" i="54"/>
  <c r="D4" i="54"/>
  <c r="Z109" i="51"/>
  <c r="X109" i="51"/>
  <c r="N109" i="51"/>
  <c r="L109" i="51"/>
  <c r="Z105" i="51"/>
  <c r="X105" i="51"/>
  <c r="P105" i="51"/>
  <c r="J105" i="51"/>
  <c r="D105" i="51"/>
  <c r="L105" i="51" s="1"/>
  <c r="N105" i="51" s="1"/>
  <c r="B105" i="51"/>
  <c r="Z104" i="51"/>
  <c r="X104" i="51"/>
  <c r="P104" i="51"/>
  <c r="P102" i="51" s="1"/>
  <c r="N104" i="51"/>
  <c r="D104" i="51"/>
  <c r="L104" i="51" s="1"/>
  <c r="B104" i="51"/>
  <c r="Z103" i="51"/>
  <c r="P103" i="51"/>
  <c r="X103" i="51" s="1"/>
  <c r="N103" i="51"/>
  <c r="D103" i="51"/>
  <c r="L103" i="51" s="1"/>
  <c r="B103" i="51"/>
  <c r="T102" i="51"/>
  <c r="H102" i="51"/>
  <c r="Z100" i="51"/>
  <c r="X100" i="51"/>
  <c r="N100" i="51"/>
  <c r="L100" i="51"/>
  <c r="B100" i="51"/>
  <c r="X99" i="51"/>
  <c r="T99" i="51"/>
  <c r="Z99" i="51" s="1"/>
  <c r="P99" i="51"/>
  <c r="L99" i="51"/>
  <c r="H99" i="51"/>
  <c r="N99" i="51" s="1"/>
  <c r="D99" i="51"/>
  <c r="B99" i="51"/>
  <c r="Z98" i="51"/>
  <c r="X98" i="51"/>
  <c r="N98" i="51"/>
  <c r="L98" i="51"/>
  <c r="B98" i="51"/>
  <c r="Z97" i="51"/>
  <c r="X97" i="51"/>
  <c r="N97" i="51"/>
  <c r="L97" i="51"/>
  <c r="B97" i="51"/>
  <c r="V96" i="51"/>
  <c r="T96" i="51"/>
  <c r="P96" i="51"/>
  <c r="X96" i="51" s="1"/>
  <c r="Z96" i="51" s="1"/>
  <c r="H96" i="51"/>
  <c r="D96" i="51"/>
  <c r="L96" i="51" s="1"/>
  <c r="N96" i="51" s="1"/>
  <c r="B96" i="51"/>
  <c r="Z95" i="51"/>
  <c r="X95" i="51"/>
  <c r="N95" i="51"/>
  <c r="L95" i="51"/>
  <c r="B95" i="51"/>
  <c r="X94" i="51"/>
  <c r="Z94" i="51" s="1"/>
  <c r="N94" i="51"/>
  <c r="L94" i="51"/>
  <c r="B94" i="51"/>
  <c r="T93" i="51"/>
  <c r="P93" i="51"/>
  <c r="X93" i="51" s="1"/>
  <c r="Z93" i="51" s="1"/>
  <c r="L93" i="51"/>
  <c r="N93" i="51" s="1"/>
  <c r="H93" i="51"/>
  <c r="D93" i="51"/>
  <c r="B93" i="51"/>
  <c r="Z92" i="51"/>
  <c r="X92" i="51"/>
  <c r="N92" i="51"/>
  <c r="L92" i="51"/>
  <c r="B92" i="51"/>
  <c r="Z91" i="51"/>
  <c r="T91" i="51"/>
  <c r="X91" i="51" s="1"/>
  <c r="P91" i="51"/>
  <c r="H91" i="51"/>
  <c r="D91" i="51"/>
  <c r="B91" i="51"/>
  <c r="Z90" i="51"/>
  <c r="X90" i="51"/>
  <c r="L90" i="51"/>
  <c r="N90" i="51" s="1"/>
  <c r="J90" i="51"/>
  <c r="B90" i="51"/>
  <c r="T89" i="51"/>
  <c r="P89" i="51"/>
  <c r="X89" i="51" s="1"/>
  <c r="H89" i="51"/>
  <c r="D89" i="51"/>
  <c r="B89" i="51"/>
  <c r="X88" i="51"/>
  <c r="Z88" i="51" s="1"/>
  <c r="N88" i="51"/>
  <c r="L88" i="51"/>
  <c r="B88" i="51"/>
  <c r="X87" i="51"/>
  <c r="Z87" i="51" s="1"/>
  <c r="T87" i="51"/>
  <c r="P87" i="51"/>
  <c r="H87" i="51"/>
  <c r="D87" i="51"/>
  <c r="L87" i="51" s="1"/>
  <c r="N87" i="51" s="1"/>
  <c r="B87" i="51"/>
  <c r="Z86" i="51"/>
  <c r="X86" i="51"/>
  <c r="L86" i="51"/>
  <c r="N86" i="51" s="1"/>
  <c r="B86" i="51"/>
  <c r="T85" i="51"/>
  <c r="P85" i="51"/>
  <c r="H85" i="51"/>
  <c r="D85" i="51"/>
  <c r="B85" i="51"/>
  <c r="Z84" i="51"/>
  <c r="X84" i="51"/>
  <c r="N84" i="51"/>
  <c r="L84" i="51"/>
  <c r="B84" i="51"/>
  <c r="T83" i="51"/>
  <c r="Z83" i="51" s="1"/>
  <c r="P83" i="51"/>
  <c r="J83" i="51"/>
  <c r="H83" i="51"/>
  <c r="N83" i="51" s="1"/>
  <c r="D83" i="51"/>
  <c r="B83" i="51"/>
  <c r="X82" i="51"/>
  <c r="Z82" i="51" s="1"/>
  <c r="N82" i="51"/>
  <c r="L82" i="51"/>
  <c r="B82" i="51"/>
  <c r="X81" i="51"/>
  <c r="Z81" i="51" s="1"/>
  <c r="T81" i="51"/>
  <c r="P81" i="51"/>
  <c r="H81" i="51"/>
  <c r="D81" i="51"/>
  <c r="L81" i="51" s="1"/>
  <c r="N81" i="51" s="1"/>
  <c r="B81" i="51"/>
  <c r="Z80" i="51"/>
  <c r="X80" i="51"/>
  <c r="N80" i="51"/>
  <c r="L80" i="51"/>
  <c r="B80" i="51"/>
  <c r="Z79" i="51"/>
  <c r="X79" i="51"/>
  <c r="N79" i="51"/>
  <c r="L79" i="51"/>
  <c r="J79" i="51"/>
  <c r="B79" i="51"/>
  <c r="Z78" i="51"/>
  <c r="X78" i="51"/>
  <c r="L78" i="51"/>
  <c r="N78" i="51" s="1"/>
  <c r="B78" i="51"/>
  <c r="Z77" i="51"/>
  <c r="X77" i="51"/>
  <c r="N77" i="51"/>
  <c r="L77" i="51"/>
  <c r="B77" i="51"/>
  <c r="Z76" i="51"/>
  <c r="X76" i="51"/>
  <c r="N76" i="51"/>
  <c r="L76" i="51"/>
  <c r="B76" i="51"/>
  <c r="Z75" i="51"/>
  <c r="X75" i="51"/>
  <c r="N75" i="51"/>
  <c r="L75" i="51"/>
  <c r="J75" i="51"/>
  <c r="B75" i="51"/>
  <c r="Z74" i="51"/>
  <c r="X74" i="51"/>
  <c r="L74" i="51"/>
  <c r="N74" i="51" s="1"/>
  <c r="B74" i="51"/>
  <c r="Z73" i="51"/>
  <c r="X73" i="51"/>
  <c r="N73" i="51"/>
  <c r="L73" i="51"/>
  <c r="J73" i="51"/>
  <c r="B73" i="51"/>
  <c r="Z72" i="51"/>
  <c r="X72" i="51"/>
  <c r="N72" i="51"/>
  <c r="L72" i="51"/>
  <c r="B72" i="51"/>
  <c r="X71" i="51"/>
  <c r="Z71" i="51" s="1"/>
  <c r="N71" i="51"/>
  <c r="L71" i="51"/>
  <c r="J71" i="51"/>
  <c r="B71" i="51"/>
  <c r="T70" i="51"/>
  <c r="P70" i="51"/>
  <c r="X70" i="51" s="1"/>
  <c r="Z70" i="51" s="1"/>
  <c r="H70" i="51"/>
  <c r="D70" i="51"/>
  <c r="L70" i="51" s="1"/>
  <c r="N70" i="51" s="1"/>
  <c r="B70" i="51"/>
  <c r="Z69" i="51"/>
  <c r="X69" i="51"/>
  <c r="N69" i="51"/>
  <c r="L69" i="51"/>
  <c r="B69" i="51"/>
  <c r="Z68" i="51"/>
  <c r="X68" i="51"/>
  <c r="L68" i="51"/>
  <c r="N68" i="51" s="1"/>
  <c r="F68" i="51"/>
  <c r="B68" i="51"/>
  <c r="Z67" i="51"/>
  <c r="X67" i="51"/>
  <c r="L67" i="51"/>
  <c r="N67" i="51" s="1"/>
  <c r="B67" i="51"/>
  <c r="Z66" i="51"/>
  <c r="X66" i="51"/>
  <c r="N66" i="51"/>
  <c r="L66" i="51"/>
  <c r="B66" i="51"/>
  <c r="Z65" i="51"/>
  <c r="X65" i="51"/>
  <c r="N65" i="51"/>
  <c r="L65" i="51"/>
  <c r="B65" i="51"/>
  <c r="Z64" i="51"/>
  <c r="X64" i="51"/>
  <c r="L64" i="51"/>
  <c r="N64" i="51" s="1"/>
  <c r="B64" i="51"/>
  <c r="Z63" i="51"/>
  <c r="X63" i="51"/>
  <c r="L63" i="51"/>
  <c r="N63" i="51" s="1"/>
  <c r="B63" i="51"/>
  <c r="X62" i="51"/>
  <c r="Z62" i="51" s="1"/>
  <c r="L62" i="51"/>
  <c r="N62" i="51" s="1"/>
  <c r="B62" i="51"/>
  <c r="Z61" i="51"/>
  <c r="X61" i="51"/>
  <c r="N61" i="51"/>
  <c r="L61" i="51"/>
  <c r="B61" i="51"/>
  <c r="X60" i="51"/>
  <c r="Z60" i="51" s="1"/>
  <c r="L60" i="51"/>
  <c r="N60" i="51" s="1"/>
  <c r="J60" i="51"/>
  <c r="B60" i="51"/>
  <c r="T59" i="51"/>
  <c r="P59" i="51"/>
  <c r="H59" i="51"/>
  <c r="D59" i="51"/>
  <c r="L59" i="51" s="1"/>
  <c r="B59" i="51"/>
  <c r="T58" i="51"/>
  <c r="P58" i="51"/>
  <c r="L58" i="51"/>
  <c r="H58" i="51"/>
  <c r="D58" i="51"/>
  <c r="H56" i="5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B52" i="51"/>
  <c r="Z51" i="51"/>
  <c r="X51" i="51"/>
  <c r="N51" i="51"/>
  <c r="L51" i="51"/>
  <c r="J51" i="51"/>
  <c r="B51" i="51"/>
  <c r="Z50" i="51"/>
  <c r="X50" i="51"/>
  <c r="V50" i="51"/>
  <c r="N50" i="51"/>
  <c r="L50" i="51"/>
  <c r="B50" i="51"/>
  <c r="Z49" i="51"/>
  <c r="X49" i="51"/>
  <c r="N49" i="51"/>
  <c r="L49" i="51"/>
  <c r="J49" i="5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N46" i="51"/>
  <c r="L46" i="51"/>
  <c r="B46" i="51"/>
  <c r="Z45" i="51"/>
  <c r="X45" i="51"/>
  <c r="V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J43" i="51"/>
  <c r="B43" i="51"/>
  <c r="Z42" i="51"/>
  <c r="X42" i="51"/>
  <c r="V42" i="51"/>
  <c r="N42" i="51"/>
  <c r="L42" i="51"/>
  <c r="B42" i="51"/>
  <c r="X41" i="51"/>
  <c r="Z41" i="51" s="1"/>
  <c r="L41" i="51"/>
  <c r="N41" i="51" s="1"/>
  <c r="B41" i="51"/>
  <c r="T40" i="51"/>
  <c r="P40" i="51"/>
  <c r="X40" i="51" s="1"/>
  <c r="L40" i="51"/>
  <c r="J40" i="51"/>
  <c r="H40" i="51"/>
  <c r="F40" i="51"/>
  <c r="D40" i="51"/>
  <c r="Z38" i="51"/>
  <c r="X38" i="51"/>
  <c r="P38" i="51"/>
  <c r="N38" i="51"/>
  <c r="D38" i="51"/>
  <c r="L38" i="51" s="1"/>
  <c r="B38" i="51"/>
  <c r="Z37" i="51"/>
  <c r="X37" i="51"/>
  <c r="P37" i="51"/>
  <c r="N37" i="51"/>
  <c r="L37" i="51"/>
  <c r="D37" i="51"/>
  <c r="B37" i="51"/>
  <c r="Z36" i="51"/>
  <c r="X36" i="51"/>
  <c r="P36" i="51"/>
  <c r="N36" i="51"/>
  <c r="D36" i="51"/>
  <c r="L36" i="51" s="1"/>
  <c r="B36" i="51"/>
  <c r="Z35" i="51"/>
  <c r="P35" i="51"/>
  <c r="X35" i="51" s="1"/>
  <c r="N35" i="51"/>
  <c r="L35" i="51"/>
  <c r="D35" i="51"/>
  <c r="B35" i="51"/>
  <c r="Z34" i="51"/>
  <c r="X34" i="51"/>
  <c r="P34" i="51"/>
  <c r="N34" i="51"/>
  <c r="L34" i="51"/>
  <c r="D34" i="51"/>
  <c r="B34" i="51"/>
  <c r="Z33" i="51"/>
  <c r="P33" i="51"/>
  <c r="X33" i="51" s="1"/>
  <c r="N33" i="51"/>
  <c r="L33" i="51"/>
  <c r="D33" i="51"/>
  <c r="B33" i="51"/>
  <c r="Z32" i="51"/>
  <c r="X32" i="51"/>
  <c r="P32" i="51"/>
  <c r="N32" i="51"/>
  <c r="L32" i="51"/>
  <c r="D32" i="51"/>
  <c r="B32" i="51"/>
  <c r="Z31" i="51"/>
  <c r="X31" i="51"/>
  <c r="P31" i="51"/>
  <c r="N31" i="51"/>
  <c r="L31" i="51"/>
  <c r="D31" i="51"/>
  <c r="B31" i="51"/>
  <c r="Z30" i="51"/>
  <c r="X30" i="51"/>
  <c r="P30" i="51"/>
  <c r="N30" i="51"/>
  <c r="D30" i="51"/>
  <c r="L30" i="51" s="1"/>
  <c r="B30" i="51"/>
  <c r="Z29" i="51"/>
  <c r="X29" i="51"/>
  <c r="P29" i="51"/>
  <c r="N29" i="51"/>
  <c r="D29" i="51"/>
  <c r="L29" i="51" s="1"/>
  <c r="B29" i="51"/>
  <c r="Z28" i="51"/>
  <c r="X28" i="51"/>
  <c r="P28" i="51"/>
  <c r="N28" i="51"/>
  <c r="D28" i="51"/>
  <c r="L28" i="51" s="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L26" i="51"/>
  <c r="D26" i="51"/>
  <c r="B26" i="51"/>
  <c r="Z25" i="51"/>
  <c r="P25" i="51"/>
  <c r="X25" i="51" s="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X23" i="51"/>
  <c r="P23" i="51"/>
  <c r="N23" i="51"/>
  <c r="L23" i="51"/>
  <c r="D23" i="51"/>
  <c r="B23" i="51"/>
  <c r="Z22" i="51"/>
  <c r="X22" i="51"/>
  <c r="P22" i="51"/>
  <c r="N22" i="51"/>
  <c r="L22" i="51"/>
  <c r="D22" i="51"/>
  <c r="B22" i="51"/>
  <c r="P21" i="51"/>
  <c r="X21" i="51" s="1"/>
  <c r="Z21" i="51" s="1"/>
  <c r="D21" i="51"/>
  <c r="L21" i="51" s="1"/>
  <c r="N21" i="51" s="1"/>
  <c r="B21" i="51"/>
  <c r="Z20" i="51"/>
  <c r="X20" i="51"/>
  <c r="P20" i="51"/>
  <c r="N20" i="51"/>
  <c r="D20" i="51"/>
  <c r="L20" i="51" s="1"/>
  <c r="B20" i="51"/>
  <c r="Z19" i="51"/>
  <c r="X19" i="51"/>
  <c r="P19" i="51"/>
  <c r="N19" i="51"/>
  <c r="L19" i="51"/>
  <c r="D19" i="51"/>
  <c r="B19" i="51"/>
  <c r="Z18" i="51"/>
  <c r="X18" i="51"/>
  <c r="P18" i="51"/>
  <c r="N18" i="51"/>
  <c r="D18" i="51"/>
  <c r="L18" i="51" s="1"/>
  <c r="B18" i="51"/>
  <c r="Z17" i="51"/>
  <c r="P17" i="51"/>
  <c r="X17" i="51" s="1"/>
  <c r="N17" i="51"/>
  <c r="L17" i="51"/>
  <c r="D17" i="51"/>
  <c r="B17" i="51"/>
  <c r="Z16" i="51"/>
  <c r="X16" i="51"/>
  <c r="P16" i="5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X14" i="51"/>
  <c r="P14" i="51"/>
  <c r="N14" i="51"/>
  <c r="L14" i="51"/>
  <c r="D14" i="51"/>
  <c r="B14" i="51"/>
  <c r="X13" i="51"/>
  <c r="Z13" i="51" s="1"/>
  <c r="P13" i="51"/>
  <c r="L13" i="51"/>
  <c r="N13" i="51" s="1"/>
  <c r="D13" i="51"/>
  <c r="B13" i="51"/>
  <c r="T12" i="51"/>
  <c r="V83" i="51" s="1"/>
  <c r="H12" i="51"/>
  <c r="D12" i="51"/>
  <c r="D4" i="51"/>
  <c r="Z72" i="48"/>
  <c r="X72" i="48"/>
  <c r="N72" i="48"/>
  <c r="L72" i="48"/>
  <c r="X68" i="48"/>
  <c r="Z68" i="48" s="1"/>
  <c r="R68" i="48"/>
  <c r="P68" i="48"/>
  <c r="D68" i="48"/>
  <c r="L68" i="48" s="1"/>
  <c r="N68" i="48" s="1"/>
  <c r="B68" i="48"/>
  <c r="V67" i="48"/>
  <c r="T67" i="48"/>
  <c r="R67" i="48"/>
  <c r="P67" i="48"/>
  <c r="X67" i="48" s="1"/>
  <c r="Z67" i="48" s="1"/>
  <c r="H67" i="48"/>
  <c r="N67" i="48" s="1"/>
  <c r="D67" i="48"/>
  <c r="L67" i="48" s="1"/>
  <c r="Z65" i="48"/>
  <c r="X65" i="48"/>
  <c r="V65" i="48"/>
  <c r="N65" i="48"/>
  <c r="L65" i="48"/>
  <c r="B65" i="48"/>
  <c r="T64" i="48"/>
  <c r="P64" i="48"/>
  <c r="X64" i="48" s="1"/>
  <c r="L64" i="48"/>
  <c r="N64" i="48" s="1"/>
  <c r="H64" i="48"/>
  <c r="D64" i="48"/>
  <c r="B64" i="48"/>
  <c r="Z63" i="48"/>
  <c r="X63" i="48"/>
  <c r="N63" i="48"/>
  <c r="L63" i="48"/>
  <c r="J63" i="48"/>
  <c r="B63" i="48"/>
  <c r="Z62" i="48"/>
  <c r="X62" i="48"/>
  <c r="N62" i="48"/>
  <c r="L62" i="48"/>
  <c r="B62" i="48"/>
  <c r="Z61" i="48"/>
  <c r="X61" i="48"/>
  <c r="L61" i="48"/>
  <c r="N61" i="48" s="1"/>
  <c r="B61" i="48"/>
  <c r="T60" i="48"/>
  <c r="P60" i="48"/>
  <c r="H60" i="48"/>
  <c r="N60" i="48" s="1"/>
  <c r="D60" i="48"/>
  <c r="L60" i="48" s="1"/>
  <c r="B60" i="48"/>
  <c r="Z59" i="48"/>
  <c r="X59" i="48"/>
  <c r="V59" i="48"/>
  <c r="N59" i="48"/>
  <c r="L59" i="48"/>
  <c r="B59" i="48"/>
  <c r="Z58" i="48"/>
  <c r="X58" i="48"/>
  <c r="R58" i="48"/>
  <c r="N58" i="48"/>
  <c r="L58" i="48"/>
  <c r="B58" i="48"/>
  <c r="T57" i="48"/>
  <c r="P57" i="48"/>
  <c r="N57" i="48"/>
  <c r="J57" i="48"/>
  <c r="H57" i="48"/>
  <c r="D57" i="48"/>
  <c r="L57" i="48" s="1"/>
  <c r="B57" i="48"/>
  <c r="Z56" i="48"/>
  <c r="X56" i="48"/>
  <c r="L56" i="48"/>
  <c r="N56" i="48" s="1"/>
  <c r="B56" i="48"/>
  <c r="T55" i="48"/>
  <c r="Z55" i="48" s="1"/>
  <c r="P55" i="48"/>
  <c r="X55" i="48" s="1"/>
  <c r="J55" i="48"/>
  <c r="H55" i="48"/>
  <c r="N55" i="48" s="1"/>
  <c r="D55" i="48"/>
  <c r="L55" i="48" s="1"/>
  <c r="B55" i="48"/>
  <c r="Z54" i="48"/>
  <c r="X54" i="48"/>
  <c r="N54" i="48"/>
  <c r="L54" i="48"/>
  <c r="B54" i="48"/>
  <c r="Z53" i="48"/>
  <c r="X53" i="48"/>
  <c r="T53" i="48"/>
  <c r="P53" i="48"/>
  <c r="L53" i="48"/>
  <c r="H53" i="48"/>
  <c r="N53" i="48" s="1"/>
  <c r="D53" i="48"/>
  <c r="B53" i="48"/>
  <c r="Z52" i="48"/>
  <c r="X52" i="48"/>
  <c r="L52" i="48"/>
  <c r="N52" i="48" s="1"/>
  <c r="B52" i="48"/>
  <c r="Z51" i="48"/>
  <c r="V51" i="48"/>
  <c r="T51" i="48"/>
  <c r="X51" i="48" s="1"/>
  <c r="P51" i="48"/>
  <c r="H51" i="48"/>
  <c r="D51" i="48"/>
  <c r="L51" i="48" s="1"/>
  <c r="B51" i="48"/>
  <c r="X50" i="48"/>
  <c r="Z50" i="48" s="1"/>
  <c r="N50" i="48"/>
  <c r="L50" i="48"/>
  <c r="B50" i="48"/>
  <c r="V49" i="48"/>
  <c r="T49" i="48"/>
  <c r="Z49" i="48" s="1"/>
  <c r="R49" i="48"/>
  <c r="P49" i="48"/>
  <c r="X49" i="48" s="1"/>
  <c r="H49" i="48"/>
  <c r="D49" i="48"/>
  <c r="L49" i="48" s="1"/>
  <c r="B49" i="48"/>
  <c r="X48" i="48"/>
  <c r="Z48" i="48" s="1"/>
  <c r="R48" i="48"/>
  <c r="N48" i="48"/>
  <c r="L48" i="48"/>
  <c r="B48" i="48"/>
  <c r="X47" i="48"/>
  <c r="T47" i="48"/>
  <c r="Z47" i="48" s="1"/>
  <c r="R47" i="48"/>
  <c r="P47" i="48"/>
  <c r="N47" i="48"/>
  <c r="L47" i="48"/>
  <c r="H47" i="48"/>
  <c r="D47" i="48"/>
  <c r="B47" i="48"/>
  <c r="Z46" i="48"/>
  <c r="X46" i="48"/>
  <c r="R46" i="48"/>
  <c r="L46" i="48"/>
  <c r="N46" i="48" s="1"/>
  <c r="B46" i="48"/>
  <c r="T45" i="48"/>
  <c r="P45" i="48"/>
  <c r="J45" i="48"/>
  <c r="H45" i="48"/>
  <c r="D45" i="48"/>
  <c r="L45" i="48" s="1"/>
  <c r="N45" i="48" s="1"/>
  <c r="B45" i="48"/>
  <c r="Z44" i="48"/>
  <c r="X44" i="48"/>
  <c r="L44" i="48"/>
  <c r="N44" i="48" s="1"/>
  <c r="B44" i="48"/>
  <c r="X43" i="48"/>
  <c r="T43" i="48"/>
  <c r="Z43" i="48" s="1"/>
  <c r="P43" i="48"/>
  <c r="J43" i="48"/>
  <c r="H43" i="48"/>
  <c r="D43" i="48"/>
  <c r="L43" i="48" s="1"/>
  <c r="N43" i="48" s="1"/>
  <c r="B43" i="48"/>
  <c r="Z42" i="48"/>
  <c r="X42" i="48"/>
  <c r="N42" i="48"/>
  <c r="L42" i="48"/>
  <c r="B42" i="48"/>
  <c r="T41" i="48"/>
  <c r="X41" i="48" s="1"/>
  <c r="Z41" i="48" s="1"/>
  <c r="P41" i="48"/>
  <c r="L41" i="48"/>
  <c r="H41" i="48"/>
  <c r="N41" i="48" s="1"/>
  <c r="D41" i="48"/>
  <c r="B41" i="48"/>
  <c r="Z40" i="48"/>
  <c r="X40" i="48"/>
  <c r="N40" i="48"/>
  <c r="L40" i="48"/>
  <c r="B40" i="48"/>
  <c r="Z39" i="48"/>
  <c r="X39" i="48"/>
  <c r="V39" i="48"/>
  <c r="N39" i="48"/>
  <c r="L39" i="48"/>
  <c r="B39" i="48"/>
  <c r="Z38" i="48"/>
  <c r="X38" i="48"/>
  <c r="R38" i="48"/>
  <c r="L38" i="48"/>
  <c r="N38" i="48" s="1"/>
  <c r="B38" i="48"/>
  <c r="X37" i="48"/>
  <c r="Z37" i="48" s="1"/>
  <c r="N37" i="48"/>
  <c r="L37" i="48"/>
  <c r="J37" i="48"/>
  <c r="B37" i="48"/>
  <c r="Z36" i="48"/>
  <c r="X36" i="48"/>
  <c r="N36" i="48"/>
  <c r="L36" i="48"/>
  <c r="B36" i="48"/>
  <c r="Z35" i="48"/>
  <c r="X35" i="48"/>
  <c r="V35" i="48"/>
  <c r="N35" i="48"/>
  <c r="L35" i="48"/>
  <c r="B35" i="48"/>
  <c r="Z34" i="48"/>
  <c r="X34" i="48"/>
  <c r="R34" i="48"/>
  <c r="L34" i="48"/>
  <c r="N34" i="48" s="1"/>
  <c r="B34" i="48"/>
  <c r="Z33" i="48"/>
  <c r="X33" i="48"/>
  <c r="N33" i="48"/>
  <c r="L33" i="48"/>
  <c r="J33" i="48"/>
  <c r="B33" i="48"/>
  <c r="Z32" i="48"/>
  <c r="X32" i="48"/>
  <c r="L32" i="48"/>
  <c r="N32" i="48" s="1"/>
  <c r="B32" i="48"/>
  <c r="Z31" i="48"/>
  <c r="X31" i="48"/>
  <c r="V31" i="48"/>
  <c r="N31" i="48"/>
  <c r="L31" i="48"/>
  <c r="B31" i="48"/>
  <c r="T30" i="48"/>
  <c r="P30" i="48"/>
  <c r="X30" i="48" s="1"/>
  <c r="H30" i="48"/>
  <c r="D30" i="48"/>
  <c r="L30" i="48" s="1"/>
  <c r="N30" i="48" s="1"/>
  <c r="B30" i="48"/>
  <c r="X29" i="48"/>
  <c r="Z29" i="48" s="1"/>
  <c r="V29" i="48"/>
  <c r="N29" i="48"/>
  <c r="L29" i="48"/>
  <c r="B29" i="48"/>
  <c r="X28" i="48"/>
  <c r="Z28" i="48" s="1"/>
  <c r="L28" i="48"/>
  <c r="N28" i="48" s="1"/>
  <c r="B28" i="48"/>
  <c r="X27" i="48"/>
  <c r="Z27" i="48" s="1"/>
  <c r="L27" i="48"/>
  <c r="N27" i="48" s="1"/>
  <c r="B27" i="48"/>
  <c r="Z26" i="48"/>
  <c r="X26" i="48"/>
  <c r="N26" i="48"/>
  <c r="L26" i="48"/>
  <c r="B26" i="48"/>
  <c r="X25" i="48"/>
  <c r="Z25" i="48" s="1"/>
  <c r="V25" i="48"/>
  <c r="N25" i="48"/>
  <c r="L25" i="48"/>
  <c r="B25" i="48"/>
  <c r="X24" i="48"/>
  <c r="Z24" i="48" s="1"/>
  <c r="L24" i="48"/>
  <c r="N24" i="48" s="1"/>
  <c r="B24" i="48"/>
  <c r="X23" i="48"/>
  <c r="Z23" i="48" s="1"/>
  <c r="L23" i="48"/>
  <c r="N23" i="48" s="1"/>
  <c r="B23" i="48"/>
  <c r="X22" i="48"/>
  <c r="Z22" i="48" s="1"/>
  <c r="N22" i="48"/>
  <c r="L22" i="48"/>
  <c r="B22" i="48"/>
  <c r="Z21" i="48"/>
  <c r="X21" i="48"/>
  <c r="V21" i="48"/>
  <c r="N21" i="48"/>
  <c r="L21" i="48"/>
  <c r="B21" i="48"/>
  <c r="V20" i="48"/>
  <c r="T20" i="48"/>
  <c r="Z20" i="48" s="1"/>
  <c r="P20" i="48"/>
  <c r="X20" i="48" s="1"/>
  <c r="L20" i="48"/>
  <c r="H20" i="48"/>
  <c r="N20" i="48" s="1"/>
  <c r="D20" i="48"/>
  <c r="B20" i="48"/>
  <c r="X19" i="48"/>
  <c r="T19" i="48"/>
  <c r="Z19" i="48" s="1"/>
  <c r="R19" i="48"/>
  <c r="P19" i="48"/>
  <c r="H19" i="48"/>
  <c r="D19" i="48"/>
  <c r="L19" i="48" s="1"/>
  <c r="N19" i="48" s="1"/>
  <c r="X15" i="48"/>
  <c r="T15" i="48"/>
  <c r="Z15" i="48" s="1"/>
  <c r="R15" i="48"/>
  <c r="P15" i="48"/>
  <c r="P17" i="48" s="1"/>
  <c r="N15" i="48"/>
  <c r="H15" i="48"/>
  <c r="D15" i="48"/>
  <c r="L15" i="48" s="1"/>
  <c r="X13" i="48"/>
  <c r="Z13" i="48" s="1"/>
  <c r="P13" i="48"/>
  <c r="L13" i="48"/>
  <c r="N13" i="48" s="1"/>
  <c r="D13" i="48"/>
  <c r="D12" i="48" s="1"/>
  <c r="F28" i="48" s="1"/>
  <c r="B13" i="48"/>
  <c r="T12" i="48"/>
  <c r="V50" i="48" s="1"/>
  <c r="P12" i="48"/>
  <c r="H12" i="48"/>
  <c r="J64" i="48" s="1"/>
  <c r="D4" i="48"/>
  <c r="Z104" i="45"/>
  <c r="X104" i="45"/>
  <c r="L104" i="45"/>
  <c r="N104" i="45" s="1"/>
  <c r="T100" i="45"/>
  <c r="Z100" i="45" s="1"/>
  <c r="P100" i="45"/>
  <c r="X100" i="45" s="1"/>
  <c r="H100" i="45"/>
  <c r="N100" i="45" s="1"/>
  <c r="D100" i="45"/>
  <c r="L100" i="45" s="1"/>
  <c r="Z98" i="45"/>
  <c r="X98" i="45"/>
  <c r="N98" i="45"/>
  <c r="L98" i="45"/>
  <c r="B98" i="45"/>
  <c r="Z97" i="45"/>
  <c r="X97" i="45"/>
  <c r="L97" i="45"/>
  <c r="N97" i="45" s="1"/>
  <c r="B97" i="45"/>
  <c r="T96" i="45"/>
  <c r="P96" i="45"/>
  <c r="X96" i="45" s="1"/>
  <c r="H96" i="45"/>
  <c r="D96" i="45"/>
  <c r="L96" i="45" s="1"/>
  <c r="B96" i="45"/>
  <c r="X95" i="45"/>
  <c r="Z95" i="45" s="1"/>
  <c r="N95" i="45"/>
  <c r="L95" i="45"/>
  <c r="B95" i="45"/>
  <c r="Z94" i="45"/>
  <c r="X94" i="45"/>
  <c r="T94" i="45"/>
  <c r="P94" i="45"/>
  <c r="H94" i="45"/>
  <c r="N94" i="45" s="1"/>
  <c r="D94" i="45"/>
  <c r="L94" i="45" s="1"/>
  <c r="B94" i="45"/>
  <c r="Z93" i="45"/>
  <c r="X93" i="45"/>
  <c r="N93" i="45"/>
  <c r="L93" i="45"/>
  <c r="B93" i="45"/>
  <c r="Z92" i="45"/>
  <c r="X92" i="45"/>
  <c r="T92" i="45"/>
  <c r="P92" i="45"/>
  <c r="H92" i="45"/>
  <c r="D92" i="45"/>
  <c r="L92" i="45" s="1"/>
  <c r="B92" i="45"/>
  <c r="X91" i="45"/>
  <c r="Z91" i="45" s="1"/>
  <c r="N91" i="45"/>
  <c r="L91" i="45"/>
  <c r="B91" i="45"/>
  <c r="X90" i="45"/>
  <c r="Z90" i="45" s="1"/>
  <c r="N90" i="45"/>
  <c r="L90" i="45"/>
  <c r="B90" i="45"/>
  <c r="Z89" i="45"/>
  <c r="X89" i="45"/>
  <c r="L89" i="45"/>
  <c r="N89" i="45" s="1"/>
  <c r="B89" i="45"/>
  <c r="X88" i="45"/>
  <c r="Z88" i="45" s="1"/>
  <c r="L88" i="45"/>
  <c r="N88" i="45" s="1"/>
  <c r="B88" i="45"/>
  <c r="X87" i="45"/>
  <c r="Z87" i="45" s="1"/>
  <c r="N87" i="45"/>
  <c r="L87" i="45"/>
  <c r="B87" i="45"/>
  <c r="X86" i="45"/>
  <c r="Z86" i="45" s="1"/>
  <c r="N86" i="45"/>
  <c r="L86" i="45"/>
  <c r="B86" i="45"/>
  <c r="Z85" i="45"/>
  <c r="X85" i="45"/>
  <c r="L85" i="45"/>
  <c r="N85" i="45" s="1"/>
  <c r="B85" i="45"/>
  <c r="X84" i="45"/>
  <c r="Z84" i="45" s="1"/>
  <c r="L84" i="45"/>
  <c r="N84" i="45" s="1"/>
  <c r="B84" i="45"/>
  <c r="X83" i="45"/>
  <c r="Z83" i="45" s="1"/>
  <c r="N83" i="45"/>
  <c r="L83" i="45"/>
  <c r="B83" i="45"/>
  <c r="T82" i="45"/>
  <c r="P82" i="45"/>
  <c r="X82" i="45" s="1"/>
  <c r="H82" i="45"/>
  <c r="D82" i="45"/>
  <c r="L82" i="45" s="1"/>
  <c r="B82" i="45"/>
  <c r="X81" i="45"/>
  <c r="Z81" i="45" s="1"/>
  <c r="N81" i="45"/>
  <c r="L81" i="45"/>
  <c r="B81" i="45"/>
  <c r="X80" i="45"/>
  <c r="Z80" i="45" s="1"/>
  <c r="N80" i="45"/>
  <c r="L80" i="45"/>
  <c r="B80" i="45"/>
  <c r="Z79" i="45"/>
  <c r="X79" i="45"/>
  <c r="N79" i="45"/>
  <c r="L79" i="45"/>
  <c r="B79" i="45"/>
  <c r="Z78" i="45"/>
  <c r="X78" i="45"/>
  <c r="L78" i="45"/>
  <c r="N78" i="45" s="1"/>
  <c r="B78" i="45"/>
  <c r="X77" i="45"/>
  <c r="T77" i="45"/>
  <c r="P77" i="45"/>
  <c r="H77" i="45"/>
  <c r="N77" i="45" s="1"/>
  <c r="D77" i="45"/>
  <c r="L77" i="45" s="1"/>
  <c r="B77" i="45"/>
  <c r="Z76" i="45"/>
  <c r="X76" i="45"/>
  <c r="N76" i="45"/>
  <c r="L76" i="45"/>
  <c r="B76" i="45"/>
  <c r="Z75" i="45"/>
  <c r="X75" i="45"/>
  <c r="L75" i="45"/>
  <c r="N75" i="45" s="1"/>
  <c r="B75" i="45"/>
  <c r="Z74" i="45"/>
  <c r="X74" i="45"/>
  <c r="N74" i="45"/>
  <c r="L74" i="45"/>
  <c r="B74" i="45"/>
  <c r="X73" i="45"/>
  <c r="Z73" i="45" s="1"/>
  <c r="L73" i="45"/>
  <c r="N73" i="45" s="1"/>
  <c r="B73" i="45"/>
  <c r="V72" i="45"/>
  <c r="T72" i="45"/>
  <c r="P72" i="45"/>
  <c r="X72" i="45" s="1"/>
  <c r="Z72" i="45" s="1"/>
  <c r="H72" i="45"/>
  <c r="D72" i="45"/>
  <c r="L72" i="45" s="1"/>
  <c r="B72" i="45"/>
  <c r="X71" i="45"/>
  <c r="Z71" i="45" s="1"/>
  <c r="L71" i="45"/>
  <c r="N71" i="45" s="1"/>
  <c r="B71" i="45"/>
  <c r="T70" i="45"/>
  <c r="P70" i="45"/>
  <c r="X70" i="45" s="1"/>
  <c r="H70" i="45"/>
  <c r="D70" i="45"/>
  <c r="L70" i="45" s="1"/>
  <c r="N70" i="45" s="1"/>
  <c r="B70" i="45"/>
  <c r="X69" i="45"/>
  <c r="Z69" i="45" s="1"/>
  <c r="L69" i="45"/>
  <c r="N69" i="45" s="1"/>
  <c r="B69" i="45"/>
  <c r="X68" i="45"/>
  <c r="T68" i="45"/>
  <c r="Z68" i="45" s="1"/>
  <c r="P68" i="45"/>
  <c r="N68" i="45"/>
  <c r="L68" i="45"/>
  <c r="H68" i="45"/>
  <c r="D68" i="45"/>
  <c r="B68" i="45"/>
  <c r="Z67" i="45"/>
  <c r="X67" i="45"/>
  <c r="L67" i="45"/>
  <c r="N67" i="45" s="1"/>
  <c r="B67" i="45"/>
  <c r="T66" i="45"/>
  <c r="P66" i="45"/>
  <c r="N66" i="45"/>
  <c r="H66" i="45"/>
  <c r="D66" i="45"/>
  <c r="L66" i="45" s="1"/>
  <c r="B66" i="45"/>
  <c r="X65" i="45"/>
  <c r="Z65" i="45" s="1"/>
  <c r="L65" i="45"/>
  <c r="N65" i="45" s="1"/>
  <c r="B65" i="45"/>
  <c r="T64" i="45"/>
  <c r="P64" i="45"/>
  <c r="X64" i="45" s="1"/>
  <c r="Z64" i="45" s="1"/>
  <c r="H64" i="45"/>
  <c r="N64" i="45" s="1"/>
  <c r="D64" i="45"/>
  <c r="L64" i="45" s="1"/>
  <c r="B64" i="45"/>
  <c r="X63" i="45"/>
  <c r="Z63" i="45" s="1"/>
  <c r="N63" i="45"/>
  <c r="L63" i="45"/>
  <c r="B63" i="45"/>
  <c r="Z62" i="45"/>
  <c r="T62" i="45"/>
  <c r="X62" i="45" s="1"/>
  <c r="P62" i="45"/>
  <c r="L62" i="45"/>
  <c r="H62" i="45"/>
  <c r="D62" i="45"/>
  <c r="B62" i="45"/>
  <c r="X61" i="45"/>
  <c r="Z61" i="45" s="1"/>
  <c r="L61" i="45"/>
  <c r="N61" i="45" s="1"/>
  <c r="B61" i="45"/>
  <c r="Z60" i="45"/>
  <c r="X60" i="45"/>
  <c r="T60" i="45"/>
  <c r="P60" i="45"/>
  <c r="H60" i="45"/>
  <c r="D60" i="45"/>
  <c r="B60" i="45"/>
  <c r="Z59" i="45"/>
  <c r="X59" i="45"/>
  <c r="N59" i="45"/>
  <c r="L59" i="45"/>
  <c r="B59" i="45"/>
  <c r="X58" i="45"/>
  <c r="Z58" i="45" s="1"/>
  <c r="V58" i="45"/>
  <c r="N58" i="45"/>
  <c r="L58" i="45"/>
  <c r="B58" i="45"/>
  <c r="T57" i="45"/>
  <c r="Z57" i="45" s="1"/>
  <c r="P57" i="45"/>
  <c r="X57" i="45" s="1"/>
  <c r="H57" i="45"/>
  <c r="D57" i="45"/>
  <c r="B57" i="45"/>
  <c r="X56" i="45"/>
  <c r="Z56" i="45" s="1"/>
  <c r="L56" i="45"/>
  <c r="N56" i="45" s="1"/>
  <c r="B56" i="45"/>
  <c r="T55" i="45"/>
  <c r="P55" i="45"/>
  <c r="H55" i="45"/>
  <c r="D55" i="45"/>
  <c r="L55" i="45" s="1"/>
  <c r="N55" i="45" s="1"/>
  <c r="B55" i="45"/>
  <c r="Z54" i="45"/>
  <c r="X54" i="45"/>
  <c r="V54" i="45"/>
  <c r="L54" i="45"/>
  <c r="N54" i="45" s="1"/>
  <c r="B54" i="45"/>
  <c r="X53" i="45"/>
  <c r="Z53" i="45" s="1"/>
  <c r="L53" i="45"/>
  <c r="N53" i="45" s="1"/>
  <c r="B53" i="45"/>
  <c r="X52" i="45"/>
  <c r="T52" i="45"/>
  <c r="Z52" i="45" s="1"/>
  <c r="P52" i="45"/>
  <c r="H52" i="45"/>
  <c r="D52" i="45"/>
  <c r="L52" i="45" s="1"/>
  <c r="N52" i="45" s="1"/>
  <c r="B52" i="45"/>
  <c r="Z51" i="45"/>
  <c r="X51" i="45"/>
  <c r="L51" i="45"/>
  <c r="N51" i="45" s="1"/>
  <c r="B51" i="45"/>
  <c r="X50" i="45"/>
  <c r="T50" i="45"/>
  <c r="Z50" i="45" s="1"/>
  <c r="P50" i="45"/>
  <c r="H50" i="45"/>
  <c r="D50" i="45"/>
  <c r="L50" i="45" s="1"/>
  <c r="N50" i="45" s="1"/>
  <c r="B50" i="45"/>
  <c r="Z49" i="45"/>
  <c r="X49" i="45"/>
  <c r="N49" i="45"/>
  <c r="L49" i="45"/>
  <c r="B49" i="45"/>
  <c r="Z48" i="45"/>
  <c r="X48" i="45"/>
  <c r="N48" i="45"/>
  <c r="L48" i="45"/>
  <c r="B48" i="45"/>
  <c r="X47" i="45"/>
  <c r="Z47" i="45" s="1"/>
  <c r="N47" i="45"/>
  <c r="L47" i="45"/>
  <c r="B47" i="45"/>
  <c r="X46" i="45"/>
  <c r="Z46" i="45" s="1"/>
  <c r="V46" i="45"/>
  <c r="N46" i="45"/>
  <c r="L46" i="45"/>
  <c r="B46" i="45"/>
  <c r="Z45" i="45"/>
  <c r="X45" i="45"/>
  <c r="N45" i="45"/>
  <c r="L45" i="45"/>
  <c r="B45" i="45"/>
  <c r="Z44" i="45"/>
  <c r="X44" i="45"/>
  <c r="L44" i="45"/>
  <c r="N44" i="45" s="1"/>
  <c r="B44" i="45"/>
  <c r="X43" i="45"/>
  <c r="Z43" i="45" s="1"/>
  <c r="N43" i="45"/>
  <c r="L43" i="45"/>
  <c r="B43" i="45"/>
  <c r="Z42" i="45"/>
  <c r="X42" i="45"/>
  <c r="V42" i="45"/>
  <c r="N42" i="45"/>
  <c r="L42" i="45"/>
  <c r="B42" i="45"/>
  <c r="Z41" i="45"/>
  <c r="X41" i="45"/>
  <c r="L41" i="45"/>
  <c r="N41" i="45" s="1"/>
  <c r="B41" i="45"/>
  <c r="Z40" i="45"/>
  <c r="X40" i="45"/>
  <c r="N40" i="45"/>
  <c r="L40" i="45"/>
  <c r="B40" i="45"/>
  <c r="T39" i="45"/>
  <c r="P39" i="45"/>
  <c r="X39" i="45" s="1"/>
  <c r="H39" i="45"/>
  <c r="D39" i="45"/>
  <c r="L39" i="45" s="1"/>
  <c r="N39" i="45" s="1"/>
  <c r="B39" i="45"/>
  <c r="X38" i="45"/>
  <c r="Z38" i="45" s="1"/>
  <c r="V38" i="45"/>
  <c r="L38" i="45"/>
  <c r="N38" i="45" s="1"/>
  <c r="B38" i="45"/>
  <c r="X37" i="45"/>
  <c r="Z37" i="45" s="1"/>
  <c r="L37" i="45"/>
  <c r="N37" i="45" s="1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V34" i="45"/>
  <c r="N34" i="45"/>
  <c r="L34" i="45"/>
  <c r="B34" i="45"/>
  <c r="X33" i="45"/>
  <c r="Z33" i="45" s="1"/>
  <c r="L33" i="45"/>
  <c r="N33" i="45" s="1"/>
  <c r="B33" i="45"/>
  <c r="X32" i="45"/>
  <c r="Z32" i="45" s="1"/>
  <c r="N32" i="45"/>
  <c r="L32" i="45"/>
  <c r="B32" i="45"/>
  <c r="X31" i="45"/>
  <c r="Z31" i="45" s="1"/>
  <c r="L31" i="45"/>
  <c r="N31" i="45" s="1"/>
  <c r="B31" i="45"/>
  <c r="X30" i="45"/>
  <c r="Z30" i="45" s="1"/>
  <c r="V30" i="45"/>
  <c r="L30" i="45"/>
  <c r="N30" i="45" s="1"/>
  <c r="B30" i="45"/>
  <c r="X29" i="45"/>
  <c r="Z29" i="45" s="1"/>
  <c r="L29" i="45"/>
  <c r="N29" i="45" s="1"/>
  <c r="B29" i="45"/>
  <c r="T28" i="45"/>
  <c r="Z28" i="45" s="1"/>
  <c r="P28" i="45"/>
  <c r="X28" i="45" s="1"/>
  <c r="H28" i="45"/>
  <c r="N28" i="45" s="1"/>
  <c r="D28" i="45"/>
  <c r="L28" i="45" s="1"/>
  <c r="B28" i="45"/>
  <c r="T27" i="45"/>
  <c r="P27" i="45"/>
  <c r="L27" i="45"/>
  <c r="H27" i="45"/>
  <c r="N27" i="45" s="1"/>
  <c r="D27" i="45"/>
  <c r="T25" i="45"/>
  <c r="Z23" i="45"/>
  <c r="X23" i="45"/>
  <c r="N23" i="45"/>
  <c r="L23" i="45"/>
  <c r="B23" i="45"/>
  <c r="Z22" i="45"/>
  <c r="X22" i="45"/>
  <c r="N22" i="45"/>
  <c r="L22" i="45"/>
  <c r="B22" i="45"/>
  <c r="X21" i="45"/>
  <c r="Z21" i="45" s="1"/>
  <c r="L21" i="45"/>
  <c r="N21" i="45" s="1"/>
  <c r="B21" i="45"/>
  <c r="Z20" i="45"/>
  <c r="X20" i="45"/>
  <c r="V20" i="45"/>
  <c r="T20" i="45"/>
  <c r="P20" i="45"/>
  <c r="N20" i="45"/>
  <c r="L20" i="45"/>
  <c r="H20" i="45"/>
  <c r="D20" i="45"/>
  <c r="Z18" i="45"/>
  <c r="P18" i="45"/>
  <c r="X18" i="45" s="1"/>
  <c r="N18" i="45"/>
  <c r="L18" i="45"/>
  <c r="D18" i="45"/>
  <c r="B18" i="45"/>
  <c r="Z17" i="45"/>
  <c r="X17" i="45"/>
  <c r="P17" i="45"/>
  <c r="N17" i="45"/>
  <c r="D17" i="45"/>
  <c r="L17" i="45" s="1"/>
  <c r="B17" i="45"/>
  <c r="Z16" i="45"/>
  <c r="P16" i="45"/>
  <c r="X16" i="45" s="1"/>
  <c r="N16" i="45"/>
  <c r="L16" i="45"/>
  <c r="D16" i="45"/>
  <c r="B16" i="45"/>
  <c r="P15" i="45"/>
  <c r="X15" i="45" s="1"/>
  <c r="Z15" i="45" s="1"/>
  <c r="D15" i="45"/>
  <c r="L15" i="45" s="1"/>
  <c r="N15" i="45" s="1"/>
  <c r="B15" i="45"/>
  <c r="Z14" i="45"/>
  <c r="P14" i="45"/>
  <c r="X14" i="45" s="1"/>
  <c r="N14" i="45"/>
  <c r="L14" i="45"/>
  <c r="D14" i="45"/>
  <c r="B14" i="45"/>
  <c r="Z13" i="45"/>
  <c r="X13" i="45"/>
  <c r="P13" i="45"/>
  <c r="N13" i="45"/>
  <c r="D13" i="45"/>
  <c r="B13" i="45"/>
  <c r="T12" i="45"/>
  <c r="V90" i="45" s="1"/>
  <c r="H12" i="45"/>
  <c r="D4" i="45"/>
  <c r="Z131" i="42"/>
  <c r="X131" i="42"/>
  <c r="L131" i="42"/>
  <c r="N131" i="42" s="1"/>
  <c r="Z127" i="42"/>
  <c r="P127" i="42"/>
  <c r="X127" i="42" s="1"/>
  <c r="N127" i="42"/>
  <c r="D127" i="42"/>
  <c r="L127" i="42" s="1"/>
  <c r="B127" i="42"/>
  <c r="Z126" i="42"/>
  <c r="P126" i="42"/>
  <c r="N126" i="42"/>
  <c r="L126" i="42"/>
  <c r="D126" i="42"/>
  <c r="B126" i="42"/>
  <c r="X125" i="42"/>
  <c r="Z125" i="42" s="1"/>
  <c r="P125" i="42"/>
  <c r="N125" i="42"/>
  <c r="L125" i="42"/>
  <c r="D125" i="42"/>
  <c r="B125" i="42"/>
  <c r="X124" i="42"/>
  <c r="Z124" i="42" s="1"/>
  <c r="V124" i="42"/>
  <c r="P124" i="42"/>
  <c r="L124" i="42"/>
  <c r="N124" i="42" s="1"/>
  <c r="D124" i="42"/>
  <c r="B124" i="42"/>
  <c r="T123" i="42"/>
  <c r="L123" i="42"/>
  <c r="H123" i="42"/>
  <c r="N123" i="42" s="1"/>
  <c r="D123" i="42"/>
  <c r="Z121" i="42"/>
  <c r="X121" i="42"/>
  <c r="L121" i="42"/>
  <c r="N121" i="42" s="1"/>
  <c r="B121" i="42"/>
  <c r="T120" i="42"/>
  <c r="P120" i="42"/>
  <c r="X120" i="42" s="1"/>
  <c r="N120" i="42"/>
  <c r="H120" i="42"/>
  <c r="D120" i="42"/>
  <c r="L120" i="42" s="1"/>
  <c r="B120" i="42"/>
  <c r="Z119" i="42"/>
  <c r="X119" i="42"/>
  <c r="N119" i="42"/>
  <c r="L119" i="42"/>
  <c r="B119" i="42"/>
  <c r="Z118" i="42"/>
  <c r="X118" i="42"/>
  <c r="N118" i="42"/>
  <c r="L118" i="42"/>
  <c r="B118" i="42"/>
  <c r="X117" i="42"/>
  <c r="Z117" i="42" s="1"/>
  <c r="L117" i="42"/>
  <c r="N117" i="42" s="1"/>
  <c r="B117" i="42"/>
  <c r="X116" i="42"/>
  <c r="T116" i="42"/>
  <c r="Z116" i="42" s="1"/>
  <c r="P116" i="42"/>
  <c r="N116" i="42"/>
  <c r="H116" i="42"/>
  <c r="D116" i="42"/>
  <c r="L116" i="42" s="1"/>
  <c r="B116" i="42"/>
  <c r="X115" i="42"/>
  <c r="Z115" i="42" s="1"/>
  <c r="N115" i="42"/>
  <c r="L115" i="42"/>
  <c r="B115" i="42"/>
  <c r="X114" i="42"/>
  <c r="T114" i="42"/>
  <c r="Z114" i="42" s="1"/>
  <c r="P114" i="42"/>
  <c r="H114" i="42"/>
  <c r="N114" i="42" s="1"/>
  <c r="D114" i="42"/>
  <c r="L114" i="42" s="1"/>
  <c r="B114" i="42"/>
  <c r="Z113" i="42"/>
  <c r="X113" i="42"/>
  <c r="N113" i="42"/>
  <c r="L113" i="42"/>
  <c r="B113" i="42"/>
  <c r="X112" i="42"/>
  <c r="Z112" i="42" s="1"/>
  <c r="L112" i="42"/>
  <c r="N112" i="42" s="1"/>
  <c r="B112" i="42"/>
  <c r="X111" i="42"/>
  <c r="T111" i="42"/>
  <c r="P111" i="42"/>
  <c r="H111" i="42"/>
  <c r="D111" i="42"/>
  <c r="L111" i="42" s="1"/>
  <c r="B111" i="42"/>
  <c r="Z110" i="42"/>
  <c r="X110" i="42"/>
  <c r="N110" i="42"/>
  <c r="L110" i="42"/>
  <c r="B110" i="42"/>
  <c r="X109" i="42"/>
  <c r="Z109" i="42" s="1"/>
  <c r="L109" i="42"/>
  <c r="N109" i="42" s="1"/>
  <c r="B109" i="42"/>
  <c r="X108" i="42"/>
  <c r="Z108" i="42" s="1"/>
  <c r="N108" i="42"/>
  <c r="L108" i="42"/>
  <c r="B108" i="42"/>
  <c r="Z107" i="42"/>
  <c r="X107" i="42"/>
  <c r="L107" i="42"/>
  <c r="N107" i="42" s="1"/>
  <c r="B107" i="42"/>
  <c r="Z106" i="42"/>
  <c r="X106" i="42"/>
  <c r="L106" i="42"/>
  <c r="N106" i="42" s="1"/>
  <c r="B106" i="42"/>
  <c r="X105" i="42"/>
  <c r="Z105" i="42" s="1"/>
  <c r="L105" i="42"/>
  <c r="N105" i="42" s="1"/>
  <c r="B105" i="42"/>
  <c r="X104" i="42"/>
  <c r="Z104" i="42" s="1"/>
  <c r="L104" i="42"/>
  <c r="N104" i="42" s="1"/>
  <c r="B104" i="42"/>
  <c r="Z103" i="42"/>
  <c r="X103" i="42"/>
  <c r="L103" i="42"/>
  <c r="N103" i="42" s="1"/>
  <c r="B103" i="42"/>
  <c r="Z102" i="42"/>
  <c r="X102" i="42"/>
  <c r="L102" i="42"/>
  <c r="N102" i="42" s="1"/>
  <c r="B102" i="42"/>
  <c r="X101" i="42"/>
  <c r="Z101" i="42" s="1"/>
  <c r="L101" i="42"/>
  <c r="N101" i="42" s="1"/>
  <c r="B101" i="42"/>
  <c r="T100" i="42"/>
  <c r="P100" i="42"/>
  <c r="X100" i="42" s="1"/>
  <c r="N100" i="42"/>
  <c r="H100" i="42"/>
  <c r="D100" i="42"/>
  <c r="L100" i="42" s="1"/>
  <c r="B100" i="42"/>
  <c r="X99" i="42"/>
  <c r="Z99" i="42" s="1"/>
  <c r="L99" i="42"/>
  <c r="N99" i="42" s="1"/>
  <c r="B99" i="42"/>
  <c r="X98" i="42"/>
  <c r="T98" i="42"/>
  <c r="Z98" i="42" s="1"/>
  <c r="P98" i="42"/>
  <c r="H98" i="42"/>
  <c r="N98" i="42" s="1"/>
  <c r="D98" i="42"/>
  <c r="L98" i="42" s="1"/>
  <c r="B98" i="42"/>
  <c r="Z97" i="42"/>
  <c r="X97" i="42"/>
  <c r="N97" i="42"/>
  <c r="L97" i="42"/>
  <c r="B97" i="42"/>
  <c r="X96" i="42"/>
  <c r="Z96" i="42" s="1"/>
  <c r="L96" i="42"/>
  <c r="N96" i="42" s="1"/>
  <c r="J96" i="42"/>
  <c r="B96" i="42"/>
  <c r="X95" i="42"/>
  <c r="Z95" i="42" s="1"/>
  <c r="N95" i="42"/>
  <c r="L95" i="42"/>
  <c r="B95" i="42"/>
  <c r="Z94" i="42"/>
  <c r="X94" i="42"/>
  <c r="N94" i="42"/>
  <c r="L94" i="42"/>
  <c r="B94" i="42"/>
  <c r="Z93" i="42"/>
  <c r="X93" i="42"/>
  <c r="N93" i="42"/>
  <c r="L93" i="42"/>
  <c r="B93" i="42"/>
  <c r="X92" i="42"/>
  <c r="T92" i="42"/>
  <c r="Z92" i="42" s="1"/>
  <c r="P92" i="42"/>
  <c r="H92" i="42"/>
  <c r="D92" i="42"/>
  <c r="L92" i="42" s="1"/>
  <c r="N92" i="42" s="1"/>
  <c r="B92" i="42"/>
  <c r="Z91" i="42"/>
  <c r="X91" i="42"/>
  <c r="L91" i="42"/>
  <c r="N91" i="42" s="1"/>
  <c r="B91" i="42"/>
  <c r="Z90" i="42"/>
  <c r="X90" i="42"/>
  <c r="N90" i="42"/>
  <c r="L90" i="42"/>
  <c r="B90" i="42"/>
  <c r="Z89" i="42"/>
  <c r="X89" i="42"/>
  <c r="N89" i="42"/>
  <c r="L89" i="42"/>
  <c r="B89" i="42"/>
  <c r="T88" i="42"/>
  <c r="P88" i="42"/>
  <c r="X88" i="42" s="1"/>
  <c r="H88" i="42"/>
  <c r="D88" i="42"/>
  <c r="L88" i="42" s="1"/>
  <c r="N88" i="42" s="1"/>
  <c r="B88" i="42"/>
  <c r="X87" i="42"/>
  <c r="Z87" i="42" s="1"/>
  <c r="L87" i="42"/>
  <c r="N87" i="42" s="1"/>
  <c r="B87" i="42"/>
  <c r="X86" i="42"/>
  <c r="Z86" i="42" s="1"/>
  <c r="N86" i="42"/>
  <c r="L86" i="42"/>
  <c r="B86" i="42"/>
  <c r="Z85" i="42"/>
  <c r="X85" i="42"/>
  <c r="N85" i="42"/>
  <c r="L85" i="42"/>
  <c r="B85" i="42"/>
  <c r="X84" i="42"/>
  <c r="Z84" i="42" s="1"/>
  <c r="L84" i="42"/>
  <c r="N84" i="42" s="1"/>
  <c r="B84" i="42"/>
  <c r="X83" i="42"/>
  <c r="T83" i="42"/>
  <c r="P83" i="42"/>
  <c r="H83" i="42"/>
  <c r="D83" i="42"/>
  <c r="L83" i="42" s="1"/>
  <c r="B83" i="42"/>
  <c r="Z82" i="42"/>
  <c r="X82" i="42"/>
  <c r="N82" i="42"/>
  <c r="L82" i="42"/>
  <c r="B82" i="42"/>
  <c r="T81" i="42"/>
  <c r="P81" i="42"/>
  <c r="L81" i="42"/>
  <c r="H81" i="42"/>
  <c r="N81" i="42" s="1"/>
  <c r="D81" i="42"/>
  <c r="B81" i="42"/>
  <c r="Z80" i="42"/>
  <c r="X80" i="42"/>
  <c r="V80" i="42"/>
  <c r="N80" i="42"/>
  <c r="L80" i="42"/>
  <c r="B80" i="42"/>
  <c r="T79" i="42"/>
  <c r="Z79" i="42" s="1"/>
  <c r="P79" i="42"/>
  <c r="X79" i="42" s="1"/>
  <c r="H79" i="42"/>
  <c r="N79" i="42" s="1"/>
  <c r="D79" i="42"/>
  <c r="B79" i="42"/>
  <c r="Z78" i="42"/>
  <c r="X78" i="42"/>
  <c r="N78" i="42"/>
  <c r="L78" i="42"/>
  <c r="B78" i="42"/>
  <c r="T77" i="42"/>
  <c r="P77" i="42"/>
  <c r="X77" i="42" s="1"/>
  <c r="L77" i="42"/>
  <c r="H77" i="42"/>
  <c r="D77" i="42"/>
  <c r="B77" i="42"/>
  <c r="X76" i="42"/>
  <c r="Z76" i="42" s="1"/>
  <c r="N76" i="42"/>
  <c r="L76" i="42"/>
  <c r="J76" i="42"/>
  <c r="B76" i="42"/>
  <c r="X75" i="42"/>
  <c r="T75" i="42"/>
  <c r="P75" i="42"/>
  <c r="H75" i="42"/>
  <c r="D75" i="42"/>
  <c r="B75" i="42"/>
  <c r="Z74" i="42"/>
  <c r="X74" i="42"/>
  <c r="N74" i="42"/>
  <c r="L74" i="42"/>
  <c r="B74" i="42"/>
  <c r="Z73" i="42"/>
  <c r="X73" i="42"/>
  <c r="L73" i="42"/>
  <c r="N73" i="42" s="1"/>
  <c r="B73" i="42"/>
  <c r="T72" i="42"/>
  <c r="P72" i="42"/>
  <c r="X72" i="42" s="1"/>
  <c r="Z72" i="42" s="1"/>
  <c r="H72" i="42"/>
  <c r="D72" i="42"/>
  <c r="L72" i="42" s="1"/>
  <c r="N72" i="42" s="1"/>
  <c r="B72" i="42"/>
  <c r="X71" i="42"/>
  <c r="Z71" i="42" s="1"/>
  <c r="L71" i="42"/>
  <c r="N71" i="42" s="1"/>
  <c r="B71" i="42"/>
  <c r="X70" i="42"/>
  <c r="Z70" i="42" s="1"/>
  <c r="T70" i="42"/>
  <c r="P70" i="42"/>
  <c r="H70" i="42"/>
  <c r="D70" i="42"/>
  <c r="L70" i="42" s="1"/>
  <c r="B70" i="42"/>
  <c r="X69" i="42"/>
  <c r="Z69" i="42" s="1"/>
  <c r="N69" i="42"/>
  <c r="L69" i="42"/>
  <c r="B69" i="42"/>
  <c r="T68" i="42"/>
  <c r="P68" i="42"/>
  <c r="H68" i="42"/>
  <c r="D68" i="42"/>
  <c r="L68" i="42" s="1"/>
  <c r="N68" i="42" s="1"/>
  <c r="B68" i="42"/>
  <c r="X67" i="42"/>
  <c r="Z67" i="42" s="1"/>
  <c r="N67" i="42"/>
  <c r="L67" i="42"/>
  <c r="B67" i="42"/>
  <c r="Z66" i="42"/>
  <c r="T66" i="42"/>
  <c r="P66" i="42"/>
  <c r="X66" i="42" s="1"/>
  <c r="N66" i="42"/>
  <c r="H66" i="42"/>
  <c r="D66" i="42"/>
  <c r="L66" i="42" s="1"/>
  <c r="B66" i="42"/>
  <c r="X65" i="42"/>
  <c r="Z65" i="42" s="1"/>
  <c r="L65" i="42"/>
  <c r="N65" i="42" s="1"/>
  <c r="B65" i="42"/>
  <c r="Z64" i="42"/>
  <c r="X64" i="42"/>
  <c r="N64" i="42"/>
  <c r="L64" i="42"/>
  <c r="B64" i="42"/>
  <c r="X63" i="42"/>
  <c r="Z63" i="42" s="1"/>
  <c r="L63" i="42"/>
  <c r="N63" i="42" s="1"/>
  <c r="B63" i="42"/>
  <c r="X62" i="42"/>
  <c r="Z62" i="42" s="1"/>
  <c r="N62" i="42"/>
  <c r="L62" i="42"/>
  <c r="B62" i="42"/>
  <c r="T61" i="42"/>
  <c r="P61" i="42"/>
  <c r="X61" i="42" s="1"/>
  <c r="H61" i="42"/>
  <c r="D61" i="42"/>
  <c r="L61" i="42" s="1"/>
  <c r="B61" i="42"/>
  <c r="X60" i="42"/>
  <c r="Z60" i="42" s="1"/>
  <c r="N60" i="42"/>
  <c r="L60" i="42"/>
  <c r="B60" i="42"/>
  <c r="X59" i="42"/>
  <c r="T59" i="42"/>
  <c r="P59" i="42"/>
  <c r="H59" i="42"/>
  <c r="D59" i="42"/>
  <c r="B59" i="42"/>
  <c r="Z58" i="42"/>
  <c r="X58" i="42"/>
  <c r="N58" i="42"/>
  <c r="L58" i="42"/>
  <c r="B58" i="42"/>
  <c r="T57" i="42"/>
  <c r="P57" i="42"/>
  <c r="X57" i="42" s="1"/>
  <c r="H57" i="42"/>
  <c r="D57" i="42"/>
  <c r="L57" i="42" s="1"/>
  <c r="B57" i="42"/>
  <c r="X56" i="42"/>
  <c r="Z56" i="42" s="1"/>
  <c r="N56" i="42"/>
  <c r="L56" i="42"/>
  <c r="B56" i="42"/>
  <c r="T55" i="42"/>
  <c r="P55" i="42"/>
  <c r="X55" i="42" s="1"/>
  <c r="H55" i="42"/>
  <c r="N55" i="42" s="1"/>
  <c r="D55" i="42"/>
  <c r="L55" i="42" s="1"/>
  <c r="B55" i="42"/>
  <c r="Z54" i="42"/>
  <c r="X54" i="42"/>
  <c r="N54" i="42"/>
  <c r="L54" i="42"/>
  <c r="B54" i="42"/>
  <c r="Z53" i="42"/>
  <c r="X53" i="42"/>
  <c r="N53" i="42"/>
  <c r="L53" i="42"/>
  <c r="B53" i="42"/>
  <c r="Z52" i="42"/>
  <c r="X52" i="42"/>
  <c r="N52" i="42"/>
  <c r="L52" i="42"/>
  <c r="J52" i="42"/>
  <c r="B52" i="42"/>
  <c r="X51" i="42"/>
  <c r="Z51" i="42" s="1"/>
  <c r="N51" i="42"/>
  <c r="L51" i="42"/>
  <c r="B51" i="42"/>
  <c r="Z50" i="42"/>
  <c r="X50" i="42"/>
  <c r="N50" i="42"/>
  <c r="L50" i="42"/>
  <c r="B50" i="42"/>
  <c r="X49" i="42"/>
  <c r="Z49" i="42" s="1"/>
  <c r="R49" i="42"/>
  <c r="L49" i="42"/>
  <c r="N49" i="42" s="1"/>
  <c r="B49" i="42"/>
  <c r="X48" i="42"/>
  <c r="Z48" i="42" s="1"/>
  <c r="N48" i="42"/>
  <c r="L48" i="42"/>
  <c r="J48" i="42"/>
  <c r="B48" i="42"/>
  <c r="Z47" i="42"/>
  <c r="X47" i="42"/>
  <c r="N47" i="42"/>
  <c r="L47" i="42"/>
  <c r="B47" i="42"/>
  <c r="Z46" i="42"/>
  <c r="X46" i="42"/>
  <c r="N46" i="42"/>
  <c r="L46" i="42"/>
  <c r="B46" i="42"/>
  <c r="X45" i="42"/>
  <c r="Z45" i="42" s="1"/>
  <c r="L45" i="42"/>
  <c r="N45" i="42" s="1"/>
  <c r="B45" i="42"/>
  <c r="T44" i="42"/>
  <c r="Z44" i="42" s="1"/>
  <c r="P44" i="42"/>
  <c r="X44" i="42" s="1"/>
  <c r="H44" i="42"/>
  <c r="D44" i="42"/>
  <c r="L44" i="42" s="1"/>
  <c r="N44" i="42" s="1"/>
  <c r="B44" i="42"/>
  <c r="X43" i="42"/>
  <c r="Z43" i="42" s="1"/>
  <c r="L43" i="42"/>
  <c r="N43" i="42" s="1"/>
  <c r="B43" i="42"/>
  <c r="Z42" i="42"/>
  <c r="X42" i="42"/>
  <c r="N42" i="42"/>
  <c r="L42" i="42"/>
  <c r="B42" i="42"/>
  <c r="X41" i="42"/>
  <c r="Z41" i="42" s="1"/>
  <c r="R41" i="42"/>
  <c r="N41" i="42"/>
  <c r="L41" i="42"/>
  <c r="B41" i="42"/>
  <c r="Z40" i="42"/>
  <c r="X40" i="42"/>
  <c r="N40" i="42"/>
  <c r="L40" i="42"/>
  <c r="B40" i="42"/>
  <c r="X39" i="42"/>
  <c r="Z39" i="42" s="1"/>
  <c r="N39" i="42"/>
  <c r="L39" i="42"/>
  <c r="B39" i="42"/>
  <c r="Z38" i="42"/>
  <c r="X38" i="42"/>
  <c r="L38" i="42"/>
  <c r="N38" i="42" s="1"/>
  <c r="B38" i="42"/>
  <c r="X37" i="42"/>
  <c r="Z37" i="42" s="1"/>
  <c r="R37" i="42"/>
  <c r="L37" i="42"/>
  <c r="N37" i="42" s="1"/>
  <c r="B37" i="42"/>
  <c r="X36" i="42"/>
  <c r="Z36" i="42" s="1"/>
  <c r="V36" i="42"/>
  <c r="L36" i="42"/>
  <c r="N36" i="42" s="1"/>
  <c r="B36" i="42"/>
  <c r="X35" i="42"/>
  <c r="Z35" i="42" s="1"/>
  <c r="L35" i="42"/>
  <c r="N35" i="42" s="1"/>
  <c r="B35" i="42"/>
  <c r="Z34" i="42"/>
  <c r="X34" i="42"/>
  <c r="L34" i="42"/>
  <c r="N34" i="42" s="1"/>
  <c r="B34" i="42"/>
  <c r="T33" i="42"/>
  <c r="P33" i="42"/>
  <c r="X33" i="42" s="1"/>
  <c r="H33" i="42"/>
  <c r="N33" i="42" s="1"/>
  <c r="D33" i="42"/>
  <c r="L33" i="42" s="1"/>
  <c r="B33" i="42"/>
  <c r="T32" i="42"/>
  <c r="P32" i="42"/>
  <c r="X32" i="42" s="1"/>
  <c r="H32" i="42"/>
  <c r="N32" i="42" s="1"/>
  <c r="D32" i="42"/>
  <c r="L32" i="42" s="1"/>
  <c r="Z28" i="42"/>
  <c r="X28" i="42"/>
  <c r="N28" i="42"/>
  <c r="L28" i="42"/>
  <c r="B28" i="42"/>
  <c r="Z27" i="42"/>
  <c r="X27" i="42"/>
  <c r="N27" i="42"/>
  <c r="L27" i="42"/>
  <c r="B27" i="42"/>
  <c r="X26" i="42"/>
  <c r="Z26" i="42" s="1"/>
  <c r="N26" i="42"/>
  <c r="L26" i="42"/>
  <c r="B26" i="42"/>
  <c r="Z25" i="42"/>
  <c r="X25" i="42"/>
  <c r="T25" i="42"/>
  <c r="P25" i="42"/>
  <c r="H25" i="42"/>
  <c r="D25" i="42"/>
  <c r="L25" i="42" s="1"/>
  <c r="N25" i="42" s="1"/>
  <c r="Z23" i="42"/>
  <c r="P23" i="42"/>
  <c r="X23" i="42" s="1"/>
  <c r="N23" i="42"/>
  <c r="L23" i="42"/>
  <c r="D23" i="42"/>
  <c r="B23" i="42"/>
  <c r="Z22" i="42"/>
  <c r="X22" i="42"/>
  <c r="P22" i="42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P20" i="42"/>
  <c r="X20" i="42" s="1"/>
  <c r="N20" i="42"/>
  <c r="D20" i="42"/>
  <c r="L20" i="42" s="1"/>
  <c r="B20" i="42"/>
  <c r="P19" i="42"/>
  <c r="X19" i="42" s="1"/>
  <c r="Z19" i="42" s="1"/>
  <c r="N19" i="42"/>
  <c r="L19" i="42"/>
  <c r="D19" i="42"/>
  <c r="B19" i="42"/>
  <c r="Z18" i="42"/>
  <c r="X18" i="42"/>
  <c r="P18" i="42"/>
  <c r="N18" i="42"/>
  <c r="L18" i="42"/>
  <c r="D18" i="42"/>
  <c r="B18" i="42"/>
  <c r="Z17" i="42"/>
  <c r="X17" i="42"/>
  <c r="P17" i="42"/>
  <c r="N17" i="42"/>
  <c r="D17" i="42"/>
  <c r="B17" i="42"/>
  <c r="Z16" i="42"/>
  <c r="X16" i="42"/>
  <c r="P16" i="42"/>
  <c r="N16" i="42"/>
  <c r="D16" i="42"/>
  <c r="L16" i="42" s="1"/>
  <c r="B16" i="42"/>
  <c r="Z15" i="42"/>
  <c r="P15" i="42"/>
  <c r="X15" i="42" s="1"/>
  <c r="N15" i="42"/>
  <c r="L15" i="42"/>
  <c r="D15" i="42"/>
  <c r="B15" i="42"/>
  <c r="Z14" i="42"/>
  <c r="X14" i="42"/>
  <c r="P14" i="42"/>
  <c r="N14" i="42"/>
  <c r="L14" i="42"/>
  <c r="D14" i="42"/>
  <c r="B14" i="42"/>
  <c r="X13" i="42"/>
  <c r="Z13" i="42" s="1"/>
  <c r="P13" i="42"/>
  <c r="P12" i="42" s="1"/>
  <c r="R97" i="42" s="1"/>
  <c r="L13" i="42"/>
  <c r="N13" i="42" s="1"/>
  <c r="D13" i="42"/>
  <c r="B13" i="42"/>
  <c r="T12" i="42"/>
  <c r="V32" i="42" s="1"/>
  <c r="H12" i="42"/>
  <c r="J66" i="42" s="1"/>
  <c r="D4" i="42"/>
  <c r="Z144" i="39"/>
  <c r="X144" i="39"/>
  <c r="L144" i="39"/>
  <c r="N144" i="39" s="1"/>
  <c r="Z140" i="39"/>
  <c r="X140" i="39"/>
  <c r="P140" i="39"/>
  <c r="N140" i="39"/>
  <c r="D140" i="39"/>
  <c r="L140" i="39" s="1"/>
  <c r="B140" i="39"/>
  <c r="Z139" i="39"/>
  <c r="X139" i="39"/>
  <c r="P139" i="39"/>
  <c r="N139" i="39"/>
  <c r="L139" i="39"/>
  <c r="D139" i="39"/>
  <c r="B139" i="39"/>
  <c r="P138" i="39"/>
  <c r="P136" i="39" s="1"/>
  <c r="X136" i="39" s="1"/>
  <c r="D138" i="39"/>
  <c r="L138" i="39" s="1"/>
  <c r="N138" i="39" s="1"/>
  <c r="B138" i="39"/>
  <c r="Z137" i="39"/>
  <c r="X137" i="39"/>
  <c r="P137" i="39"/>
  <c r="N137" i="39"/>
  <c r="L137" i="39"/>
  <c r="D137" i="39"/>
  <c r="B137" i="39"/>
  <c r="T136" i="39"/>
  <c r="H136" i="39"/>
  <c r="X134" i="39"/>
  <c r="Z134" i="39" s="1"/>
  <c r="N134" i="39"/>
  <c r="L134" i="39"/>
  <c r="B134" i="39"/>
  <c r="T133" i="39"/>
  <c r="Z133" i="39" s="1"/>
  <c r="P133" i="39"/>
  <c r="X133" i="39" s="1"/>
  <c r="N133" i="39"/>
  <c r="H133" i="39"/>
  <c r="L133" i="39" s="1"/>
  <c r="D133" i="39"/>
  <c r="B133" i="39"/>
  <c r="Z132" i="39"/>
  <c r="X132" i="39"/>
  <c r="N132" i="39"/>
  <c r="L132" i="39"/>
  <c r="B132" i="39"/>
  <c r="Z131" i="39"/>
  <c r="X131" i="39"/>
  <c r="N131" i="39"/>
  <c r="L131" i="39"/>
  <c r="B131" i="39"/>
  <c r="Z130" i="39"/>
  <c r="X130" i="39"/>
  <c r="N130" i="39"/>
  <c r="L130" i="39"/>
  <c r="B130" i="39"/>
  <c r="T129" i="39"/>
  <c r="Z129" i="39" s="1"/>
  <c r="P129" i="39"/>
  <c r="X129" i="39" s="1"/>
  <c r="H129" i="39"/>
  <c r="N129" i="39" s="1"/>
  <c r="D129" i="39"/>
  <c r="L129" i="39" s="1"/>
  <c r="B129" i="39"/>
  <c r="X128" i="39"/>
  <c r="Z128" i="39" s="1"/>
  <c r="N128" i="39"/>
  <c r="L128" i="39"/>
  <c r="B128" i="39"/>
  <c r="X127" i="39"/>
  <c r="Z127" i="39" s="1"/>
  <c r="T127" i="39"/>
  <c r="P127" i="39"/>
  <c r="L127" i="39"/>
  <c r="H127" i="39"/>
  <c r="N127" i="39" s="1"/>
  <c r="D127" i="39"/>
  <c r="B127" i="39"/>
  <c r="Z126" i="39"/>
  <c r="X126" i="39"/>
  <c r="N126" i="39"/>
  <c r="L126" i="39"/>
  <c r="B126" i="39"/>
  <c r="X125" i="39"/>
  <c r="Z125" i="39" s="1"/>
  <c r="L125" i="39"/>
  <c r="N125" i="39" s="1"/>
  <c r="B125" i="39"/>
  <c r="Z124" i="39"/>
  <c r="T124" i="39"/>
  <c r="P124" i="39"/>
  <c r="X124" i="39" s="1"/>
  <c r="H124" i="39"/>
  <c r="D124" i="39"/>
  <c r="B124" i="39"/>
  <c r="X123" i="39"/>
  <c r="Z123" i="39" s="1"/>
  <c r="N123" i="39"/>
  <c r="L123" i="39"/>
  <c r="B123" i="39"/>
  <c r="Z122" i="39"/>
  <c r="X122" i="39"/>
  <c r="N122" i="39"/>
  <c r="L122" i="39"/>
  <c r="B122" i="39"/>
  <c r="X121" i="39"/>
  <c r="Z121" i="39" s="1"/>
  <c r="N121" i="39"/>
  <c r="L121" i="39"/>
  <c r="B121" i="39"/>
  <c r="X120" i="39"/>
  <c r="Z120" i="39" s="1"/>
  <c r="L120" i="39"/>
  <c r="N120" i="39" s="1"/>
  <c r="B120" i="39"/>
  <c r="X119" i="39"/>
  <c r="Z119" i="39" s="1"/>
  <c r="N119" i="39"/>
  <c r="L119" i="39"/>
  <c r="B119" i="39"/>
  <c r="Z118" i="39"/>
  <c r="X118" i="39"/>
  <c r="L118" i="39"/>
  <c r="N118" i="39" s="1"/>
  <c r="B118" i="39"/>
  <c r="X117" i="39"/>
  <c r="Z117" i="39" s="1"/>
  <c r="L117" i="39"/>
  <c r="N117" i="39" s="1"/>
  <c r="B117" i="39"/>
  <c r="X116" i="39"/>
  <c r="Z116" i="39" s="1"/>
  <c r="L116" i="39"/>
  <c r="N116" i="39" s="1"/>
  <c r="B116" i="39"/>
  <c r="X115" i="39"/>
  <c r="Z115" i="39" s="1"/>
  <c r="L115" i="39"/>
  <c r="N115" i="39" s="1"/>
  <c r="B115" i="39"/>
  <c r="X114" i="39"/>
  <c r="Z114" i="39" s="1"/>
  <c r="N114" i="39"/>
  <c r="L114" i="39"/>
  <c r="B114" i="39"/>
  <c r="T113" i="39"/>
  <c r="Z113" i="39" s="1"/>
  <c r="P113" i="39"/>
  <c r="X113" i="39" s="1"/>
  <c r="H113" i="39"/>
  <c r="D113" i="39"/>
  <c r="L113" i="39" s="1"/>
  <c r="N113" i="39" s="1"/>
  <c r="B113" i="39"/>
  <c r="Z112" i="39"/>
  <c r="X112" i="39"/>
  <c r="L112" i="39"/>
  <c r="N112" i="39" s="1"/>
  <c r="B112" i="39"/>
  <c r="X111" i="39"/>
  <c r="Z111" i="39" s="1"/>
  <c r="T111" i="39"/>
  <c r="P111" i="39"/>
  <c r="N111" i="39"/>
  <c r="L111" i="39"/>
  <c r="H111" i="39"/>
  <c r="D111" i="39"/>
  <c r="B111" i="39"/>
  <c r="Z110" i="39"/>
  <c r="X110" i="39"/>
  <c r="L110" i="39"/>
  <c r="N110" i="39" s="1"/>
  <c r="B110" i="39"/>
  <c r="X109" i="39"/>
  <c r="Z109" i="39" s="1"/>
  <c r="N109" i="39"/>
  <c r="L109" i="39"/>
  <c r="B109" i="39"/>
  <c r="X108" i="39"/>
  <c r="Z108" i="39" s="1"/>
  <c r="L108" i="39"/>
  <c r="N108" i="39" s="1"/>
  <c r="B108" i="39"/>
  <c r="X107" i="39"/>
  <c r="Z107" i="39" s="1"/>
  <c r="L107" i="39"/>
  <c r="N107" i="39" s="1"/>
  <c r="B107" i="39"/>
  <c r="Z106" i="39"/>
  <c r="X106" i="39"/>
  <c r="L106" i="39"/>
  <c r="N106" i="39" s="1"/>
  <c r="B106" i="39"/>
  <c r="Z105" i="39"/>
  <c r="X105" i="39"/>
  <c r="N105" i="39"/>
  <c r="L105" i="39"/>
  <c r="B105" i="39"/>
  <c r="T104" i="39"/>
  <c r="P104" i="39"/>
  <c r="X104" i="39" s="1"/>
  <c r="Z104" i="39" s="1"/>
  <c r="H104" i="39"/>
  <c r="D104" i="39"/>
  <c r="L104" i="39" s="1"/>
  <c r="N104" i="39" s="1"/>
  <c r="B104" i="39"/>
  <c r="X103" i="39"/>
  <c r="Z103" i="39" s="1"/>
  <c r="L103" i="39"/>
  <c r="N103" i="39" s="1"/>
  <c r="B103" i="39"/>
  <c r="X102" i="39"/>
  <c r="Z102" i="39" s="1"/>
  <c r="N102" i="39"/>
  <c r="L102" i="39"/>
  <c r="B102" i="39"/>
  <c r="Z101" i="39"/>
  <c r="X101" i="39"/>
  <c r="N101" i="39"/>
  <c r="L101" i="39"/>
  <c r="B101" i="39"/>
  <c r="T100" i="39"/>
  <c r="Z100" i="39" s="1"/>
  <c r="P100" i="39"/>
  <c r="X100" i="39" s="1"/>
  <c r="L100" i="39"/>
  <c r="H100" i="39"/>
  <c r="N100" i="39" s="1"/>
  <c r="D100" i="39"/>
  <c r="B100" i="39"/>
  <c r="X99" i="39"/>
  <c r="Z99" i="39" s="1"/>
  <c r="N99" i="39"/>
  <c r="L99" i="39"/>
  <c r="B99" i="39"/>
  <c r="Z98" i="39"/>
  <c r="X98" i="39"/>
  <c r="N98" i="39"/>
  <c r="L98" i="39"/>
  <c r="B98" i="39"/>
  <c r="Z97" i="39"/>
  <c r="X97" i="39"/>
  <c r="N97" i="39"/>
  <c r="L97" i="39"/>
  <c r="B97" i="39"/>
  <c r="X96" i="39"/>
  <c r="Z96" i="39" s="1"/>
  <c r="L96" i="39"/>
  <c r="N96" i="39" s="1"/>
  <c r="B96" i="39"/>
  <c r="X95" i="39"/>
  <c r="Z95" i="39" s="1"/>
  <c r="T95" i="39"/>
  <c r="P95" i="39"/>
  <c r="N95" i="39"/>
  <c r="L95" i="39"/>
  <c r="H95" i="39"/>
  <c r="D95" i="39"/>
  <c r="B95" i="39"/>
  <c r="Z94" i="39"/>
  <c r="X94" i="39"/>
  <c r="L94" i="39"/>
  <c r="N94" i="39" s="1"/>
  <c r="B94" i="39"/>
  <c r="T93" i="39"/>
  <c r="P93" i="39"/>
  <c r="H93" i="39"/>
  <c r="D93" i="39"/>
  <c r="L93" i="39" s="1"/>
  <c r="N93" i="39" s="1"/>
  <c r="B93" i="39"/>
  <c r="Z92" i="39"/>
  <c r="X92" i="39"/>
  <c r="N92" i="39"/>
  <c r="L92" i="39"/>
  <c r="B92" i="39"/>
  <c r="T91" i="39"/>
  <c r="Z91" i="39" s="1"/>
  <c r="P91" i="39"/>
  <c r="X91" i="39" s="1"/>
  <c r="H91" i="39"/>
  <c r="N91" i="39" s="1"/>
  <c r="D91" i="39"/>
  <c r="L91" i="39" s="1"/>
  <c r="B91" i="39"/>
  <c r="Z90" i="39"/>
  <c r="X90" i="39"/>
  <c r="N90" i="39"/>
  <c r="L90" i="39"/>
  <c r="B90" i="39"/>
  <c r="T89" i="39"/>
  <c r="Z89" i="39" s="1"/>
  <c r="P89" i="39"/>
  <c r="N89" i="39"/>
  <c r="L89" i="39"/>
  <c r="H89" i="39"/>
  <c r="D89" i="39"/>
  <c r="B89" i="39"/>
  <c r="Z88" i="39"/>
  <c r="X88" i="39"/>
  <c r="L88" i="39"/>
  <c r="N88" i="39" s="1"/>
  <c r="J88" i="39"/>
  <c r="B88" i="39"/>
  <c r="T87" i="39"/>
  <c r="P87" i="39"/>
  <c r="X87" i="39" s="1"/>
  <c r="H87" i="39"/>
  <c r="D87" i="39"/>
  <c r="L87" i="39" s="1"/>
  <c r="B87" i="39"/>
  <c r="X86" i="39"/>
  <c r="Z86" i="39" s="1"/>
  <c r="N86" i="39"/>
  <c r="L86" i="39"/>
  <c r="B86" i="39"/>
  <c r="T85" i="39"/>
  <c r="Z85" i="39" s="1"/>
  <c r="P85" i="39"/>
  <c r="X85" i="39" s="1"/>
  <c r="H85" i="39"/>
  <c r="D85" i="39"/>
  <c r="L85" i="39" s="1"/>
  <c r="N85" i="39" s="1"/>
  <c r="B85" i="39"/>
  <c r="Z84" i="39"/>
  <c r="X84" i="39"/>
  <c r="N84" i="39"/>
  <c r="L84" i="39"/>
  <c r="B84" i="39"/>
  <c r="X83" i="39"/>
  <c r="Z83" i="39" s="1"/>
  <c r="N83" i="39"/>
  <c r="L83" i="39"/>
  <c r="B83" i="39"/>
  <c r="T82" i="39"/>
  <c r="P82" i="39"/>
  <c r="X82" i="39" s="1"/>
  <c r="Z82" i="39" s="1"/>
  <c r="H82" i="39"/>
  <c r="N82" i="39" s="1"/>
  <c r="D82" i="39"/>
  <c r="L82" i="39" s="1"/>
  <c r="B82" i="39"/>
  <c r="Z81" i="39"/>
  <c r="X81" i="39"/>
  <c r="N81" i="39"/>
  <c r="L81" i="39"/>
  <c r="B81" i="39"/>
  <c r="Z80" i="39"/>
  <c r="X80" i="39"/>
  <c r="T80" i="39"/>
  <c r="P80" i="39"/>
  <c r="N80" i="39"/>
  <c r="H80" i="39"/>
  <c r="D80" i="39"/>
  <c r="L80" i="39" s="1"/>
  <c r="B80" i="39"/>
  <c r="X79" i="39"/>
  <c r="Z79" i="39" s="1"/>
  <c r="L79" i="39"/>
  <c r="N79" i="39" s="1"/>
  <c r="B79" i="39"/>
  <c r="X78" i="39"/>
  <c r="T78" i="39"/>
  <c r="Z78" i="39" s="1"/>
  <c r="P78" i="39"/>
  <c r="J78" i="39"/>
  <c r="H78" i="39"/>
  <c r="D78" i="39"/>
  <c r="L78" i="39" s="1"/>
  <c r="B78" i="39"/>
  <c r="Z77" i="39"/>
  <c r="X77" i="39"/>
  <c r="L77" i="39"/>
  <c r="N77" i="39" s="1"/>
  <c r="B77" i="39"/>
  <c r="T76" i="39"/>
  <c r="P76" i="39"/>
  <c r="X76" i="39" s="1"/>
  <c r="H76" i="39"/>
  <c r="D76" i="39"/>
  <c r="L76" i="39" s="1"/>
  <c r="N76" i="39" s="1"/>
  <c r="B76" i="39"/>
  <c r="X75" i="39"/>
  <c r="Z75" i="39" s="1"/>
  <c r="N75" i="39"/>
  <c r="L75" i="39"/>
  <c r="B75" i="39"/>
  <c r="T74" i="39"/>
  <c r="P74" i="39"/>
  <c r="X74" i="39" s="1"/>
  <c r="Z74" i="39" s="1"/>
  <c r="N74" i="39"/>
  <c r="H74" i="39"/>
  <c r="D74" i="39"/>
  <c r="L74" i="39" s="1"/>
  <c r="B74" i="39"/>
  <c r="Z73" i="39"/>
  <c r="X73" i="39"/>
  <c r="N73" i="39"/>
  <c r="L73" i="39"/>
  <c r="B73" i="39"/>
  <c r="T72" i="39"/>
  <c r="Z72" i="39" s="1"/>
  <c r="P72" i="39"/>
  <c r="L72" i="39"/>
  <c r="H72" i="39"/>
  <c r="N72" i="39" s="1"/>
  <c r="D72" i="39"/>
  <c r="B72" i="39"/>
  <c r="X71" i="39"/>
  <c r="Z71" i="39" s="1"/>
  <c r="N71" i="39"/>
  <c r="L71" i="39"/>
  <c r="B71" i="39"/>
  <c r="X70" i="39"/>
  <c r="Z70" i="39" s="1"/>
  <c r="N70" i="39"/>
  <c r="L70" i="39"/>
  <c r="B70" i="39"/>
  <c r="Z69" i="39"/>
  <c r="X69" i="39"/>
  <c r="N69" i="39"/>
  <c r="L69" i="39"/>
  <c r="B69" i="39"/>
  <c r="X68" i="39"/>
  <c r="Z68" i="39" s="1"/>
  <c r="L68" i="39"/>
  <c r="N68" i="39" s="1"/>
  <c r="B68" i="39"/>
  <c r="X67" i="39"/>
  <c r="T67" i="39"/>
  <c r="Z67" i="39" s="1"/>
  <c r="P67" i="39"/>
  <c r="H67" i="39"/>
  <c r="D67" i="39"/>
  <c r="L67" i="39" s="1"/>
  <c r="N67" i="39" s="1"/>
  <c r="B67" i="39"/>
  <c r="Z66" i="39"/>
  <c r="X66" i="39"/>
  <c r="L66" i="39"/>
  <c r="N66" i="39" s="1"/>
  <c r="B66" i="39"/>
  <c r="T65" i="39"/>
  <c r="P65" i="39"/>
  <c r="H65" i="39"/>
  <c r="N65" i="39" s="1"/>
  <c r="D65" i="39"/>
  <c r="L65" i="39" s="1"/>
  <c r="B65" i="39"/>
  <c r="Z64" i="39"/>
  <c r="X64" i="39"/>
  <c r="N64" i="39"/>
  <c r="L64" i="39"/>
  <c r="B64" i="39"/>
  <c r="T63" i="39"/>
  <c r="Z63" i="39" s="1"/>
  <c r="P63" i="39"/>
  <c r="X63" i="39" s="1"/>
  <c r="H63" i="39"/>
  <c r="N63" i="39" s="1"/>
  <c r="D63" i="39"/>
  <c r="L63" i="39" s="1"/>
  <c r="B63" i="39"/>
  <c r="X62" i="39"/>
  <c r="Z62" i="39" s="1"/>
  <c r="N62" i="39"/>
  <c r="L62" i="39"/>
  <c r="B62" i="39"/>
  <c r="T61" i="39"/>
  <c r="P61" i="39"/>
  <c r="X61" i="39" s="1"/>
  <c r="L61" i="39"/>
  <c r="H61" i="39"/>
  <c r="N61" i="39" s="1"/>
  <c r="D61" i="39"/>
  <c r="B61" i="39"/>
  <c r="Z60" i="39"/>
  <c r="X60" i="39"/>
  <c r="N60" i="39"/>
  <c r="L60" i="39"/>
  <c r="J60" i="39"/>
  <c r="B60" i="39"/>
  <c r="Z59" i="39"/>
  <c r="X59" i="39"/>
  <c r="N59" i="39"/>
  <c r="L59" i="39"/>
  <c r="B59" i="39"/>
  <c r="Z58" i="39"/>
  <c r="X58" i="39"/>
  <c r="N58" i="39"/>
  <c r="L58" i="39"/>
  <c r="B58" i="39"/>
  <c r="X57" i="39"/>
  <c r="Z57" i="39" s="1"/>
  <c r="L57" i="39"/>
  <c r="N57" i="39" s="1"/>
  <c r="B57" i="39"/>
  <c r="Z56" i="39"/>
  <c r="X56" i="39"/>
  <c r="N56" i="39"/>
  <c r="L56" i="39"/>
  <c r="J56" i="39"/>
  <c r="B56" i="39"/>
  <c r="X55" i="39"/>
  <c r="Z55" i="39" s="1"/>
  <c r="L55" i="39"/>
  <c r="N55" i="39" s="1"/>
  <c r="B55" i="39"/>
  <c r="Z54" i="39"/>
  <c r="X54" i="39"/>
  <c r="L54" i="39"/>
  <c r="N54" i="39" s="1"/>
  <c r="B54" i="39"/>
  <c r="Z53" i="39"/>
  <c r="X53" i="39"/>
  <c r="N53" i="39"/>
  <c r="L53" i="39"/>
  <c r="B53" i="39"/>
  <c r="Z52" i="39"/>
  <c r="X52" i="39"/>
  <c r="L52" i="39"/>
  <c r="N52" i="39" s="1"/>
  <c r="J52" i="39"/>
  <c r="B52" i="39"/>
  <c r="X51" i="39"/>
  <c r="Z51" i="39" s="1"/>
  <c r="L51" i="39"/>
  <c r="N51" i="39" s="1"/>
  <c r="B51" i="39"/>
  <c r="T50" i="39"/>
  <c r="P50" i="39"/>
  <c r="X50" i="39" s="1"/>
  <c r="Z50" i="39" s="1"/>
  <c r="H50" i="39"/>
  <c r="N50" i="39" s="1"/>
  <c r="D50" i="39"/>
  <c r="L50" i="39" s="1"/>
  <c r="B50" i="39"/>
  <c r="X49" i="39"/>
  <c r="Z49" i="39" s="1"/>
  <c r="N49" i="39"/>
  <c r="L49" i="39"/>
  <c r="B49" i="39"/>
  <c r="X48" i="39"/>
  <c r="Z48" i="39" s="1"/>
  <c r="N48" i="39"/>
  <c r="L48" i="39"/>
  <c r="B48" i="39"/>
  <c r="X47" i="39"/>
  <c r="Z47" i="39" s="1"/>
  <c r="L47" i="39"/>
  <c r="N47" i="39" s="1"/>
  <c r="B47" i="39"/>
  <c r="Z46" i="39"/>
  <c r="X46" i="39"/>
  <c r="N46" i="39"/>
  <c r="L46" i="39"/>
  <c r="B46" i="39"/>
  <c r="Z45" i="39"/>
  <c r="X45" i="39"/>
  <c r="N45" i="39"/>
  <c r="L45" i="39"/>
  <c r="B45" i="39"/>
  <c r="X44" i="39"/>
  <c r="Z44" i="39" s="1"/>
  <c r="L44" i="39"/>
  <c r="N44" i="39" s="1"/>
  <c r="B44" i="39"/>
  <c r="Z43" i="39"/>
  <c r="X43" i="39"/>
  <c r="L43" i="39"/>
  <c r="N43" i="39" s="1"/>
  <c r="B43" i="39"/>
  <c r="X42" i="39"/>
  <c r="Z42" i="39" s="1"/>
  <c r="L42" i="39"/>
  <c r="N42" i="39" s="1"/>
  <c r="B42" i="39"/>
  <c r="X41" i="39"/>
  <c r="Z41" i="39" s="1"/>
  <c r="L41" i="39"/>
  <c r="N41" i="39" s="1"/>
  <c r="B41" i="39"/>
  <c r="X40" i="39"/>
  <c r="Z40" i="39" s="1"/>
  <c r="L40" i="39"/>
  <c r="N40" i="39" s="1"/>
  <c r="B40" i="39"/>
  <c r="T39" i="39"/>
  <c r="P39" i="39"/>
  <c r="X39" i="39" s="1"/>
  <c r="H39" i="39"/>
  <c r="N39" i="39" s="1"/>
  <c r="D39" i="39"/>
  <c r="L39" i="39" s="1"/>
  <c r="B39" i="39"/>
  <c r="T38" i="39"/>
  <c r="P38" i="39"/>
  <c r="X38" i="39" s="1"/>
  <c r="H38" i="39"/>
  <c r="D38" i="39"/>
  <c r="L38" i="39" s="1"/>
  <c r="H36" i="39"/>
  <c r="H142" i="39" s="1"/>
  <c r="Z34" i="39"/>
  <c r="X34" i="39"/>
  <c r="N34" i="39"/>
  <c r="L34" i="39"/>
  <c r="B34" i="39"/>
  <c r="Z33" i="39"/>
  <c r="X33" i="39"/>
  <c r="N33" i="39"/>
  <c r="L33" i="39"/>
  <c r="J33" i="39"/>
  <c r="B33" i="39"/>
  <c r="X32" i="39"/>
  <c r="Z32" i="39" s="1"/>
  <c r="L32" i="39"/>
  <c r="N32" i="39" s="1"/>
  <c r="B32" i="39"/>
  <c r="X31" i="39"/>
  <c r="Z31" i="39" s="1"/>
  <c r="T31" i="39"/>
  <c r="P31" i="39"/>
  <c r="N31" i="39"/>
  <c r="L31" i="39"/>
  <c r="H31" i="39"/>
  <c r="D31" i="39"/>
  <c r="Z29" i="39"/>
  <c r="X29" i="39"/>
  <c r="P29" i="39"/>
  <c r="N29" i="39"/>
  <c r="D29" i="39"/>
  <c r="L29" i="39" s="1"/>
  <c r="B29" i="39"/>
  <c r="Z28" i="39"/>
  <c r="X28" i="39"/>
  <c r="P28" i="39"/>
  <c r="N28" i="39"/>
  <c r="D28" i="39"/>
  <c r="L28" i="39" s="1"/>
  <c r="B28" i="39"/>
  <c r="Z27" i="39"/>
  <c r="X27" i="39"/>
  <c r="P27" i="39"/>
  <c r="N27" i="39"/>
  <c r="L27" i="39"/>
  <c r="D27" i="39"/>
  <c r="B27" i="39"/>
  <c r="Z26" i="39"/>
  <c r="X26" i="39"/>
  <c r="P26" i="39"/>
  <c r="N26" i="39"/>
  <c r="L26" i="39"/>
  <c r="D26" i="39"/>
  <c r="B26" i="39"/>
  <c r="Z25" i="39"/>
  <c r="P25" i="39"/>
  <c r="X25" i="39" s="1"/>
  <c r="N25" i="39"/>
  <c r="L25" i="39"/>
  <c r="D25" i="39"/>
  <c r="B25" i="39"/>
  <c r="Z24" i="39"/>
  <c r="P24" i="39"/>
  <c r="X24" i="39" s="1"/>
  <c r="N24" i="39"/>
  <c r="L24" i="39"/>
  <c r="D24" i="39"/>
  <c r="B24" i="39"/>
  <c r="Z23" i="39"/>
  <c r="P23" i="39"/>
  <c r="X23" i="39" s="1"/>
  <c r="N23" i="39"/>
  <c r="L23" i="39"/>
  <c r="D23" i="39"/>
  <c r="B23" i="39"/>
  <c r="Z22" i="39"/>
  <c r="X22" i="39"/>
  <c r="P22" i="39"/>
  <c r="N22" i="39"/>
  <c r="D22" i="39"/>
  <c r="L22" i="39" s="1"/>
  <c r="B22" i="39"/>
  <c r="P21" i="39"/>
  <c r="X21" i="39" s="1"/>
  <c r="Z21" i="39" s="1"/>
  <c r="D21" i="39"/>
  <c r="D12" i="39" s="1"/>
  <c r="B21" i="39"/>
  <c r="Z20" i="39"/>
  <c r="P20" i="39"/>
  <c r="X20" i="39" s="1"/>
  <c r="N20" i="39"/>
  <c r="D20" i="39"/>
  <c r="L20" i="39" s="1"/>
  <c r="B20" i="39"/>
  <c r="Z19" i="39"/>
  <c r="P19" i="39"/>
  <c r="X19" i="39" s="1"/>
  <c r="N19" i="39"/>
  <c r="L19" i="39"/>
  <c r="D19" i="39"/>
  <c r="B19" i="39"/>
  <c r="Z18" i="39"/>
  <c r="X18" i="39"/>
  <c r="P18" i="39"/>
  <c r="N18" i="39"/>
  <c r="D18" i="39"/>
  <c r="L18" i="39" s="1"/>
  <c r="B18" i="39"/>
  <c r="Z17" i="39"/>
  <c r="X17" i="39"/>
  <c r="P17" i="39"/>
  <c r="N17" i="39"/>
  <c r="D17" i="39"/>
  <c r="L17" i="39" s="1"/>
  <c r="B17" i="39"/>
  <c r="Z16" i="39"/>
  <c r="X16" i="39"/>
  <c r="P16" i="39"/>
  <c r="N16" i="39"/>
  <c r="D16" i="39"/>
  <c r="L16" i="39" s="1"/>
  <c r="B16" i="39"/>
  <c r="Z15" i="39"/>
  <c r="X15" i="39"/>
  <c r="P15" i="39"/>
  <c r="N15" i="39"/>
  <c r="L15" i="39"/>
  <c r="D15" i="39"/>
  <c r="B15" i="39"/>
  <c r="Z14" i="39"/>
  <c r="P14" i="39"/>
  <c r="X14" i="39" s="1"/>
  <c r="N14" i="39"/>
  <c r="L14" i="39"/>
  <c r="D14" i="39"/>
  <c r="B14" i="39"/>
  <c r="P13" i="39"/>
  <c r="P12" i="39" s="1"/>
  <c r="L13" i="39"/>
  <c r="N13" i="39" s="1"/>
  <c r="D13" i="39"/>
  <c r="B13" i="39"/>
  <c r="T12" i="39"/>
  <c r="H12" i="39"/>
  <c r="J126" i="39" s="1"/>
  <c r="D4" i="39"/>
  <c r="X138" i="36"/>
  <c r="Z138" i="36" s="1"/>
  <c r="L138" i="36"/>
  <c r="N138" i="36" s="1"/>
  <c r="Z134" i="36"/>
  <c r="P134" i="36"/>
  <c r="X134" i="36" s="1"/>
  <c r="N134" i="36"/>
  <c r="D134" i="36"/>
  <c r="L134" i="36" s="1"/>
  <c r="B134" i="36"/>
  <c r="Z133" i="36"/>
  <c r="X133" i="36"/>
  <c r="P133" i="36"/>
  <c r="N133" i="36"/>
  <c r="L133" i="36"/>
  <c r="D133" i="36"/>
  <c r="B133" i="36"/>
  <c r="Z132" i="36"/>
  <c r="X132" i="36"/>
  <c r="P132" i="36"/>
  <c r="D132" i="36"/>
  <c r="L132" i="36" s="1"/>
  <c r="N132" i="36" s="1"/>
  <c r="B132" i="36"/>
  <c r="X131" i="36"/>
  <c r="Z131" i="36" s="1"/>
  <c r="P131" i="36"/>
  <c r="L131" i="36"/>
  <c r="N131" i="36" s="1"/>
  <c r="D131" i="36"/>
  <c r="B131" i="36"/>
  <c r="Z130" i="36"/>
  <c r="X130" i="36"/>
  <c r="T130" i="36"/>
  <c r="P130" i="36"/>
  <c r="H130" i="36"/>
  <c r="D130" i="36"/>
  <c r="L130" i="36" s="1"/>
  <c r="X128" i="36"/>
  <c r="Z128" i="36" s="1"/>
  <c r="N128" i="36"/>
  <c r="L128" i="36"/>
  <c r="B128" i="36"/>
  <c r="T127" i="36"/>
  <c r="P127" i="36"/>
  <c r="X127" i="36" s="1"/>
  <c r="H127" i="36"/>
  <c r="D127" i="36"/>
  <c r="L127" i="36" s="1"/>
  <c r="N127" i="36" s="1"/>
  <c r="B127" i="36"/>
  <c r="X126" i="36"/>
  <c r="Z126" i="36" s="1"/>
  <c r="L126" i="36"/>
  <c r="N126" i="36" s="1"/>
  <c r="B126" i="36"/>
  <c r="Z125" i="36"/>
  <c r="X125" i="36"/>
  <c r="N125" i="36"/>
  <c r="L125" i="36"/>
  <c r="B125" i="36"/>
  <c r="Z124" i="36"/>
  <c r="X124" i="36"/>
  <c r="N124" i="36"/>
  <c r="L124" i="36"/>
  <c r="B124" i="36"/>
  <c r="T123" i="36"/>
  <c r="P123" i="36"/>
  <c r="X123" i="36" s="1"/>
  <c r="H123" i="36"/>
  <c r="D123" i="36"/>
  <c r="L123" i="36" s="1"/>
  <c r="B123" i="36"/>
  <c r="X122" i="36"/>
  <c r="Z122" i="36" s="1"/>
  <c r="N122" i="36"/>
  <c r="L122" i="36"/>
  <c r="B122" i="36"/>
  <c r="Z121" i="36"/>
  <c r="X121" i="36"/>
  <c r="T121" i="36"/>
  <c r="P121" i="36"/>
  <c r="L121" i="36"/>
  <c r="H121" i="36"/>
  <c r="N121" i="36" s="1"/>
  <c r="D121" i="36"/>
  <c r="B121" i="36"/>
  <c r="Z120" i="36"/>
  <c r="X120" i="36"/>
  <c r="N120" i="36"/>
  <c r="L120" i="36"/>
  <c r="B120" i="36"/>
  <c r="X119" i="36"/>
  <c r="Z119" i="36" s="1"/>
  <c r="L119" i="36"/>
  <c r="N119" i="36" s="1"/>
  <c r="B119" i="36"/>
  <c r="T118" i="36"/>
  <c r="P118" i="36"/>
  <c r="X118" i="36" s="1"/>
  <c r="Z118" i="36" s="1"/>
  <c r="H118" i="36"/>
  <c r="D118" i="36"/>
  <c r="L118" i="36" s="1"/>
  <c r="N118" i="36" s="1"/>
  <c r="B118" i="36"/>
  <c r="X117" i="36"/>
  <c r="Z117" i="36" s="1"/>
  <c r="N117" i="36"/>
  <c r="L117" i="36"/>
  <c r="B117" i="36"/>
  <c r="X116" i="36"/>
  <c r="Z116" i="36" s="1"/>
  <c r="L116" i="36"/>
  <c r="N116" i="36" s="1"/>
  <c r="B116" i="36"/>
  <c r="X115" i="36"/>
  <c r="Z115" i="36" s="1"/>
  <c r="N115" i="36"/>
  <c r="L115" i="36"/>
  <c r="B115" i="36"/>
  <c r="X114" i="36"/>
  <c r="Z114" i="36" s="1"/>
  <c r="L114" i="36"/>
  <c r="N114" i="36" s="1"/>
  <c r="B114" i="36"/>
  <c r="X113" i="36"/>
  <c r="Z113" i="36" s="1"/>
  <c r="N113" i="36"/>
  <c r="L113" i="36"/>
  <c r="B113" i="36"/>
  <c r="X112" i="36"/>
  <c r="Z112" i="36" s="1"/>
  <c r="L112" i="36"/>
  <c r="N112" i="36" s="1"/>
  <c r="B112" i="36"/>
  <c r="X111" i="36"/>
  <c r="Z111" i="36" s="1"/>
  <c r="L111" i="36"/>
  <c r="N111" i="36" s="1"/>
  <c r="B111" i="36"/>
  <c r="X110" i="36"/>
  <c r="Z110" i="36" s="1"/>
  <c r="L110" i="36"/>
  <c r="N110" i="36" s="1"/>
  <c r="B110" i="36"/>
  <c r="X109" i="36"/>
  <c r="Z109" i="36" s="1"/>
  <c r="N109" i="36"/>
  <c r="L109" i="36"/>
  <c r="B109" i="36"/>
  <c r="X108" i="36"/>
  <c r="Z108" i="36" s="1"/>
  <c r="L108" i="36"/>
  <c r="N108" i="36" s="1"/>
  <c r="B108" i="36"/>
  <c r="T107" i="36"/>
  <c r="P107" i="36"/>
  <c r="X107" i="36" s="1"/>
  <c r="H107" i="36"/>
  <c r="D107" i="36"/>
  <c r="L107" i="36" s="1"/>
  <c r="B107" i="36"/>
  <c r="X106" i="36"/>
  <c r="Z106" i="36" s="1"/>
  <c r="N106" i="36"/>
  <c r="L106" i="36"/>
  <c r="B106" i="36"/>
  <c r="Z105" i="36"/>
  <c r="X105" i="36"/>
  <c r="T105" i="36"/>
  <c r="P105" i="36"/>
  <c r="L105" i="36"/>
  <c r="H105" i="36"/>
  <c r="N105" i="36" s="1"/>
  <c r="D105" i="36"/>
  <c r="B105" i="36"/>
  <c r="Z104" i="36"/>
  <c r="X104" i="36"/>
  <c r="L104" i="36"/>
  <c r="N104" i="36" s="1"/>
  <c r="B104" i="36"/>
  <c r="X103" i="36"/>
  <c r="Z103" i="36" s="1"/>
  <c r="N103" i="36"/>
  <c r="L103" i="36"/>
  <c r="B103" i="36"/>
  <c r="Z102" i="36"/>
  <c r="X102" i="36"/>
  <c r="L102" i="36"/>
  <c r="N102" i="36" s="1"/>
  <c r="B102" i="36"/>
  <c r="Z101" i="36"/>
  <c r="X101" i="36"/>
  <c r="L101" i="36"/>
  <c r="N101" i="36" s="1"/>
  <c r="B101" i="36"/>
  <c r="Z100" i="36"/>
  <c r="X100" i="36"/>
  <c r="N100" i="36"/>
  <c r="L100" i="36"/>
  <c r="B100" i="36"/>
  <c r="T99" i="36"/>
  <c r="P99" i="36"/>
  <c r="X99" i="36" s="1"/>
  <c r="H99" i="36"/>
  <c r="D99" i="36"/>
  <c r="L99" i="36" s="1"/>
  <c r="B99" i="36"/>
  <c r="X98" i="36"/>
  <c r="Z98" i="36" s="1"/>
  <c r="V98" i="36"/>
  <c r="N98" i="36"/>
  <c r="L98" i="36"/>
  <c r="B98" i="36"/>
  <c r="X97" i="36"/>
  <c r="Z97" i="36" s="1"/>
  <c r="N97" i="36"/>
  <c r="L97" i="36"/>
  <c r="B97" i="36"/>
  <c r="Z96" i="36"/>
  <c r="X96" i="36"/>
  <c r="N96" i="36"/>
  <c r="L96" i="36"/>
  <c r="B96" i="36"/>
  <c r="T95" i="36"/>
  <c r="Z95" i="36" s="1"/>
  <c r="P95" i="36"/>
  <c r="X95" i="36" s="1"/>
  <c r="H95" i="36"/>
  <c r="D95" i="36"/>
  <c r="L95" i="36" s="1"/>
  <c r="N95" i="36" s="1"/>
  <c r="B95" i="36"/>
  <c r="X94" i="36"/>
  <c r="Z94" i="36" s="1"/>
  <c r="N94" i="36"/>
  <c r="L94" i="36"/>
  <c r="B94" i="36"/>
  <c r="Z93" i="36"/>
  <c r="X93" i="36"/>
  <c r="N93" i="36"/>
  <c r="L93" i="36"/>
  <c r="B93" i="36"/>
  <c r="X92" i="36"/>
  <c r="Z92" i="36" s="1"/>
  <c r="N92" i="36"/>
  <c r="L92" i="36"/>
  <c r="B92" i="36"/>
  <c r="X91" i="36"/>
  <c r="Z91" i="36" s="1"/>
  <c r="N91" i="36"/>
  <c r="L91" i="36"/>
  <c r="B91" i="36"/>
  <c r="X90" i="36"/>
  <c r="T90" i="36"/>
  <c r="P90" i="36"/>
  <c r="L90" i="36"/>
  <c r="N90" i="36" s="1"/>
  <c r="H90" i="36"/>
  <c r="D90" i="36"/>
  <c r="B90" i="36"/>
  <c r="X89" i="36"/>
  <c r="Z89" i="36" s="1"/>
  <c r="L89" i="36"/>
  <c r="N89" i="36" s="1"/>
  <c r="J89" i="36"/>
  <c r="B89" i="36"/>
  <c r="T88" i="36"/>
  <c r="P88" i="36"/>
  <c r="H88" i="36"/>
  <c r="D88" i="36"/>
  <c r="B88" i="36"/>
  <c r="X87" i="36"/>
  <c r="Z87" i="36" s="1"/>
  <c r="L87" i="36"/>
  <c r="N87" i="36" s="1"/>
  <c r="B87" i="36"/>
  <c r="X86" i="36"/>
  <c r="Z86" i="36" s="1"/>
  <c r="T86" i="36"/>
  <c r="P86" i="36"/>
  <c r="H86" i="36"/>
  <c r="D86" i="36"/>
  <c r="L86" i="36" s="1"/>
  <c r="N86" i="36" s="1"/>
  <c r="B86" i="36"/>
  <c r="Z85" i="36"/>
  <c r="X85" i="36"/>
  <c r="N85" i="36"/>
  <c r="L85" i="36"/>
  <c r="B85" i="36"/>
  <c r="X84" i="36"/>
  <c r="T84" i="36"/>
  <c r="Z84" i="36" s="1"/>
  <c r="P84" i="36"/>
  <c r="N84" i="36"/>
  <c r="L84" i="36"/>
  <c r="H84" i="36"/>
  <c r="D84" i="36"/>
  <c r="B84" i="36"/>
  <c r="Z83" i="36"/>
  <c r="X83" i="36"/>
  <c r="L83" i="36"/>
  <c r="N83" i="36" s="1"/>
  <c r="B83" i="36"/>
  <c r="T82" i="36"/>
  <c r="P82" i="36"/>
  <c r="H82" i="36"/>
  <c r="N82" i="36" s="1"/>
  <c r="D82" i="36"/>
  <c r="L82" i="36" s="1"/>
  <c r="B82" i="36"/>
  <c r="X81" i="36"/>
  <c r="Z81" i="36" s="1"/>
  <c r="V81" i="36"/>
  <c r="N81" i="36"/>
  <c r="L81" i="36"/>
  <c r="B81" i="36"/>
  <c r="T80" i="36"/>
  <c r="P80" i="36"/>
  <c r="X80" i="36" s="1"/>
  <c r="Z80" i="36" s="1"/>
  <c r="H80" i="36"/>
  <c r="D80" i="36"/>
  <c r="L80" i="36" s="1"/>
  <c r="N80" i="36" s="1"/>
  <c r="B80" i="36"/>
  <c r="Z79" i="36"/>
  <c r="X79" i="36"/>
  <c r="N79" i="36"/>
  <c r="L79" i="36"/>
  <c r="B79" i="36"/>
  <c r="X78" i="36"/>
  <c r="Z78" i="36" s="1"/>
  <c r="N78" i="36"/>
  <c r="L78" i="36"/>
  <c r="B78" i="36"/>
  <c r="T77" i="36"/>
  <c r="P77" i="36"/>
  <c r="X77" i="36" s="1"/>
  <c r="Z77" i="36" s="1"/>
  <c r="H77" i="36"/>
  <c r="D77" i="36"/>
  <c r="L77" i="36" s="1"/>
  <c r="N77" i="36" s="1"/>
  <c r="B77" i="36"/>
  <c r="X76" i="36"/>
  <c r="Z76" i="36" s="1"/>
  <c r="N76" i="36"/>
  <c r="L76" i="36"/>
  <c r="B76" i="36"/>
  <c r="Z75" i="36"/>
  <c r="X75" i="36"/>
  <c r="T75" i="36"/>
  <c r="P75" i="36"/>
  <c r="L75" i="36"/>
  <c r="N75" i="36" s="1"/>
  <c r="H75" i="36"/>
  <c r="D75" i="36"/>
  <c r="B75" i="36"/>
  <c r="X74" i="36"/>
  <c r="Z74" i="36" s="1"/>
  <c r="L74" i="36"/>
  <c r="N74" i="36" s="1"/>
  <c r="B74" i="36"/>
  <c r="V73" i="36"/>
  <c r="T73" i="36"/>
  <c r="P73" i="36"/>
  <c r="H73" i="36"/>
  <c r="D73" i="36"/>
  <c r="L73" i="36" s="1"/>
  <c r="B73" i="36"/>
  <c r="X72" i="36"/>
  <c r="Z72" i="36" s="1"/>
  <c r="L72" i="36"/>
  <c r="N72" i="36" s="1"/>
  <c r="B72" i="36"/>
  <c r="T71" i="36"/>
  <c r="Z71" i="36" s="1"/>
  <c r="P71" i="36"/>
  <c r="X71" i="36" s="1"/>
  <c r="H71" i="36"/>
  <c r="D71" i="36"/>
  <c r="L71" i="36" s="1"/>
  <c r="N71" i="36" s="1"/>
  <c r="B71" i="36"/>
  <c r="Z70" i="36"/>
  <c r="X70" i="36"/>
  <c r="N70" i="36"/>
  <c r="L70" i="36"/>
  <c r="B70" i="36"/>
  <c r="X69" i="36"/>
  <c r="Z69" i="36" s="1"/>
  <c r="L69" i="36"/>
  <c r="N69" i="36" s="1"/>
  <c r="J69" i="36"/>
  <c r="B69" i="36"/>
  <c r="T68" i="36"/>
  <c r="P68" i="36"/>
  <c r="X68" i="36" s="1"/>
  <c r="H68" i="36"/>
  <c r="D68" i="36"/>
  <c r="L68" i="36" s="1"/>
  <c r="B68" i="36"/>
  <c r="X67" i="36"/>
  <c r="Z67" i="36" s="1"/>
  <c r="L67" i="36"/>
  <c r="N67" i="36" s="1"/>
  <c r="B67" i="36"/>
  <c r="X66" i="36"/>
  <c r="Z66" i="36" s="1"/>
  <c r="L66" i="36"/>
  <c r="N66" i="36" s="1"/>
  <c r="B66" i="36"/>
  <c r="X65" i="36"/>
  <c r="Z65" i="36" s="1"/>
  <c r="V65" i="36"/>
  <c r="N65" i="36"/>
  <c r="L65" i="36"/>
  <c r="B65" i="36"/>
  <c r="Z64" i="36"/>
  <c r="X64" i="36"/>
  <c r="L64" i="36"/>
  <c r="N64" i="36" s="1"/>
  <c r="B64" i="36"/>
  <c r="T63" i="36"/>
  <c r="Z63" i="36" s="1"/>
  <c r="P63" i="36"/>
  <c r="X63" i="36" s="1"/>
  <c r="J63" i="36"/>
  <c r="H63" i="36"/>
  <c r="D63" i="36"/>
  <c r="B63" i="36"/>
  <c r="X62" i="36"/>
  <c r="Z62" i="36" s="1"/>
  <c r="N62" i="36"/>
  <c r="L62" i="36"/>
  <c r="B62" i="36"/>
  <c r="T61" i="36"/>
  <c r="P61" i="36"/>
  <c r="X61" i="36" s="1"/>
  <c r="Z61" i="36" s="1"/>
  <c r="H61" i="36"/>
  <c r="N61" i="36" s="1"/>
  <c r="D61" i="36"/>
  <c r="L61" i="36" s="1"/>
  <c r="B61" i="36"/>
  <c r="X60" i="36"/>
  <c r="Z60" i="36" s="1"/>
  <c r="N60" i="36"/>
  <c r="L60" i="36"/>
  <c r="B60" i="36"/>
  <c r="Z59" i="36"/>
  <c r="X59" i="36"/>
  <c r="L59" i="36"/>
  <c r="N59" i="36" s="1"/>
  <c r="B59" i="36"/>
  <c r="T58" i="36"/>
  <c r="P58" i="36"/>
  <c r="H58" i="36"/>
  <c r="D58" i="36"/>
  <c r="L58" i="36" s="1"/>
  <c r="B58" i="36"/>
  <c r="X57" i="36"/>
  <c r="Z57" i="36" s="1"/>
  <c r="V57" i="36"/>
  <c r="N57" i="36"/>
  <c r="L57" i="36"/>
  <c r="B57" i="36"/>
  <c r="T56" i="36"/>
  <c r="P56" i="36"/>
  <c r="X56" i="36" s="1"/>
  <c r="Z56" i="36" s="1"/>
  <c r="H56" i="36"/>
  <c r="D56" i="36"/>
  <c r="L56" i="36" s="1"/>
  <c r="N56" i="36" s="1"/>
  <c r="B56" i="36"/>
  <c r="Z55" i="36"/>
  <c r="X55" i="36"/>
  <c r="N55" i="36"/>
  <c r="L55" i="36"/>
  <c r="B55" i="36"/>
  <c r="Z54" i="36"/>
  <c r="X54" i="36"/>
  <c r="N54" i="36"/>
  <c r="L54" i="36"/>
  <c r="B54" i="36"/>
  <c r="Z53" i="36"/>
  <c r="X53" i="36"/>
  <c r="L53" i="36"/>
  <c r="N53" i="36" s="1"/>
  <c r="B53" i="36"/>
  <c r="X52" i="36"/>
  <c r="Z52" i="36" s="1"/>
  <c r="L52" i="36"/>
  <c r="N52" i="36" s="1"/>
  <c r="B52" i="36"/>
  <c r="Z51" i="36"/>
  <c r="X51" i="36"/>
  <c r="N51" i="36"/>
  <c r="L51" i="36"/>
  <c r="B51" i="36"/>
  <c r="X50" i="36"/>
  <c r="Z50" i="36" s="1"/>
  <c r="N50" i="36"/>
  <c r="L50" i="36"/>
  <c r="B50" i="36"/>
  <c r="Z49" i="36"/>
  <c r="X49" i="36"/>
  <c r="L49" i="36"/>
  <c r="N49" i="36" s="1"/>
  <c r="B49" i="36"/>
  <c r="Z48" i="36"/>
  <c r="X48" i="36"/>
  <c r="N48" i="36"/>
  <c r="L48" i="36"/>
  <c r="B48" i="36"/>
  <c r="Z47" i="36"/>
  <c r="X47" i="36"/>
  <c r="N47" i="36"/>
  <c r="L47" i="36"/>
  <c r="B47" i="36"/>
  <c r="X46" i="36"/>
  <c r="Z46" i="36" s="1"/>
  <c r="N46" i="36"/>
  <c r="L46" i="36"/>
  <c r="B46" i="36"/>
  <c r="T45" i="36"/>
  <c r="P45" i="36"/>
  <c r="X45" i="36" s="1"/>
  <c r="Z45" i="36" s="1"/>
  <c r="H45" i="36"/>
  <c r="D45" i="36"/>
  <c r="L45" i="36" s="1"/>
  <c r="N45" i="36" s="1"/>
  <c r="B45" i="36"/>
  <c r="X44" i="36"/>
  <c r="Z44" i="36" s="1"/>
  <c r="N44" i="36"/>
  <c r="L44" i="36"/>
  <c r="B44" i="36"/>
  <c r="Z43" i="36"/>
  <c r="X43" i="36"/>
  <c r="N43" i="36"/>
  <c r="L43" i="36"/>
  <c r="B43" i="36"/>
  <c r="Z42" i="36"/>
  <c r="X42" i="36"/>
  <c r="N42" i="36"/>
  <c r="L42" i="36"/>
  <c r="B42" i="36"/>
  <c r="Z41" i="36"/>
  <c r="X41" i="36"/>
  <c r="N41" i="36"/>
  <c r="L41" i="36"/>
  <c r="J41" i="36"/>
  <c r="B41" i="36"/>
  <c r="X40" i="36"/>
  <c r="Z40" i="36" s="1"/>
  <c r="N40" i="36"/>
  <c r="L40" i="36"/>
  <c r="B40" i="36"/>
  <c r="Z39" i="36"/>
  <c r="X39" i="36"/>
  <c r="N39" i="36"/>
  <c r="L39" i="36"/>
  <c r="B39" i="36"/>
  <c r="Z38" i="36"/>
  <c r="X38" i="36"/>
  <c r="N38" i="36"/>
  <c r="L38" i="36"/>
  <c r="B38" i="36"/>
  <c r="X37" i="36"/>
  <c r="Z37" i="36" s="1"/>
  <c r="L37" i="36"/>
  <c r="N37" i="36" s="1"/>
  <c r="J37" i="36"/>
  <c r="B37" i="36"/>
  <c r="X36" i="36"/>
  <c r="Z36" i="36" s="1"/>
  <c r="N36" i="36"/>
  <c r="L36" i="36"/>
  <c r="B36" i="36"/>
  <c r="Z35" i="36"/>
  <c r="X35" i="36"/>
  <c r="N35" i="36"/>
  <c r="L35" i="36"/>
  <c r="B35" i="36"/>
  <c r="T34" i="36"/>
  <c r="P34" i="36"/>
  <c r="X34" i="36" s="1"/>
  <c r="H34" i="36"/>
  <c r="D34" i="36"/>
  <c r="L34" i="36" s="1"/>
  <c r="B34" i="36"/>
  <c r="V33" i="36"/>
  <c r="T33" i="36"/>
  <c r="P33" i="36"/>
  <c r="X33" i="36" s="1"/>
  <c r="H33" i="36"/>
  <c r="D33" i="36"/>
  <c r="L33" i="36" s="1"/>
  <c r="V31" i="36"/>
  <c r="T31" i="36"/>
  <c r="T136" i="36" s="1"/>
  <c r="Z29" i="36"/>
  <c r="X29" i="36"/>
  <c r="V29" i="36"/>
  <c r="N29" i="36"/>
  <c r="L29" i="36"/>
  <c r="B29" i="36"/>
  <c r="Z28" i="36"/>
  <c r="X28" i="36"/>
  <c r="V28" i="36"/>
  <c r="N28" i="36"/>
  <c r="L28" i="36"/>
  <c r="B28" i="36"/>
  <c r="Z27" i="36"/>
  <c r="X27" i="36"/>
  <c r="L27" i="36"/>
  <c r="N27" i="36" s="1"/>
  <c r="B27" i="36"/>
  <c r="T26" i="36"/>
  <c r="P26" i="36"/>
  <c r="X26" i="36" s="1"/>
  <c r="Z26" i="36" s="1"/>
  <c r="H26" i="36"/>
  <c r="D26" i="36"/>
  <c r="L26" i="36" s="1"/>
  <c r="N26" i="36" s="1"/>
  <c r="Z24" i="36"/>
  <c r="P24" i="36"/>
  <c r="X24" i="36" s="1"/>
  <c r="N24" i="36"/>
  <c r="D24" i="36"/>
  <c r="L24" i="36" s="1"/>
  <c r="B24" i="36"/>
  <c r="Z23" i="36"/>
  <c r="X23" i="36"/>
  <c r="P23" i="36"/>
  <c r="N23" i="36"/>
  <c r="L23" i="36"/>
  <c r="D23" i="36"/>
  <c r="B23" i="36"/>
  <c r="Z22" i="36"/>
  <c r="X22" i="36"/>
  <c r="P22" i="36"/>
  <c r="N22" i="36"/>
  <c r="L22" i="36"/>
  <c r="D22" i="36"/>
  <c r="B22" i="36"/>
  <c r="Z21" i="36"/>
  <c r="P21" i="36"/>
  <c r="X21" i="36" s="1"/>
  <c r="N21" i="36"/>
  <c r="D21" i="36"/>
  <c r="L21" i="36" s="1"/>
  <c r="B21" i="36"/>
  <c r="Z20" i="36"/>
  <c r="P20" i="36"/>
  <c r="X20" i="36" s="1"/>
  <c r="N20" i="36"/>
  <c r="L20" i="36"/>
  <c r="D20" i="36"/>
  <c r="B20" i="36"/>
  <c r="Z19" i="36"/>
  <c r="X19" i="36"/>
  <c r="P19" i="36"/>
  <c r="N19" i="36"/>
  <c r="L19" i="36"/>
  <c r="D19" i="36"/>
  <c r="B19" i="36"/>
  <c r="Z18" i="36"/>
  <c r="P18" i="36"/>
  <c r="X18" i="36" s="1"/>
  <c r="N18" i="36"/>
  <c r="D18" i="36"/>
  <c r="L18" i="36" s="1"/>
  <c r="B18" i="36"/>
  <c r="Z17" i="36"/>
  <c r="X17" i="36"/>
  <c r="P17" i="36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P15" i="36"/>
  <c r="X15" i="36" s="1"/>
  <c r="N15" i="36"/>
  <c r="D15" i="36"/>
  <c r="L15" i="36" s="1"/>
  <c r="B15" i="36"/>
  <c r="Z14" i="36"/>
  <c r="X14" i="36"/>
  <c r="P14" i="36"/>
  <c r="N14" i="36"/>
  <c r="L14" i="36"/>
  <c r="D14" i="36"/>
  <c r="B14" i="36"/>
  <c r="X13" i="36"/>
  <c r="Z13" i="36" s="1"/>
  <c r="P13" i="36"/>
  <c r="P12" i="36" s="1"/>
  <c r="R38" i="36" s="1"/>
  <c r="D13" i="36"/>
  <c r="L13" i="36" s="1"/>
  <c r="N13" i="36" s="1"/>
  <c r="B13" i="36"/>
  <c r="T12" i="36"/>
  <c r="V85" i="36" s="1"/>
  <c r="H12" i="36"/>
  <c r="J85" i="36" s="1"/>
  <c r="D4" i="36"/>
  <c r="Z106" i="33"/>
  <c r="X106" i="33"/>
  <c r="N106" i="33"/>
  <c r="L106" i="33"/>
  <c r="Z102" i="33"/>
  <c r="P102" i="33"/>
  <c r="X102" i="33" s="1"/>
  <c r="N102" i="33"/>
  <c r="D102" i="33"/>
  <c r="L102" i="33" s="1"/>
  <c r="B102" i="33"/>
  <c r="P101" i="33"/>
  <c r="X101" i="33" s="1"/>
  <c r="Z101" i="33" s="1"/>
  <c r="N101" i="33"/>
  <c r="L101" i="33"/>
  <c r="D101" i="33"/>
  <c r="B101" i="33"/>
  <c r="X100" i="33"/>
  <c r="Z100" i="33" s="1"/>
  <c r="P100" i="33"/>
  <c r="L100" i="33"/>
  <c r="N100" i="33" s="1"/>
  <c r="D100" i="33"/>
  <c r="B100" i="33"/>
  <c r="P99" i="33"/>
  <c r="X99" i="33" s="1"/>
  <c r="Z99" i="33" s="1"/>
  <c r="N99" i="33"/>
  <c r="L99" i="33"/>
  <c r="J99" i="33"/>
  <c r="D99" i="33"/>
  <c r="B99" i="33"/>
  <c r="Z98" i="33"/>
  <c r="X98" i="33"/>
  <c r="P98" i="33"/>
  <c r="N98" i="33"/>
  <c r="D98" i="33"/>
  <c r="L98" i="33" s="1"/>
  <c r="B98" i="33"/>
  <c r="Z97" i="33"/>
  <c r="P97" i="33"/>
  <c r="X97" i="33" s="1"/>
  <c r="N97" i="33"/>
  <c r="D97" i="33"/>
  <c r="L97" i="33" s="1"/>
  <c r="B97" i="33"/>
  <c r="Z96" i="33"/>
  <c r="X96" i="33"/>
  <c r="P96" i="33"/>
  <c r="N96" i="33"/>
  <c r="D96" i="33"/>
  <c r="L96" i="33" s="1"/>
  <c r="B96" i="33"/>
  <c r="T95" i="33"/>
  <c r="H95" i="33"/>
  <c r="Z93" i="33"/>
  <c r="X93" i="33"/>
  <c r="N93" i="33"/>
  <c r="L93" i="33"/>
  <c r="B93" i="33"/>
  <c r="V92" i="33"/>
  <c r="T92" i="33"/>
  <c r="Z92" i="33" s="1"/>
  <c r="P92" i="33"/>
  <c r="X92" i="33" s="1"/>
  <c r="H92" i="33"/>
  <c r="N92" i="33" s="1"/>
  <c r="D92" i="33"/>
  <c r="L92" i="33" s="1"/>
  <c r="B92" i="33"/>
  <c r="Z91" i="33"/>
  <c r="X91" i="33"/>
  <c r="N91" i="33"/>
  <c r="L91" i="33"/>
  <c r="B91" i="33"/>
  <c r="X90" i="33"/>
  <c r="Z90" i="33" s="1"/>
  <c r="N90" i="33"/>
  <c r="L90" i="33"/>
  <c r="B90" i="33"/>
  <c r="T89" i="33"/>
  <c r="P89" i="33"/>
  <c r="X89" i="33" s="1"/>
  <c r="Z89" i="33" s="1"/>
  <c r="L89" i="33"/>
  <c r="H89" i="33"/>
  <c r="N89" i="33" s="1"/>
  <c r="D89" i="33"/>
  <c r="B89" i="33"/>
  <c r="X88" i="33"/>
  <c r="Z88" i="33" s="1"/>
  <c r="N88" i="33"/>
  <c r="L88" i="33"/>
  <c r="J88" i="33"/>
  <c r="B88" i="33"/>
  <c r="Z87" i="33"/>
  <c r="X87" i="33"/>
  <c r="N87" i="33"/>
  <c r="L87" i="33"/>
  <c r="B87" i="33"/>
  <c r="Z86" i="33"/>
  <c r="X86" i="33"/>
  <c r="N86" i="33"/>
  <c r="L86" i="33"/>
  <c r="B86" i="33"/>
  <c r="Z85" i="33"/>
  <c r="X85" i="33"/>
  <c r="N85" i="33"/>
  <c r="L85" i="33"/>
  <c r="B85" i="33"/>
  <c r="Z84" i="33"/>
  <c r="X84" i="33"/>
  <c r="N84" i="33"/>
  <c r="L84" i="33"/>
  <c r="J84" i="33"/>
  <c r="B84" i="33"/>
  <c r="X83" i="33"/>
  <c r="Z83" i="33" s="1"/>
  <c r="T83" i="33"/>
  <c r="P83" i="33"/>
  <c r="H83" i="33"/>
  <c r="D83" i="33"/>
  <c r="L83" i="33" s="1"/>
  <c r="B83" i="33"/>
  <c r="Z82" i="33"/>
  <c r="X82" i="33"/>
  <c r="N82" i="33"/>
  <c r="L82" i="33"/>
  <c r="B82" i="33"/>
  <c r="Z81" i="33"/>
  <c r="X81" i="33"/>
  <c r="N81" i="33"/>
  <c r="L81" i="33"/>
  <c r="B81" i="33"/>
  <c r="V80" i="33"/>
  <c r="T80" i="33"/>
  <c r="P80" i="33"/>
  <c r="X80" i="33" s="1"/>
  <c r="H80" i="33"/>
  <c r="D80" i="33"/>
  <c r="L80" i="33" s="1"/>
  <c r="B80" i="33"/>
  <c r="X79" i="33"/>
  <c r="Z79" i="33" s="1"/>
  <c r="L79" i="33"/>
  <c r="N79" i="33" s="1"/>
  <c r="B79" i="33"/>
  <c r="X78" i="33"/>
  <c r="T78" i="33"/>
  <c r="Z78" i="33" s="1"/>
  <c r="P78" i="33"/>
  <c r="H78" i="33"/>
  <c r="D78" i="33"/>
  <c r="L78" i="33" s="1"/>
  <c r="N78" i="33" s="1"/>
  <c r="B78" i="33"/>
  <c r="Z77" i="33"/>
  <c r="X77" i="33"/>
  <c r="N77" i="33"/>
  <c r="L77" i="33"/>
  <c r="B77" i="33"/>
  <c r="X76" i="33"/>
  <c r="T76" i="33"/>
  <c r="Z76" i="33" s="1"/>
  <c r="P76" i="33"/>
  <c r="N76" i="33"/>
  <c r="L76" i="33"/>
  <c r="H76" i="33"/>
  <c r="D76" i="33"/>
  <c r="B76" i="33"/>
  <c r="Z75" i="33"/>
  <c r="X75" i="33"/>
  <c r="L75" i="33"/>
  <c r="N75" i="33" s="1"/>
  <c r="B75" i="33"/>
  <c r="T74" i="33"/>
  <c r="P74" i="33"/>
  <c r="X74" i="33" s="1"/>
  <c r="J74" i="33"/>
  <c r="H74" i="33"/>
  <c r="D74" i="33"/>
  <c r="L74" i="33" s="1"/>
  <c r="B74" i="33"/>
  <c r="Z73" i="33"/>
  <c r="X73" i="33"/>
  <c r="N73" i="33"/>
  <c r="L73" i="33"/>
  <c r="B73" i="33"/>
  <c r="X72" i="33"/>
  <c r="Z72" i="33" s="1"/>
  <c r="L72" i="33"/>
  <c r="N72" i="33" s="1"/>
  <c r="B72" i="33"/>
  <c r="X71" i="33"/>
  <c r="T71" i="33"/>
  <c r="Z71" i="33" s="1"/>
  <c r="P71" i="33"/>
  <c r="J71" i="33"/>
  <c r="H71" i="33"/>
  <c r="D71" i="33"/>
  <c r="L71" i="33" s="1"/>
  <c r="N71" i="33" s="1"/>
  <c r="B71" i="33"/>
  <c r="Z70" i="33"/>
  <c r="X70" i="33"/>
  <c r="L70" i="33"/>
  <c r="N70" i="33" s="1"/>
  <c r="B70" i="33"/>
  <c r="T69" i="33"/>
  <c r="P69" i="33"/>
  <c r="H69" i="33"/>
  <c r="D69" i="33"/>
  <c r="L69" i="33" s="1"/>
  <c r="N69" i="33" s="1"/>
  <c r="B69" i="33"/>
  <c r="X68" i="33"/>
  <c r="Z68" i="33" s="1"/>
  <c r="V68" i="33"/>
  <c r="L68" i="33"/>
  <c r="N68" i="33" s="1"/>
  <c r="B68" i="33"/>
  <c r="T67" i="33"/>
  <c r="P67" i="33"/>
  <c r="X67" i="33" s="1"/>
  <c r="Z67" i="33" s="1"/>
  <c r="H67" i="33"/>
  <c r="D67" i="33"/>
  <c r="L67" i="33" s="1"/>
  <c r="N67" i="33" s="1"/>
  <c r="B67" i="33"/>
  <c r="X66" i="33"/>
  <c r="Z66" i="33" s="1"/>
  <c r="N66" i="33"/>
  <c r="L66" i="33"/>
  <c r="B66" i="33"/>
  <c r="T65" i="33"/>
  <c r="Z65" i="33" s="1"/>
  <c r="P65" i="33"/>
  <c r="X65" i="33" s="1"/>
  <c r="L65" i="33"/>
  <c r="N65" i="33" s="1"/>
  <c r="H65" i="33"/>
  <c r="D65" i="33"/>
  <c r="B65" i="33"/>
  <c r="Z64" i="33"/>
  <c r="X64" i="33"/>
  <c r="N64" i="33"/>
  <c r="L64" i="33"/>
  <c r="J64" i="33"/>
  <c r="B64" i="33"/>
  <c r="T63" i="33"/>
  <c r="Z63" i="33" s="1"/>
  <c r="P63" i="33"/>
  <c r="X63" i="33" s="1"/>
  <c r="H63" i="33"/>
  <c r="N63" i="33" s="1"/>
  <c r="D63" i="33"/>
  <c r="L63" i="33" s="1"/>
  <c r="B63" i="33"/>
  <c r="X62" i="33"/>
  <c r="Z62" i="33" s="1"/>
  <c r="L62" i="33"/>
  <c r="N62" i="33" s="1"/>
  <c r="B62" i="33"/>
  <c r="Z61" i="33"/>
  <c r="X61" i="33"/>
  <c r="T61" i="33"/>
  <c r="P61" i="33"/>
  <c r="H61" i="33"/>
  <c r="D61" i="33"/>
  <c r="L61" i="33" s="1"/>
  <c r="N61" i="33" s="1"/>
  <c r="B61" i="33"/>
  <c r="Z60" i="33"/>
  <c r="X60" i="33"/>
  <c r="N60" i="33"/>
  <c r="L60" i="33"/>
  <c r="B60" i="33"/>
  <c r="Z59" i="33"/>
  <c r="X59" i="33"/>
  <c r="N59" i="33"/>
  <c r="L59" i="33"/>
  <c r="B59" i="33"/>
  <c r="X58" i="33"/>
  <c r="Z58" i="33" s="1"/>
  <c r="N58" i="33"/>
  <c r="L58" i="33"/>
  <c r="B58" i="33"/>
  <c r="X57" i="33"/>
  <c r="Z57" i="33" s="1"/>
  <c r="V57" i="33"/>
  <c r="N57" i="33"/>
  <c r="L57" i="33"/>
  <c r="B57" i="33"/>
  <c r="Z56" i="33"/>
  <c r="X56" i="33"/>
  <c r="N56" i="33"/>
  <c r="L56" i="33"/>
  <c r="B56" i="33"/>
  <c r="Z55" i="33"/>
  <c r="X55" i="33"/>
  <c r="N55" i="33"/>
  <c r="L55" i="33"/>
  <c r="B55" i="33"/>
  <c r="X54" i="33"/>
  <c r="Z54" i="33" s="1"/>
  <c r="N54" i="33"/>
  <c r="L54" i="33"/>
  <c r="B54" i="33"/>
  <c r="Z53" i="33"/>
  <c r="X53" i="33"/>
  <c r="V53" i="33"/>
  <c r="N53" i="33"/>
  <c r="L53" i="33"/>
  <c r="B53" i="33"/>
  <c r="X52" i="33"/>
  <c r="Z52" i="33" s="1"/>
  <c r="L52" i="33"/>
  <c r="N52" i="33" s="1"/>
  <c r="B52" i="33"/>
  <c r="X51" i="33"/>
  <c r="Z51" i="33" s="1"/>
  <c r="L51" i="33"/>
  <c r="N51" i="33" s="1"/>
  <c r="B51" i="33"/>
  <c r="T50" i="33"/>
  <c r="P50" i="33"/>
  <c r="X50" i="33" s="1"/>
  <c r="H50" i="33"/>
  <c r="D50" i="33"/>
  <c r="L50" i="33" s="1"/>
  <c r="B50" i="33"/>
  <c r="Z49" i="33"/>
  <c r="X49" i="33"/>
  <c r="N49" i="33"/>
  <c r="L49" i="33"/>
  <c r="B49" i="33"/>
  <c r="X48" i="33"/>
  <c r="Z48" i="33" s="1"/>
  <c r="N48" i="33"/>
  <c r="L48" i="33"/>
  <c r="J48" i="33"/>
  <c r="B48" i="33"/>
  <c r="X47" i="33"/>
  <c r="Z47" i="33" s="1"/>
  <c r="N47" i="33"/>
  <c r="L47" i="33"/>
  <c r="B47" i="33"/>
  <c r="Z46" i="33"/>
  <c r="X46" i="33"/>
  <c r="N46" i="33"/>
  <c r="L46" i="33"/>
  <c r="B46" i="33"/>
  <c r="Z45" i="33"/>
  <c r="X45" i="33"/>
  <c r="N45" i="33"/>
  <c r="L45" i="33"/>
  <c r="B45" i="33"/>
  <c r="X44" i="33"/>
  <c r="Z44" i="33" s="1"/>
  <c r="N44" i="33"/>
  <c r="L44" i="33"/>
  <c r="J44" i="33"/>
  <c r="B44" i="33"/>
  <c r="X43" i="33"/>
  <c r="Z43" i="33" s="1"/>
  <c r="N43" i="33"/>
  <c r="L43" i="33"/>
  <c r="B43" i="33"/>
  <c r="Z42" i="33"/>
  <c r="X42" i="33"/>
  <c r="N42" i="33"/>
  <c r="L42" i="33"/>
  <c r="B42" i="33"/>
  <c r="Z41" i="33"/>
  <c r="X41" i="33"/>
  <c r="N41" i="33"/>
  <c r="L41" i="33"/>
  <c r="B41" i="33"/>
  <c r="X40" i="33"/>
  <c r="T40" i="33"/>
  <c r="Z40" i="33" s="1"/>
  <c r="P40" i="33"/>
  <c r="N40" i="33"/>
  <c r="L40" i="33"/>
  <c r="H40" i="33"/>
  <c r="D40" i="33"/>
  <c r="B40" i="33"/>
  <c r="T39" i="33"/>
  <c r="P39" i="33"/>
  <c r="X39" i="33" s="1"/>
  <c r="Z39" i="33" s="1"/>
  <c r="H39" i="33"/>
  <c r="D39" i="33"/>
  <c r="L39" i="33" s="1"/>
  <c r="N39" i="33" s="1"/>
  <c r="Z35" i="33"/>
  <c r="X35" i="33"/>
  <c r="N35" i="33"/>
  <c r="L35" i="33"/>
  <c r="B35" i="33"/>
  <c r="Z34" i="33"/>
  <c r="X34" i="33"/>
  <c r="N34" i="33"/>
  <c r="L34" i="33"/>
  <c r="J34" i="33"/>
  <c r="B34" i="33"/>
  <c r="Z33" i="33"/>
  <c r="X33" i="33"/>
  <c r="N33" i="33"/>
  <c r="L33" i="33"/>
  <c r="J33" i="33"/>
  <c r="B33" i="33"/>
  <c r="Z32" i="33"/>
  <c r="X32" i="33"/>
  <c r="V32" i="33"/>
  <c r="N32" i="33"/>
  <c r="L32" i="33"/>
  <c r="B32" i="33"/>
  <c r="Z31" i="33"/>
  <c r="X31" i="33"/>
  <c r="N31" i="33"/>
  <c r="L31" i="33"/>
  <c r="J31" i="33"/>
  <c r="B31" i="33"/>
  <c r="T30" i="33"/>
  <c r="Z30" i="33" s="1"/>
  <c r="P30" i="33"/>
  <c r="X30" i="33" s="1"/>
  <c r="J30" i="33"/>
  <c r="H30" i="33"/>
  <c r="N30" i="33" s="1"/>
  <c r="D30" i="33"/>
  <c r="L30" i="33" s="1"/>
  <c r="Z28" i="33"/>
  <c r="P28" i="33"/>
  <c r="X28" i="33" s="1"/>
  <c r="N28" i="33"/>
  <c r="D28" i="33"/>
  <c r="L28" i="33" s="1"/>
  <c r="B28" i="33"/>
  <c r="Z27" i="33"/>
  <c r="X27" i="33"/>
  <c r="P27" i="33"/>
  <c r="N27" i="33"/>
  <c r="D27" i="33"/>
  <c r="L27" i="33" s="1"/>
  <c r="B27" i="33"/>
  <c r="Z26" i="33"/>
  <c r="X26" i="33"/>
  <c r="P26" i="33"/>
  <c r="N26" i="33"/>
  <c r="L26" i="33"/>
  <c r="D26" i="33"/>
  <c r="B26" i="33"/>
  <c r="Z25" i="33"/>
  <c r="P25" i="33"/>
  <c r="X25" i="33" s="1"/>
  <c r="N25" i="33"/>
  <c r="D25" i="33"/>
  <c r="L25" i="33" s="1"/>
  <c r="B25" i="33"/>
  <c r="Z24" i="33"/>
  <c r="P24" i="33"/>
  <c r="X24" i="33" s="1"/>
  <c r="N24" i="33"/>
  <c r="L24" i="33"/>
  <c r="D24" i="33"/>
  <c r="B24" i="33"/>
  <c r="Z23" i="33"/>
  <c r="X23" i="33"/>
  <c r="P23" i="33"/>
  <c r="N23" i="33"/>
  <c r="L23" i="33"/>
  <c r="D23" i="33"/>
  <c r="B23" i="33"/>
  <c r="Z22" i="33"/>
  <c r="P22" i="33"/>
  <c r="X22" i="33" s="1"/>
  <c r="N22" i="33"/>
  <c r="D22" i="33"/>
  <c r="L22" i="33" s="1"/>
  <c r="B22" i="33"/>
  <c r="Z21" i="33"/>
  <c r="P21" i="33"/>
  <c r="X21" i="33" s="1"/>
  <c r="N21" i="33"/>
  <c r="D21" i="33"/>
  <c r="L21" i="33" s="1"/>
  <c r="B21" i="33"/>
  <c r="Z20" i="33"/>
  <c r="X20" i="33"/>
  <c r="P20" i="33"/>
  <c r="L20" i="33"/>
  <c r="N20" i="33" s="1"/>
  <c r="D20" i="33"/>
  <c r="B20" i="33"/>
  <c r="Z19" i="33"/>
  <c r="P19" i="33"/>
  <c r="X19" i="33" s="1"/>
  <c r="N19" i="33"/>
  <c r="D19" i="33"/>
  <c r="L19" i="33" s="1"/>
  <c r="B19" i="33"/>
  <c r="Z18" i="33"/>
  <c r="P18" i="33"/>
  <c r="X18" i="33" s="1"/>
  <c r="N18" i="33"/>
  <c r="D18" i="33"/>
  <c r="L18" i="33" s="1"/>
  <c r="B18" i="33"/>
  <c r="Z17" i="33"/>
  <c r="X17" i="33"/>
  <c r="P17" i="33"/>
  <c r="N17" i="33"/>
  <c r="L17" i="33"/>
  <c r="D17" i="33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D15" i="33"/>
  <c r="L15" i="33" s="1"/>
  <c r="B15" i="33"/>
  <c r="Z14" i="33"/>
  <c r="X14" i="33"/>
  <c r="P14" i="33"/>
  <c r="N14" i="33"/>
  <c r="L14" i="33"/>
  <c r="D14" i="33"/>
  <c r="B14" i="33"/>
  <c r="P13" i="33"/>
  <c r="X13" i="33" s="1"/>
  <c r="Z13" i="33" s="1"/>
  <c r="D13" i="33"/>
  <c r="B13" i="33"/>
  <c r="T12" i="33"/>
  <c r="V91" i="33" s="1"/>
  <c r="H12" i="33"/>
  <c r="J100" i="33" s="1"/>
  <c r="D4" i="33"/>
  <c r="Z155" i="30"/>
  <c r="X155" i="30"/>
  <c r="L155" i="30"/>
  <c r="N155" i="30" s="1"/>
  <c r="P151" i="30"/>
  <c r="X151" i="30" s="1"/>
  <c r="Z151" i="30" s="1"/>
  <c r="D151" i="30"/>
  <c r="B151" i="30"/>
  <c r="P150" i="30"/>
  <c r="X150" i="30" s="1"/>
  <c r="Z150" i="30" s="1"/>
  <c r="N150" i="30"/>
  <c r="L150" i="30"/>
  <c r="D150" i="30"/>
  <c r="B150" i="30"/>
  <c r="Z149" i="30"/>
  <c r="X149" i="30"/>
  <c r="P149" i="30"/>
  <c r="L149" i="30"/>
  <c r="N149" i="30" s="1"/>
  <c r="D149" i="30"/>
  <c r="B149" i="30"/>
  <c r="T148" i="30"/>
  <c r="H148" i="30"/>
  <c r="Z146" i="30"/>
  <c r="X146" i="30"/>
  <c r="L146" i="30"/>
  <c r="N146" i="30" s="1"/>
  <c r="B146" i="30"/>
  <c r="T145" i="30"/>
  <c r="P145" i="30"/>
  <c r="X145" i="30" s="1"/>
  <c r="H145" i="30"/>
  <c r="N145" i="30" s="1"/>
  <c r="D145" i="30"/>
  <c r="L145" i="30" s="1"/>
  <c r="B145" i="30"/>
  <c r="X144" i="30"/>
  <c r="Z144" i="30" s="1"/>
  <c r="L144" i="30"/>
  <c r="N144" i="30" s="1"/>
  <c r="B144" i="30"/>
  <c r="Z143" i="30"/>
  <c r="X143" i="30"/>
  <c r="N143" i="30"/>
  <c r="L143" i="30"/>
  <c r="B143" i="30"/>
  <c r="T142" i="30"/>
  <c r="P142" i="30"/>
  <c r="H142" i="30"/>
  <c r="N142" i="30" s="1"/>
  <c r="D142" i="30"/>
  <c r="L142" i="30" s="1"/>
  <c r="B142" i="30"/>
  <c r="X141" i="30"/>
  <c r="Z141" i="30" s="1"/>
  <c r="N141" i="30"/>
  <c r="L141" i="30"/>
  <c r="B141" i="30"/>
  <c r="T140" i="30"/>
  <c r="Z140" i="30" s="1"/>
  <c r="P140" i="30"/>
  <c r="X140" i="30" s="1"/>
  <c r="N140" i="30"/>
  <c r="H140" i="30"/>
  <c r="D140" i="30"/>
  <c r="L140" i="30" s="1"/>
  <c r="B140" i="30"/>
  <c r="X139" i="30"/>
  <c r="Z139" i="30" s="1"/>
  <c r="N139" i="30"/>
  <c r="L139" i="30"/>
  <c r="B139" i="30"/>
  <c r="Z138" i="30"/>
  <c r="X138" i="30"/>
  <c r="N138" i="30"/>
  <c r="L138" i="30"/>
  <c r="B138" i="30"/>
  <c r="T137" i="30"/>
  <c r="P137" i="30"/>
  <c r="L137" i="30"/>
  <c r="H137" i="30"/>
  <c r="N137" i="30" s="1"/>
  <c r="D137" i="30"/>
  <c r="B137" i="30"/>
  <c r="Z136" i="30"/>
  <c r="X136" i="30"/>
  <c r="N136" i="30"/>
  <c r="L136" i="30"/>
  <c r="B136" i="30"/>
  <c r="Z135" i="30"/>
  <c r="X135" i="30"/>
  <c r="L135" i="30"/>
  <c r="N135" i="30" s="1"/>
  <c r="B135" i="30"/>
  <c r="Z134" i="30"/>
  <c r="X134" i="30"/>
  <c r="N134" i="30"/>
  <c r="L134" i="30"/>
  <c r="B134" i="30"/>
  <c r="X133" i="30"/>
  <c r="Z133" i="30" s="1"/>
  <c r="L133" i="30"/>
  <c r="N133" i="30" s="1"/>
  <c r="B133" i="30"/>
  <c r="X132" i="30"/>
  <c r="Z132" i="30" s="1"/>
  <c r="L132" i="30"/>
  <c r="N132" i="30" s="1"/>
  <c r="B132" i="30"/>
  <c r="Z131" i="30"/>
  <c r="T131" i="30"/>
  <c r="P131" i="30"/>
  <c r="X131" i="30" s="1"/>
  <c r="H131" i="30"/>
  <c r="N131" i="30" s="1"/>
  <c r="D131" i="30"/>
  <c r="L131" i="30" s="1"/>
  <c r="B131" i="30"/>
  <c r="X130" i="30"/>
  <c r="Z130" i="30" s="1"/>
  <c r="N130" i="30"/>
  <c r="L130" i="30"/>
  <c r="B130" i="30"/>
  <c r="X129" i="30"/>
  <c r="Z129" i="30" s="1"/>
  <c r="N129" i="30"/>
  <c r="L129" i="30"/>
  <c r="B129" i="30"/>
  <c r="T128" i="30"/>
  <c r="P128" i="30"/>
  <c r="X128" i="30" s="1"/>
  <c r="H128" i="30"/>
  <c r="D128" i="30"/>
  <c r="L128" i="30" s="1"/>
  <c r="B128" i="30"/>
  <c r="X127" i="30"/>
  <c r="Z127" i="30" s="1"/>
  <c r="N127" i="30"/>
  <c r="L127" i="30"/>
  <c r="B127" i="30"/>
  <c r="Z126" i="30"/>
  <c r="X126" i="30"/>
  <c r="N126" i="30"/>
  <c r="L126" i="30"/>
  <c r="B126" i="30"/>
  <c r="Z125" i="30"/>
  <c r="X125" i="30"/>
  <c r="N125" i="30"/>
  <c r="L125" i="30"/>
  <c r="B125" i="30"/>
  <c r="X124" i="30"/>
  <c r="Z124" i="30" s="1"/>
  <c r="T124" i="30"/>
  <c r="P124" i="30"/>
  <c r="N124" i="30"/>
  <c r="H124" i="30"/>
  <c r="D124" i="30"/>
  <c r="L124" i="30" s="1"/>
  <c r="B124" i="30"/>
  <c r="Z123" i="30"/>
  <c r="X123" i="30"/>
  <c r="L123" i="30"/>
  <c r="N123" i="30" s="1"/>
  <c r="B123" i="30"/>
  <c r="X122" i="30"/>
  <c r="Z122" i="30" s="1"/>
  <c r="L122" i="30"/>
  <c r="N122" i="30" s="1"/>
  <c r="B122" i="30"/>
  <c r="X121" i="30"/>
  <c r="Z121" i="30" s="1"/>
  <c r="L121" i="30"/>
  <c r="N121" i="30" s="1"/>
  <c r="B121" i="30"/>
  <c r="T120" i="30"/>
  <c r="Z120" i="30" s="1"/>
  <c r="P120" i="30"/>
  <c r="X120" i="30" s="1"/>
  <c r="H120" i="30"/>
  <c r="D120" i="30"/>
  <c r="B120" i="30"/>
  <c r="X119" i="30"/>
  <c r="Z119" i="30" s="1"/>
  <c r="N119" i="30"/>
  <c r="L119" i="30"/>
  <c r="B119" i="30"/>
  <c r="X118" i="30"/>
  <c r="Z118" i="30" s="1"/>
  <c r="N118" i="30"/>
  <c r="L118" i="30"/>
  <c r="B118" i="30"/>
  <c r="X117" i="30"/>
  <c r="Z117" i="30" s="1"/>
  <c r="T117" i="30"/>
  <c r="P117" i="30"/>
  <c r="L117" i="30"/>
  <c r="H117" i="30"/>
  <c r="D117" i="30"/>
  <c r="B117" i="30"/>
  <c r="X116" i="30"/>
  <c r="Z116" i="30" s="1"/>
  <c r="N116" i="30"/>
  <c r="L116" i="30"/>
  <c r="B116" i="30"/>
  <c r="X115" i="30"/>
  <c r="T115" i="30"/>
  <c r="Z115" i="30" s="1"/>
  <c r="P115" i="30"/>
  <c r="H115" i="30"/>
  <c r="D115" i="30"/>
  <c r="L115" i="30" s="1"/>
  <c r="B115" i="30"/>
  <c r="X114" i="30"/>
  <c r="Z114" i="30" s="1"/>
  <c r="L114" i="30"/>
  <c r="N114" i="30" s="1"/>
  <c r="B114" i="30"/>
  <c r="T113" i="30"/>
  <c r="P113" i="30"/>
  <c r="H113" i="30"/>
  <c r="D113" i="30"/>
  <c r="L113" i="30" s="1"/>
  <c r="N113" i="30" s="1"/>
  <c r="B113" i="30"/>
  <c r="Z112" i="30"/>
  <c r="X112" i="30"/>
  <c r="L112" i="30"/>
  <c r="N112" i="30" s="1"/>
  <c r="B112" i="30"/>
  <c r="X111" i="30"/>
  <c r="T111" i="30"/>
  <c r="Z111" i="30" s="1"/>
  <c r="P111" i="30"/>
  <c r="H111" i="30"/>
  <c r="D111" i="30"/>
  <c r="L111" i="30" s="1"/>
  <c r="N111" i="30" s="1"/>
  <c r="B111" i="30"/>
  <c r="Z110" i="30"/>
  <c r="X110" i="30"/>
  <c r="L110" i="30"/>
  <c r="N110" i="30" s="1"/>
  <c r="B110" i="30"/>
  <c r="T109" i="30"/>
  <c r="P109" i="30"/>
  <c r="X109" i="30" s="1"/>
  <c r="L109" i="30"/>
  <c r="H109" i="30"/>
  <c r="N109" i="30" s="1"/>
  <c r="D109" i="30"/>
  <c r="B109" i="30"/>
  <c r="Z108" i="30"/>
  <c r="X108" i="30"/>
  <c r="N108" i="30"/>
  <c r="L108" i="30"/>
  <c r="B108" i="30"/>
  <c r="T107" i="30"/>
  <c r="P107" i="30"/>
  <c r="X107" i="30" s="1"/>
  <c r="Z107" i="30" s="1"/>
  <c r="H107" i="30"/>
  <c r="N107" i="30" s="1"/>
  <c r="D107" i="30"/>
  <c r="L107" i="30" s="1"/>
  <c r="B107" i="30"/>
  <c r="Z106" i="30"/>
  <c r="X106" i="30"/>
  <c r="N106" i="30"/>
  <c r="L106" i="30"/>
  <c r="B106" i="30"/>
  <c r="Z105" i="30"/>
  <c r="X105" i="30"/>
  <c r="L105" i="30"/>
  <c r="N105" i="30" s="1"/>
  <c r="B105" i="30"/>
  <c r="T104" i="30"/>
  <c r="Z104" i="30" s="1"/>
  <c r="P104" i="30"/>
  <c r="X104" i="30" s="1"/>
  <c r="H104" i="30"/>
  <c r="D104" i="30"/>
  <c r="L104" i="30" s="1"/>
  <c r="N104" i="30" s="1"/>
  <c r="B104" i="30"/>
  <c r="X103" i="30"/>
  <c r="Z103" i="30" s="1"/>
  <c r="N103" i="30"/>
  <c r="L103" i="30"/>
  <c r="B103" i="30"/>
  <c r="T102" i="30"/>
  <c r="P102" i="30"/>
  <c r="X102" i="30" s="1"/>
  <c r="Z102" i="30" s="1"/>
  <c r="L102" i="30"/>
  <c r="N102" i="30" s="1"/>
  <c r="H102" i="30"/>
  <c r="D102" i="30"/>
  <c r="B102" i="30"/>
  <c r="X101" i="30"/>
  <c r="Z101" i="30" s="1"/>
  <c r="N101" i="30"/>
  <c r="L101" i="30"/>
  <c r="B101" i="30"/>
  <c r="T100" i="30"/>
  <c r="P100" i="30"/>
  <c r="X100" i="30" s="1"/>
  <c r="H100" i="30"/>
  <c r="D100" i="30"/>
  <c r="B100" i="30"/>
  <c r="Z99" i="30"/>
  <c r="X99" i="30"/>
  <c r="N99" i="30"/>
  <c r="L99" i="30"/>
  <c r="B99" i="30"/>
  <c r="X98" i="30"/>
  <c r="Z98" i="30" s="1"/>
  <c r="N98" i="30"/>
  <c r="L98" i="30"/>
  <c r="B98" i="30"/>
  <c r="Z97" i="30"/>
  <c r="V97" i="30"/>
  <c r="T97" i="30"/>
  <c r="P97" i="30"/>
  <c r="X97" i="30" s="1"/>
  <c r="L97" i="30"/>
  <c r="H97" i="30"/>
  <c r="D97" i="30"/>
  <c r="B97" i="30"/>
  <c r="X96" i="30"/>
  <c r="Z96" i="30" s="1"/>
  <c r="N96" i="30"/>
  <c r="L96" i="30"/>
  <c r="B96" i="30"/>
  <c r="T95" i="30"/>
  <c r="P95" i="30"/>
  <c r="L95" i="30"/>
  <c r="N95" i="30" s="1"/>
  <c r="H95" i="30"/>
  <c r="D95" i="30"/>
  <c r="B95" i="30"/>
  <c r="X94" i="30"/>
  <c r="Z94" i="30" s="1"/>
  <c r="N94" i="30"/>
  <c r="L94" i="30"/>
  <c r="B94" i="30"/>
  <c r="Z93" i="30"/>
  <c r="X93" i="30"/>
  <c r="N93" i="30"/>
  <c r="L93" i="30"/>
  <c r="B93" i="30"/>
  <c r="T92" i="30"/>
  <c r="P92" i="30"/>
  <c r="X92" i="30" s="1"/>
  <c r="Z92" i="30" s="1"/>
  <c r="L92" i="30"/>
  <c r="N92" i="30" s="1"/>
  <c r="H92" i="30"/>
  <c r="D92" i="30"/>
  <c r="B92" i="30"/>
  <c r="X91" i="30"/>
  <c r="Z91" i="30" s="1"/>
  <c r="N91" i="30"/>
  <c r="L91" i="30"/>
  <c r="J91" i="30"/>
  <c r="B91" i="30"/>
  <c r="T90" i="30"/>
  <c r="X90" i="30" s="1"/>
  <c r="Z90" i="30" s="1"/>
  <c r="P90" i="30"/>
  <c r="H90" i="30"/>
  <c r="D90" i="30"/>
  <c r="B90" i="30"/>
  <c r="Z89" i="30"/>
  <c r="X89" i="30"/>
  <c r="N89" i="30"/>
  <c r="L89" i="30"/>
  <c r="B89" i="30"/>
  <c r="Z88" i="30"/>
  <c r="X88" i="30"/>
  <c r="N88" i="30"/>
  <c r="L88" i="30"/>
  <c r="B88" i="30"/>
  <c r="Z87" i="30"/>
  <c r="X87" i="30"/>
  <c r="V87" i="30"/>
  <c r="L87" i="30"/>
  <c r="N87" i="30" s="1"/>
  <c r="B87" i="30"/>
  <c r="Z86" i="30"/>
  <c r="X86" i="30"/>
  <c r="N86" i="30"/>
  <c r="L86" i="30"/>
  <c r="B86" i="30"/>
  <c r="Z85" i="30"/>
  <c r="X85" i="30"/>
  <c r="N85" i="30"/>
  <c r="L85" i="30"/>
  <c r="B85" i="30"/>
  <c r="Z84" i="30"/>
  <c r="X84" i="30"/>
  <c r="N84" i="30"/>
  <c r="L84" i="30"/>
  <c r="B84" i="30"/>
  <c r="Z83" i="30"/>
  <c r="X83" i="30"/>
  <c r="V83" i="30"/>
  <c r="L83" i="30"/>
  <c r="N83" i="30" s="1"/>
  <c r="B83" i="30"/>
  <c r="Z82" i="30"/>
  <c r="X82" i="30"/>
  <c r="N82" i="30"/>
  <c r="L82" i="30"/>
  <c r="B82" i="30"/>
  <c r="X81" i="30"/>
  <c r="Z81" i="30" s="1"/>
  <c r="L81" i="30"/>
  <c r="N81" i="30" s="1"/>
  <c r="B81" i="30"/>
  <c r="Z80" i="30"/>
  <c r="X80" i="30"/>
  <c r="N80" i="30"/>
  <c r="L80" i="30"/>
  <c r="B80" i="30"/>
  <c r="V79" i="30"/>
  <c r="T79" i="30"/>
  <c r="P79" i="30"/>
  <c r="X79" i="30" s="1"/>
  <c r="Z79" i="30" s="1"/>
  <c r="H79" i="30"/>
  <c r="D79" i="30"/>
  <c r="B79" i="30"/>
  <c r="Z78" i="30"/>
  <c r="X78" i="30"/>
  <c r="N78" i="30"/>
  <c r="L78" i="30"/>
  <c r="B78" i="30"/>
  <c r="X77" i="30"/>
  <c r="Z77" i="30" s="1"/>
  <c r="N77" i="30"/>
  <c r="L77" i="30"/>
  <c r="B77" i="30"/>
  <c r="X76" i="30"/>
  <c r="Z76" i="30" s="1"/>
  <c r="L76" i="30"/>
  <c r="N76" i="30" s="1"/>
  <c r="B76" i="30"/>
  <c r="Z75" i="30"/>
  <c r="X75" i="30"/>
  <c r="N75" i="30"/>
  <c r="L75" i="30"/>
  <c r="B75" i="30"/>
  <c r="X74" i="30"/>
  <c r="Z74" i="30" s="1"/>
  <c r="N74" i="30"/>
  <c r="L74" i="30"/>
  <c r="B74" i="30"/>
  <c r="X73" i="30"/>
  <c r="Z73" i="30" s="1"/>
  <c r="N73" i="30"/>
  <c r="L73" i="30"/>
  <c r="B73" i="30"/>
  <c r="X72" i="30"/>
  <c r="Z72" i="30" s="1"/>
  <c r="L72" i="30"/>
  <c r="N72" i="30" s="1"/>
  <c r="B72" i="30"/>
  <c r="X71" i="30"/>
  <c r="Z71" i="30" s="1"/>
  <c r="L71" i="30"/>
  <c r="N71" i="30" s="1"/>
  <c r="B71" i="30"/>
  <c r="X70" i="30"/>
  <c r="Z70" i="30" s="1"/>
  <c r="N70" i="30"/>
  <c r="L70" i="30"/>
  <c r="B70" i="30"/>
  <c r="X69" i="30"/>
  <c r="T69" i="30"/>
  <c r="Z69" i="30" s="1"/>
  <c r="P69" i="30"/>
  <c r="H69" i="30"/>
  <c r="D69" i="30"/>
  <c r="L69" i="30" s="1"/>
  <c r="B69" i="30"/>
  <c r="T68" i="30"/>
  <c r="P68" i="30"/>
  <c r="H68" i="30"/>
  <c r="N68" i="30" s="1"/>
  <c r="D68" i="30"/>
  <c r="L68" i="30" s="1"/>
  <c r="T66" i="30"/>
  <c r="Z64" i="30"/>
  <c r="X64" i="30"/>
  <c r="N64" i="30"/>
  <c r="L64" i="30"/>
  <c r="B64" i="30"/>
  <c r="Z63" i="30"/>
  <c r="X63" i="30"/>
  <c r="N63" i="30"/>
  <c r="L63" i="30"/>
  <c r="J63" i="30"/>
  <c r="B63" i="30"/>
  <c r="Z62" i="30"/>
  <c r="X62" i="30"/>
  <c r="N62" i="30"/>
  <c r="L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J55" i="30"/>
  <c r="B55" i="30"/>
  <c r="Z54" i="30"/>
  <c r="X54" i="30"/>
  <c r="N54" i="30"/>
  <c r="L54" i="30"/>
  <c r="B54" i="30"/>
  <c r="Z53" i="30"/>
  <c r="X53" i="30"/>
  <c r="N53" i="30"/>
  <c r="L53" i="30"/>
  <c r="B53" i="30"/>
  <c r="Z52" i="30"/>
  <c r="X52" i="30"/>
  <c r="N52" i="30"/>
  <c r="L52" i="30"/>
  <c r="B52" i="30"/>
  <c r="Z51" i="30"/>
  <c r="X51" i="30"/>
  <c r="N51" i="30"/>
  <c r="L51" i="30"/>
  <c r="J51" i="30"/>
  <c r="B51" i="30"/>
  <c r="Z50" i="30"/>
  <c r="X50" i="30"/>
  <c r="N50" i="30"/>
  <c r="L50" i="30"/>
  <c r="B50" i="30"/>
  <c r="Z49" i="30"/>
  <c r="X49" i="30"/>
  <c r="V49" i="30"/>
  <c r="N49" i="30"/>
  <c r="L49" i="30"/>
  <c r="B49" i="30"/>
  <c r="Z48" i="30"/>
  <c r="X48" i="30"/>
  <c r="N48" i="30"/>
  <c r="L48" i="30"/>
  <c r="B48" i="30"/>
  <c r="Z47" i="30"/>
  <c r="X47" i="30"/>
  <c r="V47" i="30"/>
  <c r="N47" i="30"/>
  <c r="L47" i="30"/>
  <c r="J47" i="30"/>
  <c r="B47" i="30"/>
  <c r="Z46" i="30"/>
  <c r="X46" i="30"/>
  <c r="N46" i="30"/>
  <c r="L46" i="30"/>
  <c r="B46" i="30"/>
  <c r="Z45" i="30"/>
  <c r="X45" i="30"/>
  <c r="V45" i="30"/>
  <c r="N45" i="30"/>
  <c r="L45" i="30"/>
  <c r="B45" i="30"/>
  <c r="Z44" i="30"/>
  <c r="X44" i="30"/>
  <c r="N44" i="30"/>
  <c r="L44" i="30"/>
  <c r="B44" i="30"/>
  <c r="X43" i="30"/>
  <c r="Z43" i="30" s="1"/>
  <c r="V43" i="30"/>
  <c r="L43" i="30"/>
  <c r="N43" i="30" s="1"/>
  <c r="J43" i="30"/>
  <c r="B43" i="30"/>
  <c r="T42" i="30"/>
  <c r="P42" i="30"/>
  <c r="X42" i="30" s="1"/>
  <c r="H42" i="30"/>
  <c r="D42" i="30"/>
  <c r="L42" i="30" s="1"/>
  <c r="Z40" i="30"/>
  <c r="P40" i="30"/>
  <c r="X40" i="30" s="1"/>
  <c r="N40" i="30"/>
  <c r="D40" i="30"/>
  <c r="L40" i="30" s="1"/>
  <c r="B40" i="30"/>
  <c r="Z39" i="30"/>
  <c r="P39" i="30"/>
  <c r="X39" i="30" s="1"/>
  <c r="N39" i="30"/>
  <c r="L39" i="30"/>
  <c r="D39" i="30"/>
  <c r="B39" i="30"/>
  <c r="Z38" i="30"/>
  <c r="P38" i="30"/>
  <c r="X38" i="30" s="1"/>
  <c r="N38" i="30"/>
  <c r="L38" i="30"/>
  <c r="D38" i="30"/>
  <c r="B38" i="30"/>
  <c r="Z37" i="30"/>
  <c r="P37" i="30"/>
  <c r="X37" i="30" s="1"/>
  <c r="N37" i="30"/>
  <c r="D37" i="30"/>
  <c r="L37" i="30" s="1"/>
  <c r="B37" i="30"/>
  <c r="Z36" i="30"/>
  <c r="X36" i="30"/>
  <c r="P36" i="30"/>
  <c r="N36" i="30"/>
  <c r="D36" i="30"/>
  <c r="L36" i="30" s="1"/>
  <c r="B36" i="30"/>
  <c r="Z35" i="30"/>
  <c r="X35" i="30"/>
  <c r="P35" i="30"/>
  <c r="N35" i="30"/>
  <c r="D35" i="30"/>
  <c r="L35" i="30" s="1"/>
  <c r="B35" i="30"/>
  <c r="Z34" i="30"/>
  <c r="P34" i="30"/>
  <c r="X34" i="30" s="1"/>
  <c r="N34" i="30"/>
  <c r="D34" i="30"/>
  <c r="L34" i="30" s="1"/>
  <c r="B34" i="30"/>
  <c r="Z33" i="30"/>
  <c r="P33" i="30"/>
  <c r="X33" i="30" s="1"/>
  <c r="N33" i="30"/>
  <c r="L33" i="30"/>
  <c r="D33" i="30"/>
  <c r="B33" i="30"/>
  <c r="Z32" i="30"/>
  <c r="X32" i="30"/>
  <c r="P32" i="30"/>
  <c r="N32" i="30"/>
  <c r="L32" i="30"/>
  <c r="D32" i="30"/>
  <c r="B32" i="30"/>
  <c r="Z31" i="30"/>
  <c r="P31" i="30"/>
  <c r="X31" i="30" s="1"/>
  <c r="N31" i="30"/>
  <c r="D31" i="30"/>
  <c r="L31" i="30" s="1"/>
  <c r="B31" i="30"/>
  <c r="Z30" i="30"/>
  <c r="X30" i="30"/>
  <c r="P30" i="30"/>
  <c r="N30" i="30"/>
  <c r="D30" i="30"/>
  <c r="L30" i="30" s="1"/>
  <c r="B30" i="30"/>
  <c r="Z29" i="30"/>
  <c r="P29" i="30"/>
  <c r="X29" i="30" s="1"/>
  <c r="N29" i="30"/>
  <c r="L29" i="30"/>
  <c r="D29" i="30"/>
  <c r="B29" i="30"/>
  <c r="Z28" i="30"/>
  <c r="P28" i="30"/>
  <c r="X28" i="30" s="1"/>
  <c r="N28" i="30"/>
  <c r="D28" i="30"/>
  <c r="L28" i="30" s="1"/>
  <c r="B28" i="30"/>
  <c r="Z27" i="30"/>
  <c r="P27" i="30"/>
  <c r="X27" i="30" s="1"/>
  <c r="N27" i="30"/>
  <c r="L27" i="30"/>
  <c r="D27" i="30"/>
  <c r="B27" i="30"/>
  <c r="Z26" i="30"/>
  <c r="P26" i="30"/>
  <c r="X26" i="30" s="1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X24" i="30"/>
  <c r="P24" i="30"/>
  <c r="N24" i="30"/>
  <c r="D24" i="30"/>
  <c r="B24" i="30"/>
  <c r="Z23" i="30"/>
  <c r="X23" i="30"/>
  <c r="P23" i="30"/>
  <c r="N23" i="30"/>
  <c r="D23" i="30"/>
  <c r="L23" i="30" s="1"/>
  <c r="B23" i="30"/>
  <c r="Z22" i="30"/>
  <c r="P22" i="30"/>
  <c r="X22" i="30" s="1"/>
  <c r="N22" i="30"/>
  <c r="D22" i="30"/>
  <c r="L22" i="30" s="1"/>
  <c r="B22" i="30"/>
  <c r="Z21" i="30"/>
  <c r="P21" i="30"/>
  <c r="X21" i="30" s="1"/>
  <c r="N21" i="30"/>
  <c r="L21" i="30"/>
  <c r="D21" i="30"/>
  <c r="B21" i="30"/>
  <c r="Z20" i="30"/>
  <c r="X20" i="30"/>
  <c r="P20" i="30"/>
  <c r="N20" i="30"/>
  <c r="L20" i="30"/>
  <c r="D20" i="30"/>
  <c r="B20" i="30"/>
  <c r="Z19" i="30"/>
  <c r="P19" i="30"/>
  <c r="X19" i="30" s="1"/>
  <c r="N19" i="30"/>
  <c r="D19" i="30"/>
  <c r="L19" i="30" s="1"/>
  <c r="B19" i="30"/>
  <c r="Z18" i="30"/>
  <c r="X18" i="30"/>
  <c r="P18" i="30"/>
  <c r="N18" i="30"/>
  <c r="D18" i="30"/>
  <c r="L18" i="30" s="1"/>
  <c r="B18" i="30"/>
  <c r="Z17" i="30"/>
  <c r="P17" i="30"/>
  <c r="X17" i="30" s="1"/>
  <c r="N17" i="30"/>
  <c r="L17" i="30"/>
  <c r="D17" i="30"/>
  <c r="B17" i="30"/>
  <c r="Z16" i="30"/>
  <c r="P16" i="30"/>
  <c r="X16" i="30" s="1"/>
  <c r="N16" i="30"/>
  <c r="D16" i="30"/>
  <c r="L16" i="30" s="1"/>
  <c r="B16" i="30"/>
  <c r="Z15" i="30"/>
  <c r="P15" i="30"/>
  <c r="X15" i="30" s="1"/>
  <c r="N15" i="30"/>
  <c r="L15" i="30"/>
  <c r="D15" i="30"/>
  <c r="B15" i="30"/>
  <c r="Z14" i="30"/>
  <c r="P14" i="30"/>
  <c r="X14" i="30" s="1"/>
  <c r="N14" i="30"/>
  <c r="D14" i="30"/>
  <c r="L14" i="30" s="1"/>
  <c r="B14" i="30"/>
  <c r="P13" i="30"/>
  <c r="X13" i="30" s="1"/>
  <c r="Z13" i="30" s="1"/>
  <c r="D13" i="30"/>
  <c r="L13" i="30" s="1"/>
  <c r="N13" i="30" s="1"/>
  <c r="B13" i="30"/>
  <c r="T12" i="30"/>
  <c r="V93" i="30" s="1"/>
  <c r="H12" i="30"/>
  <c r="J121" i="30" s="1"/>
  <c r="D4" i="30"/>
  <c r="X124" i="27"/>
  <c r="Z124" i="27" s="1"/>
  <c r="L124" i="27"/>
  <c r="N124" i="27" s="1"/>
  <c r="J124" i="27"/>
  <c r="P120" i="27"/>
  <c r="X120" i="27" s="1"/>
  <c r="Z120" i="27" s="1"/>
  <c r="N120" i="27"/>
  <c r="L120" i="27"/>
  <c r="D120" i="27"/>
  <c r="B120" i="27"/>
  <c r="Z119" i="27"/>
  <c r="X119" i="27"/>
  <c r="P119" i="27"/>
  <c r="N119" i="27"/>
  <c r="L119" i="27"/>
  <c r="D119" i="27"/>
  <c r="B119" i="27"/>
  <c r="Z118" i="27"/>
  <c r="X118" i="27"/>
  <c r="P118" i="27"/>
  <c r="N118" i="27"/>
  <c r="L118" i="27"/>
  <c r="D118" i="27"/>
  <c r="B118" i="27"/>
  <c r="Z117" i="27"/>
  <c r="X117" i="27"/>
  <c r="P117" i="27"/>
  <c r="N117" i="27"/>
  <c r="L117" i="27"/>
  <c r="D117" i="27"/>
  <c r="B117" i="27"/>
  <c r="X116" i="27"/>
  <c r="Z116" i="27" s="1"/>
  <c r="V116" i="27"/>
  <c r="T116" i="27"/>
  <c r="P116" i="27"/>
  <c r="H116" i="27"/>
  <c r="N116" i="27" s="1"/>
  <c r="D116" i="27"/>
  <c r="L116" i="27" s="1"/>
  <c r="X114" i="27"/>
  <c r="Z114" i="27" s="1"/>
  <c r="V114" i="27"/>
  <c r="N114" i="27"/>
  <c r="L114" i="27"/>
  <c r="B114" i="27"/>
  <c r="Z113" i="27"/>
  <c r="X113" i="27"/>
  <c r="N113" i="27"/>
  <c r="L113" i="27"/>
  <c r="B113" i="27"/>
  <c r="T112" i="27"/>
  <c r="Z112" i="27" s="1"/>
  <c r="P112" i="27"/>
  <c r="X112" i="27" s="1"/>
  <c r="J112" i="27"/>
  <c r="H112" i="27"/>
  <c r="N112" i="27" s="1"/>
  <c r="D112" i="27"/>
  <c r="L112" i="27" s="1"/>
  <c r="B112" i="27"/>
  <c r="X111" i="27"/>
  <c r="Z111" i="27" s="1"/>
  <c r="N111" i="27"/>
  <c r="L111" i="27"/>
  <c r="B111" i="27"/>
  <c r="T110" i="27"/>
  <c r="P110" i="27"/>
  <c r="X110" i="27" s="1"/>
  <c r="L110" i="27"/>
  <c r="H110" i="27"/>
  <c r="N110" i="27" s="1"/>
  <c r="D110" i="27"/>
  <c r="B110" i="27"/>
  <c r="Z109" i="27"/>
  <c r="X109" i="27"/>
  <c r="N109" i="27"/>
  <c r="L109" i="27"/>
  <c r="B109" i="27"/>
  <c r="Z108" i="27"/>
  <c r="X108" i="27"/>
  <c r="N108" i="27"/>
  <c r="L108" i="27"/>
  <c r="B108" i="27"/>
  <c r="T107" i="27"/>
  <c r="P107" i="27"/>
  <c r="X107" i="27" s="1"/>
  <c r="H107" i="27"/>
  <c r="D107" i="27"/>
  <c r="L107" i="27" s="1"/>
  <c r="N107" i="27" s="1"/>
  <c r="B107" i="27"/>
  <c r="X106" i="27"/>
  <c r="Z106" i="27" s="1"/>
  <c r="V106" i="27"/>
  <c r="L106" i="27"/>
  <c r="N106" i="27" s="1"/>
  <c r="B106" i="27"/>
  <c r="Z105" i="27"/>
  <c r="X105" i="27"/>
  <c r="L105" i="27"/>
  <c r="N105" i="27" s="1"/>
  <c r="B105" i="27"/>
  <c r="Z104" i="27"/>
  <c r="X104" i="27"/>
  <c r="L104" i="27"/>
  <c r="N104" i="27" s="1"/>
  <c r="B104" i="27"/>
  <c r="T103" i="27"/>
  <c r="P103" i="27"/>
  <c r="X103" i="27" s="1"/>
  <c r="H103" i="27"/>
  <c r="D103" i="27"/>
  <c r="L103" i="27" s="1"/>
  <c r="N103" i="27" s="1"/>
  <c r="B103" i="27"/>
  <c r="X102" i="27"/>
  <c r="Z102" i="27" s="1"/>
  <c r="L102" i="27"/>
  <c r="N102" i="27" s="1"/>
  <c r="B102" i="27"/>
  <c r="X101" i="27"/>
  <c r="T101" i="27"/>
  <c r="P101" i="27"/>
  <c r="L101" i="27"/>
  <c r="H101" i="27"/>
  <c r="N101" i="27" s="1"/>
  <c r="D101" i="27"/>
  <c r="B101" i="27"/>
  <c r="Z100" i="27"/>
  <c r="X100" i="27"/>
  <c r="N100" i="27"/>
  <c r="L100" i="27"/>
  <c r="B100" i="27"/>
  <c r="Z99" i="27"/>
  <c r="X99" i="27"/>
  <c r="N99" i="27"/>
  <c r="L99" i="27"/>
  <c r="B99" i="27"/>
  <c r="X98" i="27"/>
  <c r="T98" i="27"/>
  <c r="Z98" i="27" s="1"/>
  <c r="P98" i="27"/>
  <c r="N98" i="27"/>
  <c r="H98" i="27"/>
  <c r="L98" i="27" s="1"/>
  <c r="D98" i="27"/>
  <c r="B98" i="27"/>
  <c r="Z97" i="27"/>
  <c r="X97" i="27"/>
  <c r="L97" i="27"/>
  <c r="N97" i="27" s="1"/>
  <c r="B97" i="27"/>
  <c r="T96" i="27"/>
  <c r="Z96" i="27" s="1"/>
  <c r="P96" i="27"/>
  <c r="X96" i="27" s="1"/>
  <c r="J96" i="27"/>
  <c r="H96" i="27"/>
  <c r="D96" i="27"/>
  <c r="L96" i="27" s="1"/>
  <c r="B96" i="27"/>
  <c r="Z95" i="27"/>
  <c r="X95" i="27"/>
  <c r="N95" i="27"/>
  <c r="L95" i="27"/>
  <c r="B95" i="27"/>
  <c r="T94" i="27"/>
  <c r="Z94" i="27" s="1"/>
  <c r="P94" i="27"/>
  <c r="X94" i="27" s="1"/>
  <c r="H94" i="27"/>
  <c r="N94" i="27" s="1"/>
  <c r="D94" i="27"/>
  <c r="L94" i="27" s="1"/>
  <c r="B94" i="27"/>
  <c r="Z93" i="27"/>
  <c r="X93" i="27"/>
  <c r="N93" i="27"/>
  <c r="L93" i="27"/>
  <c r="B93" i="27"/>
  <c r="Z92" i="27"/>
  <c r="X92" i="27"/>
  <c r="L92" i="27"/>
  <c r="N92" i="27" s="1"/>
  <c r="B92" i="27"/>
  <c r="T91" i="27"/>
  <c r="P91" i="27"/>
  <c r="X91" i="27" s="1"/>
  <c r="H91" i="27"/>
  <c r="D91" i="27"/>
  <c r="L91" i="27" s="1"/>
  <c r="N91" i="27" s="1"/>
  <c r="B91" i="27"/>
  <c r="X90" i="27"/>
  <c r="Z90" i="27" s="1"/>
  <c r="V90" i="27"/>
  <c r="L90" i="27"/>
  <c r="N90" i="27" s="1"/>
  <c r="B90" i="27"/>
  <c r="T89" i="27"/>
  <c r="P89" i="27"/>
  <c r="X89" i="27" s="1"/>
  <c r="Z89" i="27" s="1"/>
  <c r="H89" i="27"/>
  <c r="D89" i="27"/>
  <c r="L89" i="27" s="1"/>
  <c r="N89" i="27" s="1"/>
  <c r="B89" i="27"/>
  <c r="Z88" i="27"/>
  <c r="X88" i="27"/>
  <c r="N88" i="27"/>
  <c r="L88" i="27"/>
  <c r="B88" i="27"/>
  <c r="T87" i="27"/>
  <c r="P87" i="27"/>
  <c r="L87" i="27"/>
  <c r="H87" i="27"/>
  <c r="D87" i="27"/>
  <c r="B87" i="27"/>
  <c r="Z86" i="27"/>
  <c r="X86" i="27"/>
  <c r="N86" i="27"/>
  <c r="L86" i="27"/>
  <c r="J86" i="27"/>
  <c r="B86" i="27"/>
  <c r="X85" i="27"/>
  <c r="Z85" i="27" s="1"/>
  <c r="N85" i="27"/>
  <c r="L85" i="27"/>
  <c r="B85" i="27"/>
  <c r="Z84" i="27"/>
  <c r="T84" i="27"/>
  <c r="P84" i="27"/>
  <c r="X84" i="27" s="1"/>
  <c r="L84" i="27"/>
  <c r="N84" i="27" s="1"/>
  <c r="H84" i="27"/>
  <c r="D84" i="27"/>
  <c r="B84" i="27"/>
  <c r="X83" i="27"/>
  <c r="Z83" i="27" s="1"/>
  <c r="N83" i="27"/>
  <c r="L83" i="27"/>
  <c r="B83" i="27"/>
  <c r="X82" i="27"/>
  <c r="V82" i="27"/>
  <c r="T82" i="27"/>
  <c r="Z82" i="27" s="1"/>
  <c r="P82" i="27"/>
  <c r="H82" i="27"/>
  <c r="D82" i="27"/>
  <c r="L82" i="27" s="1"/>
  <c r="B82" i="27"/>
  <c r="Z81" i="27"/>
  <c r="X81" i="27"/>
  <c r="N81" i="27"/>
  <c r="L81" i="27"/>
  <c r="B81" i="27"/>
  <c r="Z80" i="27"/>
  <c r="X80" i="27"/>
  <c r="N80" i="27"/>
  <c r="L80" i="27"/>
  <c r="B80" i="27"/>
  <c r="X79" i="27"/>
  <c r="Z79" i="27" s="1"/>
  <c r="N79" i="27"/>
  <c r="L79" i="27"/>
  <c r="B79" i="27"/>
  <c r="X78" i="27"/>
  <c r="Z78" i="27" s="1"/>
  <c r="N78" i="27"/>
  <c r="L78" i="27"/>
  <c r="B78" i="27"/>
  <c r="Z77" i="27"/>
  <c r="X77" i="27"/>
  <c r="N77" i="27"/>
  <c r="L77" i="27"/>
  <c r="B77" i="27"/>
  <c r="X76" i="27"/>
  <c r="Z76" i="27" s="1"/>
  <c r="N76" i="27"/>
  <c r="L76" i="27"/>
  <c r="B76" i="27"/>
  <c r="X75" i="27"/>
  <c r="Z75" i="27" s="1"/>
  <c r="L75" i="27"/>
  <c r="N75" i="27" s="1"/>
  <c r="F75" i="27"/>
  <c r="B75" i="27"/>
  <c r="Z74" i="27"/>
  <c r="X74" i="27"/>
  <c r="N74" i="27"/>
  <c r="L74" i="27"/>
  <c r="B74" i="27"/>
  <c r="X73" i="27"/>
  <c r="Z73" i="27" s="1"/>
  <c r="L73" i="27"/>
  <c r="N73" i="27" s="1"/>
  <c r="B73" i="27"/>
  <c r="Z72" i="27"/>
  <c r="X72" i="27"/>
  <c r="N72" i="27"/>
  <c r="L72" i="27"/>
  <c r="B72" i="27"/>
  <c r="T71" i="27"/>
  <c r="P71" i="27"/>
  <c r="X71" i="27" s="1"/>
  <c r="L71" i="27"/>
  <c r="H71" i="27"/>
  <c r="N71" i="27" s="1"/>
  <c r="D71" i="27"/>
  <c r="B71" i="27"/>
  <c r="X70" i="27"/>
  <c r="Z70" i="27" s="1"/>
  <c r="N70" i="27"/>
  <c r="L70" i="27"/>
  <c r="J70" i="27"/>
  <c r="B70" i="27"/>
  <c r="X69" i="27"/>
  <c r="Z69" i="27" s="1"/>
  <c r="N69" i="27"/>
  <c r="L69" i="27"/>
  <c r="B69" i="27"/>
  <c r="Z68" i="27"/>
  <c r="X68" i="27"/>
  <c r="N68" i="27"/>
  <c r="L68" i="27"/>
  <c r="B68" i="27"/>
  <c r="Z67" i="27"/>
  <c r="X67" i="27"/>
  <c r="N67" i="27"/>
  <c r="L67" i="27"/>
  <c r="B67" i="27"/>
  <c r="Z66" i="27"/>
  <c r="X66" i="27"/>
  <c r="N66" i="27"/>
  <c r="L66" i="27"/>
  <c r="J66" i="27"/>
  <c r="B66" i="27"/>
  <c r="X65" i="27"/>
  <c r="Z65" i="27" s="1"/>
  <c r="N65" i="27"/>
  <c r="L65" i="27"/>
  <c r="B65" i="27"/>
  <c r="Z64" i="27"/>
  <c r="X64" i="27"/>
  <c r="N64" i="27"/>
  <c r="L64" i="27"/>
  <c r="B64" i="27"/>
  <c r="X63" i="27"/>
  <c r="Z63" i="27" s="1"/>
  <c r="L63" i="27"/>
  <c r="N63" i="27" s="1"/>
  <c r="B63" i="27"/>
  <c r="X62" i="27"/>
  <c r="Z62" i="27" s="1"/>
  <c r="L62" i="27"/>
  <c r="N62" i="27" s="1"/>
  <c r="J62" i="27"/>
  <c r="B62" i="27"/>
  <c r="X61" i="27"/>
  <c r="Z61" i="27" s="1"/>
  <c r="N61" i="27"/>
  <c r="L61" i="27"/>
  <c r="B61" i="27"/>
  <c r="T60" i="27"/>
  <c r="P60" i="27"/>
  <c r="X60" i="27" s="1"/>
  <c r="Z60" i="27" s="1"/>
  <c r="L60" i="27"/>
  <c r="H60" i="27"/>
  <c r="N60" i="27" s="1"/>
  <c r="D60" i="27"/>
  <c r="B60" i="27"/>
  <c r="T59" i="27"/>
  <c r="Z59" i="27" s="1"/>
  <c r="P59" i="27"/>
  <c r="X59" i="27" s="1"/>
  <c r="H59" i="27"/>
  <c r="D59" i="27"/>
  <c r="L59" i="27" s="1"/>
  <c r="Z55" i="27"/>
  <c r="X55" i="27"/>
  <c r="N55" i="27"/>
  <c r="L55" i="27"/>
  <c r="B55" i="27"/>
  <c r="Z54" i="27"/>
  <c r="X54" i="27"/>
  <c r="V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B52" i="27"/>
  <c r="Z51" i="27"/>
  <c r="X51" i="27"/>
  <c r="N51" i="27"/>
  <c r="L51" i="27"/>
  <c r="B51" i="27"/>
  <c r="Z50" i="27"/>
  <c r="X50" i="27"/>
  <c r="V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V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B44" i="27"/>
  <c r="Z43" i="27"/>
  <c r="X43" i="27"/>
  <c r="N43" i="27"/>
  <c r="L43" i="27"/>
  <c r="B43" i="27"/>
  <c r="Z42" i="27"/>
  <c r="X42" i="27"/>
  <c r="V42" i="27"/>
  <c r="L42" i="27"/>
  <c r="N42" i="27" s="1"/>
  <c r="B42" i="27"/>
  <c r="T41" i="27"/>
  <c r="P41" i="27"/>
  <c r="X41" i="27" s="1"/>
  <c r="H41" i="27"/>
  <c r="D41" i="27"/>
  <c r="L41" i="27" s="1"/>
  <c r="Z39" i="27"/>
  <c r="P39" i="27"/>
  <c r="X39" i="27" s="1"/>
  <c r="N39" i="27"/>
  <c r="D39" i="27"/>
  <c r="L39" i="27" s="1"/>
  <c r="B39" i="27"/>
  <c r="Z38" i="27"/>
  <c r="P38" i="27"/>
  <c r="X38" i="27" s="1"/>
  <c r="N38" i="27"/>
  <c r="L38" i="27"/>
  <c r="D38" i="27"/>
  <c r="B38" i="27"/>
  <c r="Z37" i="27"/>
  <c r="X37" i="27"/>
  <c r="P37" i="27"/>
  <c r="N37" i="27"/>
  <c r="L37" i="27"/>
  <c r="D37" i="27"/>
  <c r="B37" i="27"/>
  <c r="Z36" i="27"/>
  <c r="P36" i="27"/>
  <c r="X36" i="27" s="1"/>
  <c r="N36" i="27"/>
  <c r="D36" i="27"/>
  <c r="L36" i="27" s="1"/>
  <c r="B36" i="27"/>
  <c r="Z35" i="27"/>
  <c r="X35" i="27"/>
  <c r="P35" i="27"/>
  <c r="N35" i="27"/>
  <c r="D35" i="27"/>
  <c r="L35" i="27" s="1"/>
  <c r="B35" i="27"/>
  <c r="Z34" i="27"/>
  <c r="X34" i="27"/>
  <c r="P34" i="27"/>
  <c r="N34" i="27"/>
  <c r="L34" i="27"/>
  <c r="D34" i="27"/>
  <c r="B34" i="27"/>
  <c r="Z33" i="27"/>
  <c r="P33" i="27"/>
  <c r="X33" i="27" s="1"/>
  <c r="N33" i="27"/>
  <c r="D33" i="27"/>
  <c r="L33" i="27" s="1"/>
  <c r="B33" i="27"/>
  <c r="Z32" i="27"/>
  <c r="P32" i="27"/>
  <c r="X32" i="27" s="1"/>
  <c r="N32" i="27"/>
  <c r="L32" i="27"/>
  <c r="D32" i="27"/>
  <c r="B32" i="27"/>
  <c r="Z31" i="27"/>
  <c r="X31" i="27"/>
  <c r="P31" i="27"/>
  <c r="N31" i="27"/>
  <c r="L31" i="27"/>
  <c r="D31" i="27"/>
  <c r="B31" i="27"/>
  <c r="Z30" i="27"/>
  <c r="P30" i="27"/>
  <c r="X30" i="27" s="1"/>
  <c r="N30" i="27"/>
  <c r="D30" i="27"/>
  <c r="L30" i="27" s="1"/>
  <c r="B30" i="27"/>
  <c r="Z29" i="27"/>
  <c r="X29" i="27"/>
  <c r="P29" i="27"/>
  <c r="N29" i="27"/>
  <c r="D29" i="27"/>
  <c r="L29" i="27" s="1"/>
  <c r="B29" i="27"/>
  <c r="Z28" i="27"/>
  <c r="X28" i="27"/>
  <c r="P28" i="27"/>
  <c r="N28" i="27"/>
  <c r="L28" i="27"/>
  <c r="D28" i="27"/>
  <c r="B28" i="27"/>
  <c r="Z27" i="27"/>
  <c r="P27" i="27"/>
  <c r="X27" i="27" s="1"/>
  <c r="N27" i="27"/>
  <c r="D27" i="27"/>
  <c r="L27" i="27" s="1"/>
  <c r="B27" i="27"/>
  <c r="Z26" i="27"/>
  <c r="P26" i="27"/>
  <c r="X26" i="27" s="1"/>
  <c r="N26" i="27"/>
  <c r="L26" i="27"/>
  <c r="D26" i="27"/>
  <c r="B26" i="27"/>
  <c r="Z25" i="27"/>
  <c r="X25" i="27"/>
  <c r="P25" i="27"/>
  <c r="N25" i="27"/>
  <c r="L25" i="27"/>
  <c r="D25" i="27"/>
  <c r="B25" i="27"/>
  <c r="Z24" i="27"/>
  <c r="P24" i="27"/>
  <c r="X24" i="27" s="1"/>
  <c r="N24" i="27"/>
  <c r="D24" i="27"/>
  <c r="L24" i="27" s="1"/>
  <c r="B24" i="27"/>
  <c r="Z23" i="27"/>
  <c r="X23" i="27"/>
  <c r="P23" i="27"/>
  <c r="N23" i="27"/>
  <c r="D23" i="27"/>
  <c r="L23" i="27" s="1"/>
  <c r="B23" i="27"/>
  <c r="Z22" i="27"/>
  <c r="X22" i="27"/>
  <c r="P22" i="27"/>
  <c r="N22" i="27"/>
  <c r="L22" i="27"/>
  <c r="D22" i="27"/>
  <c r="B22" i="27"/>
  <c r="P21" i="27"/>
  <c r="X21" i="27" s="1"/>
  <c r="Z21" i="27" s="1"/>
  <c r="D21" i="27"/>
  <c r="L21" i="27" s="1"/>
  <c r="N21" i="27" s="1"/>
  <c r="B21" i="27"/>
  <c r="Z20" i="27"/>
  <c r="P20" i="27"/>
  <c r="X20" i="27" s="1"/>
  <c r="N20" i="27"/>
  <c r="L20" i="27"/>
  <c r="D20" i="27"/>
  <c r="B20" i="27"/>
  <c r="Z19" i="27"/>
  <c r="X19" i="27"/>
  <c r="P19" i="27"/>
  <c r="N19" i="27"/>
  <c r="L19" i="27"/>
  <c r="D19" i="27"/>
  <c r="B19" i="27"/>
  <c r="Z18" i="27"/>
  <c r="P18" i="27"/>
  <c r="N18" i="27"/>
  <c r="D18" i="27"/>
  <c r="L18" i="27" s="1"/>
  <c r="B18" i="27"/>
  <c r="Z17" i="27"/>
  <c r="P17" i="27"/>
  <c r="X17" i="27" s="1"/>
  <c r="N17" i="27"/>
  <c r="D17" i="27"/>
  <c r="L17" i="27" s="1"/>
  <c r="B17" i="27"/>
  <c r="Z16" i="27"/>
  <c r="X16" i="27"/>
  <c r="P16" i="27"/>
  <c r="N16" i="27"/>
  <c r="L16" i="27"/>
  <c r="D16" i="27"/>
  <c r="B16" i="27"/>
  <c r="Z15" i="27"/>
  <c r="P15" i="27"/>
  <c r="X15" i="27" s="1"/>
  <c r="N15" i="27"/>
  <c r="D15" i="27"/>
  <c r="L15" i="27" s="1"/>
  <c r="B15" i="27"/>
  <c r="Z14" i="27"/>
  <c r="P14" i="27"/>
  <c r="X14" i="27" s="1"/>
  <c r="N14" i="27"/>
  <c r="L14" i="27"/>
  <c r="D14" i="27"/>
  <c r="D12" i="27" s="1"/>
  <c r="F95" i="27" s="1"/>
  <c r="B14" i="27"/>
  <c r="Z13" i="27"/>
  <c r="X13" i="27"/>
  <c r="P13" i="27"/>
  <c r="N13" i="27"/>
  <c r="L13" i="27"/>
  <c r="D13" i="27"/>
  <c r="B13" i="27"/>
  <c r="T12" i="27"/>
  <c r="V117" i="27" s="1"/>
  <c r="H12" i="27"/>
  <c r="J113" i="27" s="1"/>
  <c r="D4" i="27"/>
  <c r="X132" i="24"/>
  <c r="Z132" i="24" s="1"/>
  <c r="L132" i="24"/>
  <c r="N132" i="24" s="1"/>
  <c r="X128" i="24"/>
  <c r="T128" i="24"/>
  <c r="Z128" i="24" s="1"/>
  <c r="P128" i="24"/>
  <c r="H128" i="24"/>
  <c r="N128" i="24" s="1"/>
  <c r="D128" i="24"/>
  <c r="L128" i="24" s="1"/>
  <c r="X126" i="24"/>
  <c r="Z126" i="24" s="1"/>
  <c r="L126" i="24"/>
  <c r="N126" i="24" s="1"/>
  <c r="B126" i="24"/>
  <c r="T125" i="24"/>
  <c r="P125" i="24"/>
  <c r="X125" i="24" s="1"/>
  <c r="H125" i="24"/>
  <c r="N125" i="24" s="1"/>
  <c r="D125" i="24"/>
  <c r="L125" i="24" s="1"/>
  <c r="B125" i="24"/>
  <c r="X124" i="24"/>
  <c r="Z124" i="24" s="1"/>
  <c r="L124" i="24"/>
  <c r="N124" i="24" s="1"/>
  <c r="B124" i="24"/>
  <c r="X123" i="24"/>
  <c r="T123" i="24"/>
  <c r="Z123" i="24" s="1"/>
  <c r="P123" i="24"/>
  <c r="N123" i="24"/>
  <c r="H123" i="24"/>
  <c r="D123" i="24"/>
  <c r="L123" i="24" s="1"/>
  <c r="B123" i="24"/>
  <c r="Z122" i="24"/>
  <c r="X122" i="24"/>
  <c r="N122" i="24"/>
  <c r="L122" i="24"/>
  <c r="B122" i="24"/>
  <c r="X121" i="24"/>
  <c r="Z121" i="24" s="1"/>
  <c r="L121" i="24"/>
  <c r="N121" i="24" s="1"/>
  <c r="B121" i="24"/>
  <c r="T120" i="24"/>
  <c r="P120" i="24"/>
  <c r="X120" i="24" s="1"/>
  <c r="H120" i="24"/>
  <c r="D120" i="24"/>
  <c r="L120" i="24" s="1"/>
  <c r="N120" i="24" s="1"/>
  <c r="B120" i="24"/>
  <c r="Z119" i="24"/>
  <c r="X119" i="24"/>
  <c r="N119" i="24"/>
  <c r="L119" i="24"/>
  <c r="B119" i="24"/>
  <c r="X118" i="24"/>
  <c r="T118" i="24"/>
  <c r="Z118" i="24" s="1"/>
  <c r="P118" i="24"/>
  <c r="H118" i="24"/>
  <c r="N118" i="24" s="1"/>
  <c r="D118" i="24"/>
  <c r="L118" i="24" s="1"/>
  <c r="B118" i="24"/>
  <c r="Z117" i="24"/>
  <c r="X117" i="24"/>
  <c r="L117" i="24"/>
  <c r="N117" i="24" s="1"/>
  <c r="B117" i="24"/>
  <c r="X116" i="24"/>
  <c r="Z116" i="24" s="1"/>
  <c r="L116" i="24"/>
  <c r="N116" i="24" s="1"/>
  <c r="B116" i="24"/>
  <c r="T115" i="24"/>
  <c r="P115" i="24"/>
  <c r="X115" i="24" s="1"/>
  <c r="Z115" i="24" s="1"/>
  <c r="N115" i="24"/>
  <c r="H115" i="24"/>
  <c r="D115" i="24"/>
  <c r="L115" i="24" s="1"/>
  <c r="B115" i="24"/>
  <c r="X114" i="24"/>
  <c r="Z114" i="24" s="1"/>
  <c r="L114" i="24"/>
  <c r="N114" i="24" s="1"/>
  <c r="B114" i="24"/>
  <c r="Z113" i="24"/>
  <c r="X113" i="24"/>
  <c r="N113" i="24"/>
  <c r="L113" i="24"/>
  <c r="B113" i="24"/>
  <c r="T112" i="24"/>
  <c r="P112" i="24"/>
  <c r="X112" i="24" s="1"/>
  <c r="Z112" i="24" s="1"/>
  <c r="H112" i="24"/>
  <c r="D112" i="24"/>
  <c r="L112" i="24" s="1"/>
  <c r="N112" i="24" s="1"/>
  <c r="B112" i="24"/>
  <c r="X111" i="24"/>
  <c r="Z111" i="24" s="1"/>
  <c r="L111" i="24"/>
  <c r="N111" i="24" s="1"/>
  <c r="B111" i="24"/>
  <c r="X110" i="24"/>
  <c r="Z110" i="24" s="1"/>
  <c r="T110" i="24"/>
  <c r="P110" i="24"/>
  <c r="H110" i="24"/>
  <c r="N110" i="24" s="1"/>
  <c r="D110" i="24"/>
  <c r="L110" i="24" s="1"/>
  <c r="B110" i="24"/>
  <c r="Z109" i="24"/>
  <c r="X109" i="24"/>
  <c r="L109" i="24"/>
  <c r="N109" i="24" s="1"/>
  <c r="B109" i="24"/>
  <c r="T108" i="24"/>
  <c r="P108" i="24"/>
  <c r="X108" i="24" s="1"/>
  <c r="H108" i="24"/>
  <c r="D108" i="24"/>
  <c r="L108" i="24" s="1"/>
  <c r="B108" i="24"/>
  <c r="X107" i="24"/>
  <c r="Z107" i="24" s="1"/>
  <c r="N107" i="24"/>
  <c r="L107" i="24"/>
  <c r="B107" i="24"/>
  <c r="T106" i="24"/>
  <c r="P106" i="24"/>
  <c r="X106" i="24" s="1"/>
  <c r="H106" i="24"/>
  <c r="D106" i="24"/>
  <c r="L106" i="24" s="1"/>
  <c r="B106" i="24"/>
  <c r="Z105" i="24"/>
  <c r="X105" i="24"/>
  <c r="N105" i="24"/>
  <c r="L105" i="24"/>
  <c r="B105" i="24"/>
  <c r="X104" i="24"/>
  <c r="Z104" i="24" s="1"/>
  <c r="L104" i="24"/>
  <c r="N104" i="24" s="1"/>
  <c r="B104" i="24"/>
  <c r="T103" i="24"/>
  <c r="P103" i="24"/>
  <c r="X103" i="24" s="1"/>
  <c r="H103" i="24"/>
  <c r="D103" i="24"/>
  <c r="L103" i="24" s="1"/>
  <c r="B103" i="24"/>
  <c r="Z102" i="24"/>
  <c r="X102" i="24"/>
  <c r="N102" i="24"/>
  <c r="L102" i="24"/>
  <c r="B102" i="24"/>
  <c r="Z101" i="24"/>
  <c r="T101" i="24"/>
  <c r="P101" i="24"/>
  <c r="X101" i="24" s="1"/>
  <c r="H101" i="24"/>
  <c r="N101" i="24" s="1"/>
  <c r="D101" i="24"/>
  <c r="L101" i="24" s="1"/>
  <c r="B101" i="24"/>
  <c r="X100" i="24"/>
  <c r="Z100" i="24" s="1"/>
  <c r="N100" i="24"/>
  <c r="L100" i="24"/>
  <c r="B100" i="24"/>
  <c r="V99" i="24"/>
  <c r="T99" i="24"/>
  <c r="P99" i="24"/>
  <c r="H99" i="24"/>
  <c r="D99" i="24"/>
  <c r="L99" i="24" s="1"/>
  <c r="B99" i="24"/>
  <c r="Z98" i="24"/>
  <c r="X98" i="24"/>
  <c r="N98" i="24"/>
  <c r="L98" i="24"/>
  <c r="B98" i="24"/>
  <c r="Z97" i="24"/>
  <c r="X97" i="24"/>
  <c r="N97" i="24"/>
  <c r="L97" i="24"/>
  <c r="B97" i="24"/>
  <c r="X96" i="24"/>
  <c r="Z96" i="24" s="1"/>
  <c r="N96" i="24"/>
  <c r="L96" i="24"/>
  <c r="B96" i="24"/>
  <c r="X95" i="24"/>
  <c r="Z95" i="24" s="1"/>
  <c r="L95" i="24"/>
  <c r="N95" i="24" s="1"/>
  <c r="B95" i="24"/>
  <c r="Z94" i="24"/>
  <c r="X94" i="24"/>
  <c r="N94" i="24"/>
  <c r="L94" i="24"/>
  <c r="B94" i="24"/>
  <c r="Z93" i="24"/>
  <c r="X93" i="24"/>
  <c r="N93" i="24"/>
  <c r="L93" i="24"/>
  <c r="B93" i="24"/>
  <c r="Z92" i="24"/>
  <c r="X92" i="24"/>
  <c r="N92" i="24"/>
  <c r="L92" i="24"/>
  <c r="B92" i="24"/>
  <c r="Z91" i="24"/>
  <c r="X91" i="24"/>
  <c r="N91" i="24"/>
  <c r="L91" i="24"/>
  <c r="B91" i="24"/>
  <c r="Z90" i="24"/>
  <c r="X90" i="24"/>
  <c r="N90" i="24"/>
  <c r="L90" i="24"/>
  <c r="B90" i="24"/>
  <c r="X89" i="24"/>
  <c r="Z89" i="24" s="1"/>
  <c r="N89" i="24"/>
  <c r="L89" i="24"/>
  <c r="B89" i="24"/>
  <c r="T88" i="24"/>
  <c r="P88" i="24"/>
  <c r="X88" i="24" s="1"/>
  <c r="Z88" i="24" s="1"/>
  <c r="L88" i="24"/>
  <c r="H88" i="24"/>
  <c r="D88" i="24"/>
  <c r="B88" i="24"/>
  <c r="Z87" i="24"/>
  <c r="X87" i="24"/>
  <c r="N87" i="24"/>
  <c r="L87" i="24"/>
  <c r="B87" i="24"/>
  <c r="X86" i="24"/>
  <c r="Z86" i="24" s="1"/>
  <c r="N86" i="24"/>
  <c r="L86" i="24"/>
  <c r="B86" i="24"/>
  <c r="Z85" i="24"/>
  <c r="X85" i="24"/>
  <c r="N85" i="24"/>
  <c r="L85" i="24"/>
  <c r="B85" i="24"/>
  <c r="Z84" i="24"/>
  <c r="X84" i="24"/>
  <c r="N84" i="24"/>
  <c r="L84" i="24"/>
  <c r="B84" i="24"/>
  <c r="X83" i="24"/>
  <c r="Z83" i="24" s="1"/>
  <c r="N83" i="24"/>
  <c r="L83" i="24"/>
  <c r="J83" i="24"/>
  <c r="B83" i="24"/>
  <c r="X82" i="24"/>
  <c r="Z82" i="24" s="1"/>
  <c r="N82" i="24"/>
  <c r="L82" i="24"/>
  <c r="B82" i="24"/>
  <c r="Z81" i="24"/>
  <c r="X81" i="24"/>
  <c r="N81" i="24"/>
  <c r="L81" i="24"/>
  <c r="B81" i="24"/>
  <c r="X80" i="24"/>
  <c r="Z80" i="24" s="1"/>
  <c r="L80" i="24"/>
  <c r="N80" i="24" s="1"/>
  <c r="B80" i="24"/>
  <c r="X79" i="24"/>
  <c r="Z79" i="24" s="1"/>
  <c r="L79" i="24"/>
  <c r="N79" i="24" s="1"/>
  <c r="B79" i="24"/>
  <c r="T78" i="24"/>
  <c r="P78" i="24"/>
  <c r="X78" i="24" s="1"/>
  <c r="H78" i="24"/>
  <c r="D78" i="24"/>
  <c r="B78" i="24"/>
  <c r="T77" i="24"/>
  <c r="Z77" i="24" s="1"/>
  <c r="P77" i="24"/>
  <c r="X77" i="24" s="1"/>
  <c r="J77" i="24"/>
  <c r="H77" i="24"/>
  <c r="D77" i="24"/>
  <c r="L77" i="24" s="1"/>
  <c r="Z73" i="24"/>
  <c r="X73" i="24"/>
  <c r="N73" i="24"/>
  <c r="L73" i="24"/>
  <c r="B73" i="24"/>
  <c r="Z72" i="24"/>
  <c r="X72" i="24"/>
  <c r="N72" i="24"/>
  <c r="L72" i="24"/>
  <c r="B72" i="24"/>
  <c r="Z71" i="24"/>
  <c r="X71" i="24"/>
  <c r="N71" i="24"/>
  <c r="L71" i="24"/>
  <c r="B71" i="24"/>
  <c r="Z70" i="24"/>
  <c r="X70" i="24"/>
  <c r="N70" i="24"/>
  <c r="L70" i="24"/>
  <c r="B70" i="24"/>
  <c r="Z69" i="24"/>
  <c r="X69" i="24"/>
  <c r="N69" i="24"/>
  <c r="L69" i="24"/>
  <c r="B69" i="24"/>
  <c r="Z68" i="24"/>
  <c r="X68" i="24"/>
  <c r="N68" i="24"/>
  <c r="L68" i="24"/>
  <c r="B68" i="24"/>
  <c r="Z67" i="24"/>
  <c r="X67" i="24"/>
  <c r="V67" i="24"/>
  <c r="N67" i="24"/>
  <c r="L67" i="24"/>
  <c r="B67" i="24"/>
  <c r="Z66" i="24"/>
  <c r="X66" i="24"/>
  <c r="V66" i="24"/>
  <c r="N66" i="24"/>
  <c r="L66" i="24"/>
  <c r="B66" i="24"/>
  <c r="Z65" i="24"/>
  <c r="X65" i="24"/>
  <c r="N65" i="24"/>
  <c r="L65" i="24"/>
  <c r="B65" i="24"/>
  <c r="Z64" i="24"/>
  <c r="X64" i="24"/>
  <c r="V64" i="24"/>
  <c r="N64" i="24"/>
  <c r="L64" i="24"/>
  <c r="B64" i="24"/>
  <c r="Z63" i="24"/>
  <c r="X63" i="24"/>
  <c r="N63" i="24"/>
  <c r="L63" i="24"/>
  <c r="B63" i="24"/>
  <c r="Z62" i="24"/>
  <c r="X62" i="24"/>
  <c r="N62" i="24"/>
  <c r="L62" i="24"/>
  <c r="B62" i="24"/>
  <c r="Z61" i="24"/>
  <c r="X61" i="24"/>
  <c r="N61" i="24"/>
  <c r="L61" i="24"/>
  <c r="B61" i="24"/>
  <c r="Z60" i="24"/>
  <c r="X60" i="24"/>
  <c r="N60" i="24"/>
  <c r="L60" i="24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N57" i="24"/>
  <c r="L57" i="24"/>
  <c r="B57" i="24"/>
  <c r="Z56" i="24"/>
  <c r="X56" i="24"/>
  <c r="N56" i="24"/>
  <c r="L56" i="24"/>
  <c r="B56" i="24"/>
  <c r="Z55" i="24"/>
  <c r="X55" i="24"/>
  <c r="N55" i="24"/>
  <c r="L55" i="24"/>
  <c r="B55" i="24"/>
  <c r="Z54" i="24"/>
  <c r="X54" i="24"/>
  <c r="N54" i="24"/>
  <c r="L54" i="24"/>
  <c r="B54" i="24"/>
  <c r="Z53" i="24"/>
  <c r="X53" i="24"/>
  <c r="N53" i="24"/>
  <c r="L53" i="24"/>
  <c r="B53" i="24"/>
  <c r="Z52" i="24"/>
  <c r="X52" i="24"/>
  <c r="V52" i="24"/>
  <c r="N52" i="24"/>
  <c r="L52" i="24"/>
  <c r="B52" i="24"/>
  <c r="Z51" i="24"/>
  <c r="X51" i="24"/>
  <c r="N51" i="24"/>
  <c r="L51" i="24"/>
  <c r="B51" i="24"/>
  <c r="X50" i="24"/>
  <c r="Z50" i="24" s="1"/>
  <c r="L50" i="24"/>
  <c r="N50" i="24" s="1"/>
  <c r="B50" i="24"/>
  <c r="T49" i="24"/>
  <c r="P49" i="24"/>
  <c r="X49" i="24" s="1"/>
  <c r="Z49" i="24" s="1"/>
  <c r="H49" i="24"/>
  <c r="D49" i="24"/>
  <c r="L49" i="24" s="1"/>
  <c r="N49" i="24" s="1"/>
  <c r="Z47" i="24"/>
  <c r="P47" i="24"/>
  <c r="X47" i="24" s="1"/>
  <c r="N47" i="24"/>
  <c r="L47" i="24"/>
  <c r="D47" i="24"/>
  <c r="B47" i="24"/>
  <c r="Z46" i="24"/>
  <c r="P46" i="24"/>
  <c r="X46" i="24" s="1"/>
  <c r="N46" i="24"/>
  <c r="D46" i="24"/>
  <c r="L46" i="24" s="1"/>
  <c r="B46" i="24"/>
  <c r="Z45" i="24"/>
  <c r="P45" i="24"/>
  <c r="X45" i="24" s="1"/>
  <c r="N45" i="24"/>
  <c r="L45" i="24"/>
  <c r="D45" i="24"/>
  <c r="B45" i="24"/>
  <c r="Z44" i="24"/>
  <c r="P44" i="24"/>
  <c r="X44" i="24" s="1"/>
  <c r="N44" i="24"/>
  <c r="D44" i="24"/>
  <c r="L44" i="24" s="1"/>
  <c r="B44" i="24"/>
  <c r="Z43" i="24"/>
  <c r="P43" i="24"/>
  <c r="X43" i="24" s="1"/>
  <c r="N43" i="24"/>
  <c r="L43" i="24"/>
  <c r="D43" i="24"/>
  <c r="B43" i="24"/>
  <c r="Z42" i="24"/>
  <c r="X42" i="24"/>
  <c r="P42" i="24"/>
  <c r="N42" i="24"/>
  <c r="D42" i="24"/>
  <c r="L42" i="24" s="1"/>
  <c r="B42" i="24"/>
  <c r="Z41" i="24"/>
  <c r="P41" i="24"/>
  <c r="X41" i="24" s="1"/>
  <c r="N41" i="24"/>
  <c r="D41" i="24"/>
  <c r="L41" i="24" s="1"/>
  <c r="B41" i="24"/>
  <c r="Z40" i="24"/>
  <c r="P40" i="24"/>
  <c r="X40" i="24" s="1"/>
  <c r="N40" i="24"/>
  <c r="D40" i="24"/>
  <c r="L40" i="24" s="1"/>
  <c r="B40" i="24"/>
  <c r="Z39" i="24"/>
  <c r="P39" i="24"/>
  <c r="X39" i="24" s="1"/>
  <c r="N39" i="24"/>
  <c r="L39" i="24"/>
  <c r="D39" i="24"/>
  <c r="B39" i="24"/>
  <c r="Z38" i="24"/>
  <c r="X38" i="24"/>
  <c r="P38" i="24"/>
  <c r="N38" i="24"/>
  <c r="L38" i="24"/>
  <c r="D38" i="24"/>
  <c r="B38" i="24"/>
  <c r="Z37" i="24"/>
  <c r="P37" i="24"/>
  <c r="X37" i="24" s="1"/>
  <c r="N37" i="24"/>
  <c r="D37" i="24"/>
  <c r="L37" i="24" s="1"/>
  <c r="B37" i="24"/>
  <c r="Z36" i="24"/>
  <c r="X36" i="24"/>
  <c r="P36" i="24"/>
  <c r="N36" i="24"/>
  <c r="D36" i="24"/>
  <c r="L36" i="24" s="1"/>
  <c r="B36" i="24"/>
  <c r="Z35" i="24"/>
  <c r="P35" i="24"/>
  <c r="X35" i="24" s="1"/>
  <c r="N35" i="24"/>
  <c r="L35" i="24"/>
  <c r="D35" i="24"/>
  <c r="B35" i="24"/>
  <c r="Z34" i="24"/>
  <c r="P34" i="24"/>
  <c r="X34" i="24" s="1"/>
  <c r="N34" i="24"/>
  <c r="D34" i="24"/>
  <c r="L34" i="24" s="1"/>
  <c r="B34" i="24"/>
  <c r="Z33" i="24"/>
  <c r="P33" i="24"/>
  <c r="X33" i="24" s="1"/>
  <c r="N33" i="24"/>
  <c r="L33" i="24"/>
  <c r="D33" i="24"/>
  <c r="B33" i="24"/>
  <c r="Z32" i="24"/>
  <c r="P32" i="24"/>
  <c r="X32" i="24" s="1"/>
  <c r="N32" i="24"/>
  <c r="L32" i="24"/>
  <c r="D32" i="24"/>
  <c r="B32" i="24"/>
  <c r="Z31" i="24"/>
  <c r="P31" i="24"/>
  <c r="X31" i="24" s="1"/>
  <c r="N31" i="24"/>
  <c r="D31" i="24"/>
  <c r="L31" i="24" s="1"/>
  <c r="B31" i="24"/>
  <c r="X30" i="24"/>
  <c r="Z30" i="24" s="1"/>
  <c r="P30" i="24"/>
  <c r="D30" i="24"/>
  <c r="L30" i="24" s="1"/>
  <c r="N30" i="24" s="1"/>
  <c r="B30" i="24"/>
  <c r="Z29" i="24"/>
  <c r="P29" i="24"/>
  <c r="X29" i="24" s="1"/>
  <c r="N29" i="24"/>
  <c r="D29" i="24"/>
  <c r="L29" i="24" s="1"/>
  <c r="B29" i="24"/>
  <c r="Z28" i="24"/>
  <c r="P28" i="24"/>
  <c r="X28" i="24" s="1"/>
  <c r="N28" i="24"/>
  <c r="D28" i="24"/>
  <c r="L28" i="24" s="1"/>
  <c r="B28" i="24"/>
  <c r="Z27" i="24"/>
  <c r="P27" i="24"/>
  <c r="X27" i="24" s="1"/>
  <c r="N27" i="24"/>
  <c r="L27" i="24"/>
  <c r="D27" i="24"/>
  <c r="B27" i="24"/>
  <c r="Z26" i="24"/>
  <c r="X26" i="24"/>
  <c r="P26" i="24"/>
  <c r="N26" i="24"/>
  <c r="D26" i="24"/>
  <c r="L26" i="24" s="1"/>
  <c r="B26" i="24"/>
  <c r="Z25" i="24"/>
  <c r="P25" i="24"/>
  <c r="X25" i="24" s="1"/>
  <c r="N25" i="24"/>
  <c r="D25" i="24"/>
  <c r="L25" i="24" s="1"/>
  <c r="B25" i="24"/>
  <c r="Z24" i="24"/>
  <c r="X24" i="24"/>
  <c r="P24" i="24"/>
  <c r="N24" i="24"/>
  <c r="L24" i="24"/>
  <c r="D24" i="24"/>
  <c r="B24" i="24"/>
  <c r="Z23" i="24"/>
  <c r="P23" i="24"/>
  <c r="X23" i="24" s="1"/>
  <c r="N23" i="24"/>
  <c r="L23" i="24"/>
  <c r="D23" i="24"/>
  <c r="B23" i="24"/>
  <c r="Z22" i="24"/>
  <c r="P22" i="24"/>
  <c r="X22" i="24" s="1"/>
  <c r="N22" i="24"/>
  <c r="L22" i="24"/>
  <c r="D22" i="24"/>
  <c r="B22" i="24"/>
  <c r="Z21" i="24"/>
  <c r="P21" i="24"/>
  <c r="X21" i="24" s="1"/>
  <c r="N21" i="24"/>
  <c r="L21" i="24"/>
  <c r="D21" i="24"/>
  <c r="B21" i="24"/>
  <c r="Z20" i="24"/>
  <c r="P20" i="24"/>
  <c r="X20" i="24" s="1"/>
  <c r="N20" i="24"/>
  <c r="L20" i="24"/>
  <c r="D20" i="24"/>
  <c r="B20" i="24"/>
  <c r="Z19" i="24"/>
  <c r="P19" i="24"/>
  <c r="X19" i="24" s="1"/>
  <c r="N19" i="24"/>
  <c r="D19" i="24"/>
  <c r="L19" i="24" s="1"/>
  <c r="B19" i="24"/>
  <c r="Z18" i="24"/>
  <c r="X18" i="24"/>
  <c r="P18" i="24"/>
  <c r="N18" i="24"/>
  <c r="D18" i="24"/>
  <c r="L18" i="24" s="1"/>
  <c r="B18" i="24"/>
  <c r="Z17" i="24"/>
  <c r="P17" i="24"/>
  <c r="X17" i="24" s="1"/>
  <c r="N17" i="24"/>
  <c r="D17" i="24"/>
  <c r="L17" i="24" s="1"/>
  <c r="B17" i="24"/>
  <c r="Z16" i="24"/>
  <c r="P16" i="24"/>
  <c r="X16" i="24" s="1"/>
  <c r="N16" i="24"/>
  <c r="D16" i="24"/>
  <c r="L16" i="24" s="1"/>
  <c r="B16" i="24"/>
  <c r="Z15" i="24"/>
  <c r="P15" i="24"/>
  <c r="X15" i="24" s="1"/>
  <c r="N15" i="24"/>
  <c r="L15" i="24"/>
  <c r="D15" i="24"/>
  <c r="B15" i="24"/>
  <c r="Z14" i="24"/>
  <c r="X14" i="24"/>
  <c r="P14" i="24"/>
  <c r="N14" i="24"/>
  <c r="L14" i="24"/>
  <c r="D14" i="24"/>
  <c r="B14" i="24"/>
  <c r="P13" i="24"/>
  <c r="D13" i="24"/>
  <c r="L13" i="24" s="1"/>
  <c r="N13" i="24" s="1"/>
  <c r="B13" i="24"/>
  <c r="T12" i="24"/>
  <c r="V58" i="24" s="1"/>
  <c r="H12" i="24"/>
  <c r="J54" i="24" s="1"/>
  <c r="D4" i="24"/>
  <c r="Z118" i="21"/>
  <c r="X118" i="21"/>
  <c r="V118" i="21"/>
  <c r="N118" i="21"/>
  <c r="L118" i="21"/>
  <c r="Z114" i="21"/>
  <c r="T114" i="21"/>
  <c r="P114" i="21"/>
  <c r="X114" i="21" s="1"/>
  <c r="N114" i="21"/>
  <c r="H114" i="21"/>
  <c r="D114" i="21"/>
  <c r="L114" i="21" s="1"/>
  <c r="Z112" i="21"/>
  <c r="X112" i="21"/>
  <c r="N112" i="21"/>
  <c r="L112" i="21"/>
  <c r="B112" i="21"/>
  <c r="T111" i="21"/>
  <c r="P111" i="21"/>
  <c r="X111" i="21" s="1"/>
  <c r="L111" i="21"/>
  <c r="H111" i="21"/>
  <c r="N111" i="21" s="1"/>
  <c r="D111" i="21"/>
  <c r="B111" i="21"/>
  <c r="X110" i="21"/>
  <c r="Z110" i="21" s="1"/>
  <c r="N110" i="21"/>
  <c r="L110" i="21"/>
  <c r="B110" i="21"/>
  <c r="T109" i="21"/>
  <c r="P109" i="21"/>
  <c r="X109" i="21" s="1"/>
  <c r="H109" i="21"/>
  <c r="D109" i="21"/>
  <c r="B109" i="21"/>
  <c r="Z108" i="21"/>
  <c r="X108" i="21"/>
  <c r="N108" i="21"/>
  <c r="L108" i="21"/>
  <c r="B108" i="21"/>
  <c r="X107" i="21"/>
  <c r="T107" i="21"/>
  <c r="Z107" i="21" s="1"/>
  <c r="P107" i="21"/>
  <c r="N107" i="21"/>
  <c r="H107" i="21"/>
  <c r="D107" i="21"/>
  <c r="L107" i="21" s="1"/>
  <c r="B107" i="21"/>
  <c r="Z106" i="21"/>
  <c r="X106" i="21"/>
  <c r="L106" i="21"/>
  <c r="N106" i="21" s="1"/>
  <c r="B106" i="21"/>
  <c r="X105" i="21"/>
  <c r="T105" i="21"/>
  <c r="P105" i="21"/>
  <c r="H105" i="21"/>
  <c r="D105" i="21"/>
  <c r="L105" i="21" s="1"/>
  <c r="B105" i="21"/>
  <c r="Z104" i="21"/>
  <c r="X104" i="21"/>
  <c r="V104" i="21"/>
  <c r="N104" i="21"/>
  <c r="L104" i="21"/>
  <c r="B104" i="21"/>
  <c r="X103" i="21"/>
  <c r="Z103" i="21" s="1"/>
  <c r="L103" i="21"/>
  <c r="N103" i="21" s="1"/>
  <c r="B103" i="21"/>
  <c r="Z102" i="21"/>
  <c r="X102" i="21"/>
  <c r="N102" i="21"/>
  <c r="L102" i="21"/>
  <c r="B102" i="21"/>
  <c r="X101" i="21"/>
  <c r="Z101" i="21" s="1"/>
  <c r="N101" i="21"/>
  <c r="L101" i="21"/>
  <c r="B101" i="21"/>
  <c r="Z100" i="21"/>
  <c r="X100" i="21"/>
  <c r="V100" i="21"/>
  <c r="N100" i="21"/>
  <c r="L100" i="21"/>
  <c r="B100" i="21"/>
  <c r="X99" i="21"/>
  <c r="Z99" i="21" s="1"/>
  <c r="N99" i="21"/>
  <c r="L99" i="21"/>
  <c r="B99" i="21"/>
  <c r="X98" i="21"/>
  <c r="Z98" i="21" s="1"/>
  <c r="N98" i="21"/>
  <c r="L98" i="21"/>
  <c r="B98" i="21"/>
  <c r="X97" i="21"/>
  <c r="Z97" i="21" s="1"/>
  <c r="N97" i="21"/>
  <c r="L97" i="21"/>
  <c r="B97" i="21"/>
  <c r="Z96" i="21"/>
  <c r="V96" i="21"/>
  <c r="T96" i="21"/>
  <c r="P96" i="21"/>
  <c r="X96" i="21" s="1"/>
  <c r="L96" i="21"/>
  <c r="H96" i="21"/>
  <c r="N96" i="21" s="1"/>
  <c r="D96" i="21"/>
  <c r="B96" i="21"/>
  <c r="X95" i="21"/>
  <c r="Z95" i="21" s="1"/>
  <c r="N95" i="21"/>
  <c r="L95" i="21"/>
  <c r="B95" i="21"/>
  <c r="X94" i="21"/>
  <c r="Z94" i="21" s="1"/>
  <c r="V94" i="21"/>
  <c r="T94" i="21"/>
  <c r="P94" i="21"/>
  <c r="H94" i="21"/>
  <c r="D94" i="21"/>
  <c r="B94" i="21"/>
  <c r="X93" i="21"/>
  <c r="Z93" i="21" s="1"/>
  <c r="N93" i="21"/>
  <c r="L93" i="21"/>
  <c r="B93" i="21"/>
  <c r="Z92" i="21"/>
  <c r="X92" i="21"/>
  <c r="N92" i="21"/>
  <c r="L92" i="21"/>
  <c r="B92" i="21"/>
  <c r="Z91" i="21"/>
  <c r="X91" i="21"/>
  <c r="L91" i="21"/>
  <c r="N91" i="21" s="1"/>
  <c r="B91" i="21"/>
  <c r="Z90" i="21"/>
  <c r="X90" i="21"/>
  <c r="L90" i="21"/>
  <c r="N90" i="21" s="1"/>
  <c r="B90" i="21"/>
  <c r="Z89" i="21"/>
  <c r="X89" i="21"/>
  <c r="N89" i="21"/>
  <c r="L89" i="21"/>
  <c r="B89" i="21"/>
  <c r="T88" i="21"/>
  <c r="P88" i="21"/>
  <c r="X88" i="21" s="1"/>
  <c r="Z88" i="21" s="1"/>
  <c r="H88" i="21"/>
  <c r="D88" i="21"/>
  <c r="L88" i="21" s="1"/>
  <c r="N88" i="21" s="1"/>
  <c r="B88" i="21"/>
  <c r="X87" i="21"/>
  <c r="Z87" i="21" s="1"/>
  <c r="L87" i="21"/>
  <c r="N87" i="21" s="1"/>
  <c r="B87" i="21"/>
  <c r="Z86" i="21"/>
  <c r="X86" i="21"/>
  <c r="N86" i="21"/>
  <c r="L86" i="21"/>
  <c r="B86" i="21"/>
  <c r="T85" i="21"/>
  <c r="P85" i="21"/>
  <c r="X85" i="21" s="1"/>
  <c r="H85" i="21"/>
  <c r="D85" i="21"/>
  <c r="B85" i="21"/>
  <c r="X84" i="21"/>
  <c r="Z84" i="21" s="1"/>
  <c r="N84" i="21"/>
  <c r="L84" i="21"/>
  <c r="B84" i="21"/>
  <c r="Z83" i="21"/>
  <c r="X83" i="21"/>
  <c r="N83" i="21"/>
  <c r="L83" i="21"/>
  <c r="B83" i="21"/>
  <c r="Z82" i="21"/>
  <c r="X82" i="21"/>
  <c r="V82" i="21"/>
  <c r="N82" i="21"/>
  <c r="L82" i="21"/>
  <c r="B82" i="21"/>
  <c r="T81" i="21"/>
  <c r="P81" i="21"/>
  <c r="X81" i="21" s="1"/>
  <c r="Z81" i="21" s="1"/>
  <c r="L81" i="21"/>
  <c r="H81" i="21"/>
  <c r="N81" i="21" s="1"/>
  <c r="D81" i="21"/>
  <c r="B81" i="21"/>
  <c r="Z80" i="21"/>
  <c r="X80" i="21"/>
  <c r="N80" i="21"/>
  <c r="L80" i="21"/>
  <c r="B80" i="21"/>
  <c r="T79" i="21"/>
  <c r="P79" i="21"/>
  <c r="X79" i="21" s="1"/>
  <c r="L79" i="21"/>
  <c r="H79" i="21"/>
  <c r="D79" i="21"/>
  <c r="B79" i="21"/>
  <c r="Z78" i="21"/>
  <c r="X78" i="21"/>
  <c r="N78" i="21"/>
  <c r="L78" i="21"/>
  <c r="B78" i="21"/>
  <c r="T77" i="21"/>
  <c r="Z77" i="21" s="1"/>
  <c r="P77" i="21"/>
  <c r="X77" i="21" s="1"/>
  <c r="H77" i="21"/>
  <c r="N77" i="21" s="1"/>
  <c r="D77" i="21"/>
  <c r="B77" i="21"/>
  <c r="Z76" i="21"/>
  <c r="X76" i="21"/>
  <c r="N76" i="21"/>
  <c r="L76" i="21"/>
  <c r="B76" i="21"/>
  <c r="X75" i="21"/>
  <c r="T75" i="21"/>
  <c r="Z75" i="21" s="1"/>
  <c r="P75" i="21"/>
  <c r="H75" i="21"/>
  <c r="D75" i="21"/>
  <c r="L75" i="21" s="1"/>
  <c r="N75" i="21" s="1"/>
  <c r="B75" i="21"/>
  <c r="Z74" i="21"/>
  <c r="X74" i="21"/>
  <c r="L74" i="21"/>
  <c r="N74" i="21" s="1"/>
  <c r="B74" i="21"/>
  <c r="X73" i="21"/>
  <c r="T73" i="21"/>
  <c r="Z73" i="21" s="1"/>
  <c r="P73" i="21"/>
  <c r="H73" i="21"/>
  <c r="N73" i="21" s="1"/>
  <c r="D73" i="21"/>
  <c r="L73" i="21" s="1"/>
  <c r="B73" i="21"/>
  <c r="Z72" i="21"/>
  <c r="X72" i="21"/>
  <c r="V72" i="21"/>
  <c r="N72" i="21"/>
  <c r="L72" i="21"/>
  <c r="B72" i="21"/>
  <c r="T71" i="21"/>
  <c r="P71" i="21"/>
  <c r="X71" i="21" s="1"/>
  <c r="H71" i="21"/>
  <c r="D71" i="21"/>
  <c r="L71" i="21" s="1"/>
  <c r="B71" i="21"/>
  <c r="Z70" i="21"/>
  <c r="X70" i="21"/>
  <c r="V70" i="21"/>
  <c r="N70" i="21"/>
  <c r="L70" i="21"/>
  <c r="B70" i="21"/>
  <c r="Z69" i="21"/>
  <c r="T69" i="21"/>
  <c r="P69" i="21"/>
  <c r="X69" i="21" s="1"/>
  <c r="L69" i="21"/>
  <c r="H69" i="21"/>
  <c r="N69" i="21" s="1"/>
  <c r="D69" i="21"/>
  <c r="B69" i="21"/>
  <c r="Z68" i="21"/>
  <c r="X68" i="21"/>
  <c r="N68" i="21"/>
  <c r="L68" i="21"/>
  <c r="B68" i="21"/>
  <c r="T67" i="21"/>
  <c r="Z67" i="21" s="1"/>
  <c r="P67" i="21"/>
  <c r="X67" i="21" s="1"/>
  <c r="L67" i="21"/>
  <c r="H67" i="21"/>
  <c r="D67" i="21"/>
  <c r="B67" i="21"/>
  <c r="X66" i="21"/>
  <c r="Z66" i="21" s="1"/>
  <c r="N66" i="21"/>
  <c r="L66" i="21"/>
  <c r="B66" i="21"/>
  <c r="T65" i="21"/>
  <c r="P65" i="21"/>
  <c r="X65" i="21" s="1"/>
  <c r="H65" i="21"/>
  <c r="D65" i="21"/>
  <c r="L65" i="21" s="1"/>
  <c r="B65" i="21"/>
  <c r="Z64" i="21"/>
  <c r="X64" i="21"/>
  <c r="N64" i="21"/>
  <c r="L64" i="21"/>
  <c r="B64" i="21"/>
  <c r="X63" i="21"/>
  <c r="T63" i="21"/>
  <c r="Z63" i="21" s="1"/>
  <c r="P63" i="21"/>
  <c r="N63" i="21"/>
  <c r="H63" i="21"/>
  <c r="D63" i="21"/>
  <c r="L63" i="21" s="1"/>
  <c r="B63" i="21"/>
  <c r="Z62" i="21"/>
  <c r="X62" i="21"/>
  <c r="L62" i="21"/>
  <c r="N62" i="21" s="1"/>
  <c r="B62" i="21"/>
  <c r="X61" i="21"/>
  <c r="Z61" i="21" s="1"/>
  <c r="L61" i="21"/>
  <c r="N61" i="21" s="1"/>
  <c r="B61" i="21"/>
  <c r="Z60" i="21"/>
  <c r="X60" i="21"/>
  <c r="N60" i="21"/>
  <c r="L60" i="21"/>
  <c r="B60" i="21"/>
  <c r="T59" i="21"/>
  <c r="Z59" i="21" s="1"/>
  <c r="P59" i="21"/>
  <c r="X59" i="21" s="1"/>
  <c r="L59" i="21"/>
  <c r="H59" i="21"/>
  <c r="N59" i="21" s="1"/>
  <c r="D59" i="21"/>
  <c r="B59" i="21"/>
  <c r="X58" i="21"/>
  <c r="Z58" i="21" s="1"/>
  <c r="N58" i="21"/>
  <c r="L58" i="21"/>
  <c r="B58" i="21"/>
  <c r="T57" i="21"/>
  <c r="P57" i="21"/>
  <c r="X57" i="21" s="1"/>
  <c r="H57" i="21"/>
  <c r="D57" i="21"/>
  <c r="L57" i="21" s="1"/>
  <c r="B57" i="21"/>
  <c r="Z56" i="21"/>
  <c r="X56" i="21"/>
  <c r="N56" i="21"/>
  <c r="L56" i="21"/>
  <c r="B56" i="21"/>
  <c r="X55" i="21"/>
  <c r="T55" i="21"/>
  <c r="Z55" i="21" s="1"/>
  <c r="P55" i="21"/>
  <c r="H55" i="21"/>
  <c r="D55" i="21"/>
  <c r="L55" i="21" s="1"/>
  <c r="B55" i="21"/>
  <c r="Z54" i="21"/>
  <c r="X54" i="21"/>
  <c r="L54" i="21"/>
  <c r="N54" i="21" s="1"/>
  <c r="B54" i="21"/>
  <c r="X53" i="21"/>
  <c r="T53" i="21"/>
  <c r="Z53" i="21" s="1"/>
  <c r="P53" i="21"/>
  <c r="H53" i="21"/>
  <c r="N53" i="21" s="1"/>
  <c r="D53" i="21"/>
  <c r="L53" i="21" s="1"/>
  <c r="B53" i="21"/>
  <c r="Z52" i="21"/>
  <c r="X52" i="21"/>
  <c r="V52" i="21"/>
  <c r="N52" i="21"/>
  <c r="L52" i="21"/>
  <c r="B52" i="21"/>
  <c r="Z51" i="21"/>
  <c r="X51" i="21"/>
  <c r="N51" i="21"/>
  <c r="L51" i="21"/>
  <c r="B51" i="21"/>
  <c r="X50" i="21"/>
  <c r="Z50" i="21" s="1"/>
  <c r="N50" i="21"/>
  <c r="L50" i="21"/>
  <c r="B50" i="21"/>
  <c r="X49" i="21"/>
  <c r="Z49" i="21" s="1"/>
  <c r="N49" i="21"/>
  <c r="L49" i="21"/>
  <c r="B49" i="21"/>
  <c r="Z48" i="21"/>
  <c r="X48" i="21"/>
  <c r="V48" i="21"/>
  <c r="N48" i="21"/>
  <c r="L48" i="21"/>
  <c r="B48" i="21"/>
  <c r="X47" i="21"/>
  <c r="Z47" i="21" s="1"/>
  <c r="L47" i="21"/>
  <c r="N47" i="21" s="1"/>
  <c r="B47" i="21"/>
  <c r="X46" i="21"/>
  <c r="Z46" i="21" s="1"/>
  <c r="N46" i="21"/>
  <c r="L46" i="21"/>
  <c r="B46" i="21"/>
  <c r="Z45" i="21"/>
  <c r="X45" i="21"/>
  <c r="N45" i="21"/>
  <c r="L45" i="21"/>
  <c r="B45" i="21"/>
  <c r="Z44" i="21"/>
  <c r="X44" i="21"/>
  <c r="V44" i="21"/>
  <c r="N44" i="21"/>
  <c r="L44" i="21"/>
  <c r="B44" i="21"/>
  <c r="X43" i="21"/>
  <c r="Z43" i="21" s="1"/>
  <c r="L43" i="21"/>
  <c r="N43" i="21" s="1"/>
  <c r="B43" i="21"/>
  <c r="X42" i="21"/>
  <c r="Z42" i="21" s="1"/>
  <c r="T42" i="21"/>
  <c r="P42" i="21"/>
  <c r="H42" i="21"/>
  <c r="D42" i="21"/>
  <c r="L42" i="21" s="1"/>
  <c r="N42" i="21" s="1"/>
  <c r="B42" i="21"/>
  <c r="X41" i="21"/>
  <c r="Z41" i="21" s="1"/>
  <c r="N41" i="21"/>
  <c r="L41" i="21"/>
  <c r="B41" i="21"/>
  <c r="X40" i="21"/>
  <c r="Z40" i="21" s="1"/>
  <c r="N40" i="21"/>
  <c r="L40" i="21"/>
  <c r="B40" i="21"/>
  <c r="X39" i="21"/>
  <c r="Z39" i="21" s="1"/>
  <c r="N39" i="21"/>
  <c r="L39" i="21"/>
  <c r="B39" i="21"/>
  <c r="Z38" i="21"/>
  <c r="X38" i="21"/>
  <c r="V38" i="21"/>
  <c r="N38" i="21"/>
  <c r="L38" i="21"/>
  <c r="B38" i="21"/>
  <c r="X37" i="21"/>
  <c r="Z37" i="21" s="1"/>
  <c r="L37" i="21"/>
  <c r="N37" i="21" s="1"/>
  <c r="B37" i="21"/>
  <c r="X36" i="21"/>
  <c r="Z36" i="21" s="1"/>
  <c r="N36" i="21"/>
  <c r="L36" i="21"/>
  <c r="B36" i="21"/>
  <c r="X35" i="21"/>
  <c r="Z35" i="21" s="1"/>
  <c r="N35" i="21"/>
  <c r="L35" i="21"/>
  <c r="B35" i="21"/>
  <c r="Z34" i="21"/>
  <c r="X34" i="21"/>
  <c r="V34" i="21"/>
  <c r="N34" i="21"/>
  <c r="L34" i="21"/>
  <c r="B34" i="21"/>
  <c r="X33" i="21"/>
  <c r="Z33" i="21" s="1"/>
  <c r="L33" i="21"/>
  <c r="N33" i="21" s="1"/>
  <c r="B33" i="21"/>
  <c r="T32" i="21"/>
  <c r="Z32" i="21" s="1"/>
  <c r="P32" i="21"/>
  <c r="X32" i="21" s="1"/>
  <c r="J32" i="21"/>
  <c r="H32" i="21"/>
  <c r="D32" i="21"/>
  <c r="L32" i="21" s="1"/>
  <c r="N32" i="21" s="1"/>
  <c r="B32" i="21"/>
  <c r="T31" i="21"/>
  <c r="P31" i="21"/>
  <c r="X31" i="21" s="1"/>
  <c r="L31" i="21"/>
  <c r="H31" i="21"/>
  <c r="N31" i="21" s="1"/>
  <c r="D31" i="21"/>
  <c r="Z27" i="21"/>
  <c r="X27" i="21"/>
  <c r="N27" i="21"/>
  <c r="L27" i="21"/>
  <c r="B27" i="21"/>
  <c r="Z26" i="21"/>
  <c r="X26" i="21"/>
  <c r="N26" i="21"/>
  <c r="L26" i="21"/>
  <c r="B26" i="21"/>
  <c r="X25" i="21"/>
  <c r="Z25" i="21" s="1"/>
  <c r="L25" i="21"/>
  <c r="N25" i="21" s="1"/>
  <c r="B25" i="21"/>
  <c r="Z24" i="21"/>
  <c r="X24" i="21"/>
  <c r="V24" i="21"/>
  <c r="T24" i="21"/>
  <c r="P24" i="21"/>
  <c r="H24" i="21"/>
  <c r="D24" i="21"/>
  <c r="L24" i="21" s="1"/>
  <c r="N24" i="21" s="1"/>
  <c r="Z22" i="21"/>
  <c r="P22" i="21"/>
  <c r="X22" i="21" s="1"/>
  <c r="N22" i="21"/>
  <c r="L22" i="21"/>
  <c r="D22" i="21"/>
  <c r="B22" i="21"/>
  <c r="Z21" i="21"/>
  <c r="X21" i="21"/>
  <c r="P21" i="21"/>
  <c r="N21" i="21"/>
  <c r="D21" i="21"/>
  <c r="L21" i="21" s="1"/>
  <c r="B21" i="21"/>
  <c r="Z20" i="21"/>
  <c r="P20" i="21"/>
  <c r="X20" i="21" s="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P18" i="21"/>
  <c r="X18" i="21" s="1"/>
  <c r="N18" i="21"/>
  <c r="L18" i="21"/>
  <c r="D18" i="21"/>
  <c r="B18" i="21"/>
  <c r="X17" i="21"/>
  <c r="Z17" i="21" s="1"/>
  <c r="P17" i="21"/>
  <c r="D17" i="21"/>
  <c r="L17" i="21" s="1"/>
  <c r="N17" i="21" s="1"/>
  <c r="B17" i="21"/>
  <c r="Z16" i="21"/>
  <c r="P16" i="21"/>
  <c r="X16" i="21" s="1"/>
  <c r="N16" i="21"/>
  <c r="D16" i="21"/>
  <c r="L16" i="21" s="1"/>
  <c r="B16" i="21"/>
  <c r="Z15" i="21"/>
  <c r="X15" i="21"/>
  <c r="P15" i="21"/>
  <c r="N15" i="21"/>
  <c r="D15" i="21"/>
  <c r="L15" i="21" s="1"/>
  <c r="B15" i="21"/>
  <c r="Z14" i="21"/>
  <c r="P14" i="21"/>
  <c r="X14" i="21" s="1"/>
  <c r="N14" i="21"/>
  <c r="L14" i="21"/>
  <c r="D14" i="21"/>
  <c r="B14" i="21"/>
  <c r="X13" i="21"/>
  <c r="Z13" i="21" s="1"/>
  <c r="P13" i="21"/>
  <c r="D13" i="21"/>
  <c r="D12" i="21" s="1"/>
  <c r="F27" i="21" s="1"/>
  <c r="B13" i="21"/>
  <c r="T12" i="21"/>
  <c r="V105" i="21" s="1"/>
  <c r="H12" i="21"/>
  <c r="D4" i="21"/>
  <c r="X290" i="18"/>
  <c r="Z290" i="18" s="1"/>
  <c r="L290" i="18"/>
  <c r="N290" i="18" s="1"/>
  <c r="Z286" i="18"/>
  <c r="X286" i="18"/>
  <c r="P286" i="18"/>
  <c r="N286" i="18"/>
  <c r="D286" i="18"/>
  <c r="L286" i="18" s="1"/>
  <c r="B286" i="18"/>
  <c r="V285" i="18"/>
  <c r="P285" i="18"/>
  <c r="X285" i="18" s="1"/>
  <c r="Z285" i="18" s="1"/>
  <c r="L285" i="18"/>
  <c r="N285" i="18" s="1"/>
  <c r="D285" i="18"/>
  <c r="B285" i="18"/>
  <c r="Z284" i="18"/>
  <c r="X284" i="18"/>
  <c r="P284" i="18"/>
  <c r="N284" i="18"/>
  <c r="D284" i="18"/>
  <c r="L284" i="18" s="1"/>
  <c r="B284" i="18"/>
  <c r="V283" i="18"/>
  <c r="P283" i="18"/>
  <c r="X283" i="18" s="1"/>
  <c r="Z283" i="18" s="1"/>
  <c r="L283" i="18"/>
  <c r="N283" i="18" s="1"/>
  <c r="D283" i="18"/>
  <c r="B283" i="18"/>
  <c r="X282" i="18"/>
  <c r="Z282" i="18" s="1"/>
  <c r="P282" i="18"/>
  <c r="N282" i="18"/>
  <c r="L282" i="18"/>
  <c r="D282" i="18"/>
  <c r="B282" i="18"/>
  <c r="Z281" i="18"/>
  <c r="P281" i="18"/>
  <c r="X281" i="18" s="1"/>
  <c r="N281" i="18"/>
  <c r="L281" i="18"/>
  <c r="D281" i="18"/>
  <c r="B281" i="18"/>
  <c r="Z280" i="18"/>
  <c r="X280" i="18"/>
  <c r="P280" i="18"/>
  <c r="N280" i="18"/>
  <c r="J280" i="18"/>
  <c r="D280" i="18"/>
  <c r="L280" i="18" s="1"/>
  <c r="B280" i="18"/>
  <c r="Z279" i="18"/>
  <c r="P279" i="18"/>
  <c r="X279" i="18" s="1"/>
  <c r="N279" i="18"/>
  <c r="L279" i="18"/>
  <c r="D279" i="18"/>
  <c r="B279" i="18"/>
  <c r="Z278" i="18"/>
  <c r="X278" i="18"/>
  <c r="P278" i="18"/>
  <c r="N278" i="18"/>
  <c r="J278" i="18"/>
  <c r="D278" i="18"/>
  <c r="L278" i="18" s="1"/>
  <c r="B278" i="18"/>
  <c r="Z277" i="18"/>
  <c r="P277" i="18"/>
  <c r="X277" i="18" s="1"/>
  <c r="N277" i="18"/>
  <c r="L277" i="18"/>
  <c r="D277" i="18"/>
  <c r="B277" i="18"/>
  <c r="T276" i="18"/>
  <c r="H276" i="18"/>
  <c r="D276" i="18"/>
  <c r="L276" i="18" s="1"/>
  <c r="Z274" i="18"/>
  <c r="X274" i="18"/>
  <c r="L274" i="18"/>
  <c r="N274" i="18" s="1"/>
  <c r="B274" i="18"/>
  <c r="Z273" i="18"/>
  <c r="V273" i="18"/>
  <c r="T273" i="18"/>
  <c r="P273" i="18"/>
  <c r="X273" i="18" s="1"/>
  <c r="L273" i="18"/>
  <c r="N273" i="18" s="1"/>
  <c r="H273" i="18"/>
  <c r="D273" i="18"/>
  <c r="B273" i="18"/>
  <c r="X272" i="18"/>
  <c r="Z272" i="18" s="1"/>
  <c r="N272" i="18"/>
  <c r="L272" i="18"/>
  <c r="B272" i="18"/>
  <c r="Z271" i="18"/>
  <c r="X271" i="18"/>
  <c r="V271" i="18"/>
  <c r="N271" i="18"/>
  <c r="L271" i="18"/>
  <c r="B271" i="18"/>
  <c r="Z270" i="18"/>
  <c r="X270" i="18"/>
  <c r="N270" i="18"/>
  <c r="L270" i="18"/>
  <c r="B270" i="18"/>
  <c r="T269" i="18"/>
  <c r="P269" i="18"/>
  <c r="X269" i="18" s="1"/>
  <c r="J269" i="18"/>
  <c r="H269" i="18"/>
  <c r="D269" i="18"/>
  <c r="L269" i="18" s="1"/>
  <c r="N269" i="18" s="1"/>
  <c r="B269" i="18"/>
  <c r="X268" i="18"/>
  <c r="Z268" i="18" s="1"/>
  <c r="L268" i="18"/>
  <c r="N268" i="18" s="1"/>
  <c r="B268" i="18"/>
  <c r="Z267" i="18"/>
  <c r="X267" i="18"/>
  <c r="T267" i="18"/>
  <c r="P267" i="18"/>
  <c r="H267" i="18"/>
  <c r="D267" i="18"/>
  <c r="L267" i="18" s="1"/>
  <c r="N267" i="18" s="1"/>
  <c r="B267" i="18"/>
  <c r="Z266" i="18"/>
  <c r="X266" i="18"/>
  <c r="L266" i="18"/>
  <c r="N266" i="18" s="1"/>
  <c r="B266" i="18"/>
  <c r="Z265" i="18"/>
  <c r="X265" i="18"/>
  <c r="V265" i="18"/>
  <c r="L265" i="18"/>
  <c r="N265" i="18" s="1"/>
  <c r="B265" i="18"/>
  <c r="T264" i="18"/>
  <c r="P264" i="18"/>
  <c r="H264" i="18"/>
  <c r="D264" i="18"/>
  <c r="L264" i="18" s="1"/>
  <c r="N264" i="18" s="1"/>
  <c r="B264" i="18"/>
  <c r="Z263" i="18"/>
  <c r="X263" i="18"/>
  <c r="V263" i="18"/>
  <c r="N263" i="18"/>
  <c r="L263" i="18"/>
  <c r="B263" i="18"/>
  <c r="X262" i="18"/>
  <c r="Z262" i="18" s="1"/>
  <c r="L262" i="18"/>
  <c r="N262" i="18" s="1"/>
  <c r="B262" i="18"/>
  <c r="Z261" i="18"/>
  <c r="X261" i="18"/>
  <c r="N261" i="18"/>
  <c r="L261" i="18"/>
  <c r="B261" i="18"/>
  <c r="X260" i="18"/>
  <c r="Z260" i="18" s="1"/>
  <c r="L260" i="18"/>
  <c r="N260" i="18" s="1"/>
  <c r="B260" i="18"/>
  <c r="Z259" i="18"/>
  <c r="X259" i="18"/>
  <c r="V259" i="18"/>
  <c r="N259" i="18"/>
  <c r="L259" i="18"/>
  <c r="B259" i="18"/>
  <c r="X258" i="18"/>
  <c r="Z258" i="18" s="1"/>
  <c r="L258" i="18"/>
  <c r="N258" i="18" s="1"/>
  <c r="B258" i="18"/>
  <c r="X257" i="18"/>
  <c r="Z257" i="18" s="1"/>
  <c r="N257" i="18"/>
  <c r="L257" i="18"/>
  <c r="B257" i="18"/>
  <c r="X256" i="18"/>
  <c r="T256" i="18"/>
  <c r="Z256" i="18" s="1"/>
  <c r="P256" i="18"/>
  <c r="H256" i="18"/>
  <c r="D256" i="18"/>
  <c r="L256" i="18" s="1"/>
  <c r="B256" i="18"/>
  <c r="Z255" i="18"/>
  <c r="X255" i="18"/>
  <c r="N255" i="18"/>
  <c r="L255" i="18"/>
  <c r="B255" i="18"/>
  <c r="X254" i="18"/>
  <c r="Z254" i="18" s="1"/>
  <c r="N254" i="18"/>
  <c r="L254" i="18"/>
  <c r="B254" i="18"/>
  <c r="T253" i="18"/>
  <c r="P253" i="18"/>
  <c r="X253" i="18" s="1"/>
  <c r="Z253" i="18" s="1"/>
  <c r="N253" i="18"/>
  <c r="L253" i="18"/>
  <c r="H253" i="18"/>
  <c r="D253" i="18"/>
  <c r="B253" i="18"/>
  <c r="X252" i="18"/>
  <c r="Z252" i="18" s="1"/>
  <c r="L252" i="18"/>
  <c r="N252" i="18" s="1"/>
  <c r="B252" i="18"/>
  <c r="Z251" i="18"/>
  <c r="X251" i="18"/>
  <c r="N251" i="18"/>
  <c r="L251" i="18"/>
  <c r="J251" i="18"/>
  <c r="B251" i="18"/>
  <c r="Z250" i="18"/>
  <c r="X250" i="18"/>
  <c r="L250" i="18"/>
  <c r="N250" i="18" s="1"/>
  <c r="B250" i="18"/>
  <c r="Z249" i="18"/>
  <c r="X249" i="18"/>
  <c r="V249" i="18"/>
  <c r="L249" i="18"/>
  <c r="N249" i="18" s="1"/>
  <c r="B249" i="18"/>
  <c r="T248" i="18"/>
  <c r="P248" i="18"/>
  <c r="H248" i="18"/>
  <c r="D248" i="18"/>
  <c r="L248" i="18" s="1"/>
  <c r="N248" i="18" s="1"/>
  <c r="B248" i="18"/>
  <c r="Z247" i="18"/>
  <c r="X247" i="18"/>
  <c r="V247" i="18"/>
  <c r="N247" i="18"/>
  <c r="L247" i="18"/>
  <c r="B247" i="18"/>
  <c r="X246" i="18"/>
  <c r="Z246" i="18" s="1"/>
  <c r="L246" i="18"/>
  <c r="N246" i="18" s="1"/>
  <c r="B246" i="18"/>
  <c r="X245" i="18"/>
  <c r="Z245" i="18" s="1"/>
  <c r="N245" i="18"/>
  <c r="L245" i="18"/>
  <c r="B245" i="18"/>
  <c r="X244" i="18"/>
  <c r="Z244" i="18" s="1"/>
  <c r="N244" i="18"/>
  <c r="L244" i="18"/>
  <c r="B244" i="18"/>
  <c r="V243" i="18"/>
  <c r="T243" i="18"/>
  <c r="P243" i="18"/>
  <c r="X243" i="18" s="1"/>
  <c r="Z243" i="18" s="1"/>
  <c r="L243" i="18"/>
  <c r="H243" i="18"/>
  <c r="N243" i="18" s="1"/>
  <c r="D243" i="18"/>
  <c r="B243" i="18"/>
  <c r="X242" i="18"/>
  <c r="Z242" i="18" s="1"/>
  <c r="N242" i="18"/>
  <c r="L242" i="18"/>
  <c r="B242" i="18"/>
  <c r="Z241" i="18"/>
  <c r="X241" i="18"/>
  <c r="N241" i="18"/>
  <c r="L241" i="18"/>
  <c r="J241" i="18"/>
  <c r="B241" i="18"/>
  <c r="Z240" i="18"/>
  <c r="X240" i="18"/>
  <c r="N240" i="18"/>
  <c r="L240" i="18"/>
  <c r="B240" i="18"/>
  <c r="T239" i="18"/>
  <c r="P239" i="18"/>
  <c r="X239" i="18" s="1"/>
  <c r="Z239" i="18" s="1"/>
  <c r="H239" i="18"/>
  <c r="D239" i="18"/>
  <c r="L239" i="18" s="1"/>
  <c r="N239" i="18" s="1"/>
  <c r="B239" i="18"/>
  <c r="Z238" i="18"/>
  <c r="X238" i="18"/>
  <c r="L238" i="18"/>
  <c r="N238" i="18" s="1"/>
  <c r="B238" i="18"/>
  <c r="Z237" i="18"/>
  <c r="V237" i="18"/>
  <c r="T237" i="18"/>
  <c r="P237" i="18"/>
  <c r="X237" i="18" s="1"/>
  <c r="H237" i="18"/>
  <c r="D237" i="18"/>
  <c r="L237" i="18" s="1"/>
  <c r="B237" i="18"/>
  <c r="X236" i="18"/>
  <c r="Z236" i="18" s="1"/>
  <c r="N236" i="18"/>
  <c r="L236" i="18"/>
  <c r="B236" i="18"/>
  <c r="V235" i="18"/>
  <c r="T235" i="18"/>
  <c r="P235" i="18"/>
  <c r="X235" i="18" s="1"/>
  <c r="Z235" i="18" s="1"/>
  <c r="L235" i="18"/>
  <c r="H235" i="18"/>
  <c r="N235" i="18" s="1"/>
  <c r="D235" i="18"/>
  <c r="B235" i="18"/>
  <c r="X234" i="18"/>
  <c r="Z234" i="18" s="1"/>
  <c r="N234" i="18"/>
  <c r="L234" i="18"/>
  <c r="B234" i="18"/>
  <c r="Z233" i="18"/>
  <c r="X233" i="18"/>
  <c r="T233" i="18"/>
  <c r="P233" i="18"/>
  <c r="N233" i="18"/>
  <c r="H233" i="18"/>
  <c r="D233" i="18"/>
  <c r="L233" i="18" s="1"/>
  <c r="B233" i="18"/>
  <c r="X232" i="18"/>
  <c r="Z232" i="18" s="1"/>
  <c r="L232" i="18"/>
  <c r="N232" i="18" s="1"/>
  <c r="B232" i="18"/>
  <c r="X231" i="18"/>
  <c r="T231" i="18"/>
  <c r="Z231" i="18" s="1"/>
  <c r="P231" i="18"/>
  <c r="J231" i="18"/>
  <c r="H231" i="18"/>
  <c r="D231" i="18"/>
  <c r="L231" i="18" s="1"/>
  <c r="N231" i="18" s="1"/>
  <c r="B231" i="18"/>
  <c r="X230" i="18"/>
  <c r="Z230" i="18" s="1"/>
  <c r="L230" i="18"/>
  <c r="N230" i="18" s="1"/>
  <c r="B230" i="18"/>
  <c r="T229" i="18"/>
  <c r="P229" i="18"/>
  <c r="J229" i="18"/>
  <c r="H229" i="18"/>
  <c r="D229" i="18"/>
  <c r="L229" i="18" s="1"/>
  <c r="N229" i="18" s="1"/>
  <c r="B229" i="18"/>
  <c r="Z228" i="18"/>
  <c r="X228" i="18"/>
  <c r="L228" i="18"/>
  <c r="N228" i="18" s="1"/>
  <c r="B228" i="18"/>
  <c r="Z227" i="18"/>
  <c r="X227" i="18"/>
  <c r="L227" i="18"/>
  <c r="N227" i="18" s="1"/>
  <c r="B227" i="18"/>
  <c r="X226" i="18"/>
  <c r="T226" i="18"/>
  <c r="P226" i="18"/>
  <c r="H226" i="18"/>
  <c r="N226" i="18" s="1"/>
  <c r="D226" i="18"/>
  <c r="L226" i="18" s="1"/>
  <c r="B226" i="18"/>
  <c r="Z225" i="18"/>
  <c r="X225" i="18"/>
  <c r="V225" i="18"/>
  <c r="L225" i="18"/>
  <c r="N225" i="18" s="1"/>
  <c r="B225" i="18"/>
  <c r="T224" i="18"/>
  <c r="P224" i="18"/>
  <c r="X224" i="18" s="1"/>
  <c r="H224" i="18"/>
  <c r="D224" i="18"/>
  <c r="L224" i="18" s="1"/>
  <c r="N224" i="18" s="1"/>
  <c r="B224" i="18"/>
  <c r="Z223" i="18"/>
  <c r="X223" i="18"/>
  <c r="V223" i="18"/>
  <c r="N223" i="18"/>
  <c r="L223" i="18"/>
  <c r="B223" i="18"/>
  <c r="T222" i="18"/>
  <c r="P222" i="18"/>
  <c r="X222" i="18" s="1"/>
  <c r="L222" i="18"/>
  <c r="H222" i="18"/>
  <c r="D222" i="18"/>
  <c r="B222" i="18"/>
  <c r="Z221" i="18"/>
  <c r="X221" i="18"/>
  <c r="N221" i="18"/>
  <c r="L221" i="18"/>
  <c r="J221" i="18"/>
  <c r="B221" i="18"/>
  <c r="X220" i="18"/>
  <c r="Z220" i="18" s="1"/>
  <c r="L220" i="18"/>
  <c r="N220" i="18" s="1"/>
  <c r="B220" i="18"/>
  <c r="Z219" i="18"/>
  <c r="T219" i="18"/>
  <c r="P219" i="18"/>
  <c r="X219" i="18" s="1"/>
  <c r="H219" i="18"/>
  <c r="D219" i="18"/>
  <c r="L219" i="18" s="1"/>
  <c r="N219" i="18" s="1"/>
  <c r="B219" i="18"/>
  <c r="Z218" i="18"/>
  <c r="X218" i="18"/>
  <c r="N218" i="18"/>
  <c r="L218" i="18"/>
  <c r="B218" i="18"/>
  <c r="Z217" i="18"/>
  <c r="X217" i="18"/>
  <c r="V217" i="18"/>
  <c r="N217" i="18"/>
  <c r="L217" i="18"/>
  <c r="B217" i="18"/>
  <c r="T216" i="18"/>
  <c r="P216" i="18"/>
  <c r="H216" i="18"/>
  <c r="N216" i="18" s="1"/>
  <c r="D216" i="18"/>
  <c r="L216" i="18" s="1"/>
  <c r="B216" i="18"/>
  <c r="Z215" i="18"/>
  <c r="X215" i="18"/>
  <c r="V215" i="18"/>
  <c r="N215" i="18"/>
  <c r="L215" i="18"/>
  <c r="B215" i="18"/>
  <c r="X214" i="18"/>
  <c r="Z214" i="18" s="1"/>
  <c r="L214" i="18"/>
  <c r="N214" i="18" s="1"/>
  <c r="B214" i="18"/>
  <c r="Z213" i="18"/>
  <c r="X213" i="18"/>
  <c r="N213" i="18"/>
  <c r="L213" i="18"/>
  <c r="B213" i="18"/>
  <c r="X212" i="18"/>
  <c r="Z212" i="18" s="1"/>
  <c r="L212" i="18"/>
  <c r="N212" i="18" s="1"/>
  <c r="B212" i="18"/>
  <c r="V211" i="18"/>
  <c r="T211" i="18"/>
  <c r="P211" i="18"/>
  <c r="X211" i="18" s="1"/>
  <c r="Z211" i="18" s="1"/>
  <c r="H211" i="18"/>
  <c r="D211" i="18"/>
  <c r="L211" i="18" s="1"/>
  <c r="B211" i="18"/>
  <c r="X210" i="18"/>
  <c r="Z210" i="18" s="1"/>
  <c r="N210" i="18"/>
  <c r="L210" i="18"/>
  <c r="B210" i="18"/>
  <c r="Z209" i="18"/>
  <c r="X209" i="18"/>
  <c r="T209" i="18"/>
  <c r="P209" i="18"/>
  <c r="N209" i="18"/>
  <c r="H209" i="18"/>
  <c r="D209" i="18"/>
  <c r="L209" i="18" s="1"/>
  <c r="B209" i="18"/>
  <c r="X208" i="18"/>
  <c r="Z208" i="18" s="1"/>
  <c r="L208" i="18"/>
  <c r="N208" i="18" s="1"/>
  <c r="B208" i="18"/>
  <c r="X207" i="18"/>
  <c r="Z207" i="18" s="1"/>
  <c r="N207" i="18"/>
  <c r="L207" i="18"/>
  <c r="J207" i="18"/>
  <c r="B207" i="18"/>
  <c r="T206" i="18"/>
  <c r="P206" i="18"/>
  <c r="X206" i="18" s="1"/>
  <c r="H206" i="18"/>
  <c r="D206" i="18"/>
  <c r="B206" i="18"/>
  <c r="X205" i="18"/>
  <c r="Z205" i="18" s="1"/>
  <c r="N205" i="18"/>
  <c r="L205" i="18"/>
  <c r="B205" i="18"/>
  <c r="X204" i="18"/>
  <c r="T204" i="18"/>
  <c r="P204" i="18"/>
  <c r="H204" i="18"/>
  <c r="D204" i="18"/>
  <c r="L204" i="18" s="1"/>
  <c r="B204" i="18"/>
  <c r="Z203" i="18"/>
  <c r="X203" i="18"/>
  <c r="N203" i="18"/>
  <c r="L203" i="18"/>
  <c r="B203" i="18"/>
  <c r="Z202" i="18"/>
  <c r="X202" i="18"/>
  <c r="N202" i="18"/>
  <c r="L202" i="18"/>
  <c r="B202" i="18"/>
  <c r="Z201" i="18"/>
  <c r="X201" i="18"/>
  <c r="N201" i="18"/>
  <c r="L201" i="18"/>
  <c r="J201" i="18"/>
  <c r="B201" i="18"/>
  <c r="X200" i="18"/>
  <c r="Z200" i="18" s="1"/>
  <c r="L200" i="18"/>
  <c r="N200" i="18" s="1"/>
  <c r="B200" i="18"/>
  <c r="Z199" i="18"/>
  <c r="X199" i="18"/>
  <c r="N199" i="18"/>
  <c r="L199" i="18"/>
  <c r="B199" i="18"/>
  <c r="X198" i="18"/>
  <c r="Z198" i="18" s="1"/>
  <c r="L198" i="18"/>
  <c r="N198" i="18" s="1"/>
  <c r="B198" i="18"/>
  <c r="Z197" i="18"/>
  <c r="X197" i="18"/>
  <c r="N197" i="18"/>
  <c r="L197" i="18"/>
  <c r="J197" i="18"/>
  <c r="B197" i="18"/>
  <c r="Z196" i="18"/>
  <c r="X196" i="18"/>
  <c r="N196" i="18"/>
  <c r="L196" i="18"/>
  <c r="B196" i="18"/>
  <c r="Z195" i="18"/>
  <c r="X195" i="18"/>
  <c r="L195" i="18"/>
  <c r="N195" i="18" s="1"/>
  <c r="B195" i="18"/>
  <c r="X194" i="18"/>
  <c r="Z194" i="18" s="1"/>
  <c r="L194" i="18"/>
  <c r="N194" i="18" s="1"/>
  <c r="B194" i="18"/>
  <c r="T193" i="18"/>
  <c r="P193" i="18"/>
  <c r="X193" i="18" s="1"/>
  <c r="Z193" i="18" s="1"/>
  <c r="H193" i="18"/>
  <c r="D193" i="18"/>
  <c r="L193" i="18" s="1"/>
  <c r="N193" i="18" s="1"/>
  <c r="B193" i="18"/>
  <c r="X192" i="18"/>
  <c r="Z192" i="18" s="1"/>
  <c r="L192" i="18"/>
  <c r="N192" i="18" s="1"/>
  <c r="B192" i="18"/>
  <c r="X191" i="18"/>
  <c r="Z191" i="18" s="1"/>
  <c r="N191" i="18"/>
  <c r="L191" i="18"/>
  <c r="J191" i="18"/>
  <c r="B191" i="18"/>
  <c r="X190" i="18"/>
  <c r="Z190" i="18" s="1"/>
  <c r="N190" i="18"/>
  <c r="L190" i="18"/>
  <c r="B190" i="18"/>
  <c r="Z189" i="18"/>
  <c r="X189" i="18"/>
  <c r="V189" i="18"/>
  <c r="N189" i="18"/>
  <c r="L189" i="18"/>
  <c r="B189" i="18"/>
  <c r="Z188" i="18"/>
  <c r="X188" i="18"/>
  <c r="N188" i="18"/>
  <c r="L188" i="18"/>
  <c r="B188" i="18"/>
  <c r="X187" i="18"/>
  <c r="Z187" i="18" s="1"/>
  <c r="N187" i="18"/>
  <c r="L187" i="18"/>
  <c r="J187" i="18"/>
  <c r="B187" i="18"/>
  <c r="X186" i="18"/>
  <c r="Z186" i="18" s="1"/>
  <c r="N186" i="18"/>
  <c r="L186" i="18"/>
  <c r="B186" i="18"/>
  <c r="Z185" i="18"/>
  <c r="X185" i="18"/>
  <c r="V185" i="18"/>
  <c r="L185" i="18"/>
  <c r="N185" i="18" s="1"/>
  <c r="B185" i="18"/>
  <c r="X184" i="18"/>
  <c r="Z184" i="18" s="1"/>
  <c r="L184" i="18"/>
  <c r="N184" i="18" s="1"/>
  <c r="B184" i="18"/>
  <c r="X183" i="18"/>
  <c r="Z183" i="18" s="1"/>
  <c r="N183" i="18"/>
  <c r="L183" i="18"/>
  <c r="J183" i="18"/>
  <c r="B183" i="18"/>
  <c r="T182" i="18"/>
  <c r="P182" i="18"/>
  <c r="X182" i="18" s="1"/>
  <c r="H182" i="18"/>
  <c r="D182" i="18"/>
  <c r="L182" i="18" s="1"/>
  <c r="B182" i="18"/>
  <c r="T181" i="18"/>
  <c r="P181" i="18"/>
  <c r="X181" i="18" s="1"/>
  <c r="J181" i="18"/>
  <c r="H181" i="18"/>
  <c r="D181" i="18"/>
  <c r="L181" i="18" s="1"/>
  <c r="N181" i="18" s="1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V175" i="18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V171" i="18"/>
  <c r="N171" i="18"/>
  <c r="L171" i="18"/>
  <c r="B171" i="18"/>
  <c r="Z170" i="18"/>
  <c r="X170" i="18"/>
  <c r="N170" i="18"/>
  <c r="L170" i="18"/>
  <c r="B170" i="18"/>
  <c r="Z169" i="18"/>
  <c r="X169" i="18"/>
  <c r="N169" i="18"/>
  <c r="L169" i="18"/>
  <c r="B169" i="18"/>
  <c r="Z168" i="18"/>
  <c r="X168" i="18"/>
  <c r="N168" i="18"/>
  <c r="L168" i="18"/>
  <c r="B168" i="18"/>
  <c r="Z167" i="18"/>
  <c r="X167" i="18"/>
  <c r="V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V163" i="18"/>
  <c r="N163" i="18"/>
  <c r="L163" i="18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V159" i="18"/>
  <c r="N159" i="18"/>
  <c r="L159" i="18"/>
  <c r="B159" i="18"/>
  <c r="Z158" i="18"/>
  <c r="X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V155" i="18"/>
  <c r="N155" i="18"/>
  <c r="L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V151" i="18"/>
  <c r="N151" i="18"/>
  <c r="L151" i="18"/>
  <c r="B151" i="18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V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V143" i="18"/>
  <c r="N143" i="18"/>
  <c r="L143" i="18"/>
  <c r="B143" i="18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V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V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V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V123" i="18"/>
  <c r="N123" i="18"/>
  <c r="L123" i="18"/>
  <c r="B123" i="18"/>
  <c r="Z122" i="18"/>
  <c r="X122" i="18"/>
  <c r="L122" i="18"/>
  <c r="N122" i="18" s="1"/>
  <c r="B122" i="18"/>
  <c r="T121" i="18"/>
  <c r="P121" i="18"/>
  <c r="X121" i="18" s="1"/>
  <c r="J121" i="18"/>
  <c r="H121" i="18"/>
  <c r="D121" i="18"/>
  <c r="L121" i="18" s="1"/>
  <c r="N121" i="18" s="1"/>
  <c r="Z119" i="18"/>
  <c r="P119" i="18"/>
  <c r="X119" i="18" s="1"/>
  <c r="N119" i="18"/>
  <c r="D119" i="18"/>
  <c r="L119" i="18" s="1"/>
  <c r="B119" i="18"/>
  <c r="Z118" i="18"/>
  <c r="X118" i="18"/>
  <c r="P118" i="18"/>
  <c r="N118" i="18"/>
  <c r="L118" i="18"/>
  <c r="D118" i="18"/>
  <c r="B118" i="18"/>
  <c r="Z117" i="18"/>
  <c r="X117" i="18"/>
  <c r="P117" i="18"/>
  <c r="N117" i="18"/>
  <c r="L117" i="18"/>
  <c r="D117" i="18"/>
  <c r="B117" i="18"/>
  <c r="Z116" i="18"/>
  <c r="X116" i="18"/>
  <c r="P116" i="18"/>
  <c r="N116" i="18"/>
  <c r="D116" i="18"/>
  <c r="L116" i="18" s="1"/>
  <c r="B116" i="18"/>
  <c r="Z115" i="18"/>
  <c r="X115" i="18"/>
  <c r="P115" i="18"/>
  <c r="N115" i="18"/>
  <c r="L115" i="18"/>
  <c r="D115" i="18"/>
  <c r="B115" i="18"/>
  <c r="Z114" i="18"/>
  <c r="P114" i="18"/>
  <c r="X114" i="18" s="1"/>
  <c r="N114" i="18"/>
  <c r="L114" i="18"/>
  <c r="D114" i="18"/>
  <c r="B114" i="18"/>
  <c r="Z113" i="18"/>
  <c r="P113" i="18"/>
  <c r="X113" i="18" s="1"/>
  <c r="N113" i="18"/>
  <c r="L113" i="18"/>
  <c r="D113" i="18"/>
  <c r="B113" i="18"/>
  <c r="Z112" i="18"/>
  <c r="P112" i="18"/>
  <c r="X112" i="18" s="1"/>
  <c r="N112" i="18"/>
  <c r="L112" i="18"/>
  <c r="D112" i="18"/>
  <c r="B112" i="18"/>
  <c r="Z111" i="18"/>
  <c r="P111" i="18"/>
  <c r="X111" i="18" s="1"/>
  <c r="N111" i="18"/>
  <c r="D111" i="18"/>
  <c r="L111" i="18" s="1"/>
  <c r="B111" i="18"/>
  <c r="Z110" i="18"/>
  <c r="P110" i="18"/>
  <c r="X110" i="18" s="1"/>
  <c r="N110" i="18"/>
  <c r="D110" i="18"/>
  <c r="L110" i="18" s="1"/>
  <c r="B110" i="18"/>
  <c r="Z109" i="18"/>
  <c r="X109" i="18"/>
  <c r="P109" i="18"/>
  <c r="N109" i="18"/>
  <c r="D109" i="18"/>
  <c r="L109" i="18" s="1"/>
  <c r="B109" i="18"/>
  <c r="Z108" i="18"/>
  <c r="X108" i="18"/>
  <c r="P108" i="18"/>
  <c r="N108" i="18"/>
  <c r="D108" i="18"/>
  <c r="L108" i="18" s="1"/>
  <c r="B108" i="18"/>
  <c r="Z107" i="18"/>
  <c r="P107" i="18"/>
  <c r="X107" i="18" s="1"/>
  <c r="N107" i="18"/>
  <c r="D107" i="18"/>
  <c r="L107" i="18" s="1"/>
  <c r="B107" i="18"/>
  <c r="Z106" i="18"/>
  <c r="X106" i="18"/>
  <c r="P106" i="18"/>
  <c r="N106" i="18"/>
  <c r="L106" i="18"/>
  <c r="D106" i="18"/>
  <c r="B106" i="18"/>
  <c r="Z105" i="18"/>
  <c r="X105" i="18"/>
  <c r="P105" i="18"/>
  <c r="N105" i="18"/>
  <c r="L105" i="18"/>
  <c r="D105" i="18"/>
  <c r="B105" i="18"/>
  <c r="Z104" i="18"/>
  <c r="X104" i="18"/>
  <c r="P104" i="18"/>
  <c r="N104" i="18"/>
  <c r="D104" i="18"/>
  <c r="L104" i="18" s="1"/>
  <c r="B104" i="18"/>
  <c r="Z103" i="18"/>
  <c r="X103" i="18"/>
  <c r="P103" i="18"/>
  <c r="N103" i="18"/>
  <c r="L103" i="18"/>
  <c r="D103" i="18"/>
  <c r="B103" i="18"/>
  <c r="Z102" i="18"/>
  <c r="P102" i="18"/>
  <c r="X102" i="18" s="1"/>
  <c r="N102" i="18"/>
  <c r="L102" i="18"/>
  <c r="D102" i="18"/>
  <c r="B102" i="18"/>
  <c r="Z101" i="18"/>
  <c r="P101" i="18"/>
  <c r="X101" i="18" s="1"/>
  <c r="N101" i="18"/>
  <c r="L101" i="18"/>
  <c r="D101" i="18"/>
  <c r="B101" i="18"/>
  <c r="Z100" i="18"/>
  <c r="P100" i="18"/>
  <c r="X100" i="18" s="1"/>
  <c r="N100" i="18"/>
  <c r="L100" i="18"/>
  <c r="D100" i="18"/>
  <c r="B100" i="18"/>
  <c r="Z99" i="18"/>
  <c r="P99" i="18"/>
  <c r="X99" i="18" s="1"/>
  <c r="N99" i="18"/>
  <c r="L99" i="18"/>
  <c r="D99" i="18"/>
  <c r="B99" i="18"/>
  <c r="Z98" i="18"/>
  <c r="P98" i="18"/>
  <c r="X98" i="18" s="1"/>
  <c r="N98" i="18"/>
  <c r="D98" i="18"/>
  <c r="L98" i="18" s="1"/>
  <c r="B98" i="18"/>
  <c r="Z97" i="18"/>
  <c r="X97" i="18"/>
  <c r="P97" i="18"/>
  <c r="N97" i="18"/>
  <c r="D97" i="18"/>
  <c r="L97" i="18" s="1"/>
  <c r="B97" i="18"/>
  <c r="Z96" i="18"/>
  <c r="X96" i="18"/>
  <c r="P96" i="18"/>
  <c r="N96" i="18"/>
  <c r="D96" i="18"/>
  <c r="L96" i="18" s="1"/>
  <c r="B96" i="18"/>
  <c r="Z95" i="18"/>
  <c r="P95" i="18"/>
  <c r="X95" i="18" s="1"/>
  <c r="N95" i="18"/>
  <c r="D95" i="18"/>
  <c r="L95" i="18" s="1"/>
  <c r="B95" i="18"/>
  <c r="Z94" i="18"/>
  <c r="X94" i="18"/>
  <c r="P94" i="18"/>
  <c r="N94" i="18"/>
  <c r="L94" i="18"/>
  <c r="D94" i="18"/>
  <c r="B94" i="18"/>
  <c r="Z93" i="18"/>
  <c r="X93" i="18"/>
  <c r="P93" i="18"/>
  <c r="N93" i="18"/>
  <c r="L93" i="18"/>
  <c r="D93" i="18"/>
  <c r="B93" i="18"/>
  <c r="Z92" i="18"/>
  <c r="X92" i="18"/>
  <c r="P92" i="18"/>
  <c r="N92" i="18"/>
  <c r="D92" i="18"/>
  <c r="L92" i="18" s="1"/>
  <c r="B92" i="18"/>
  <c r="Z91" i="18"/>
  <c r="X91" i="18"/>
  <c r="P91" i="18"/>
  <c r="N91" i="18"/>
  <c r="L91" i="18"/>
  <c r="D91" i="18"/>
  <c r="B91" i="18"/>
  <c r="Z90" i="18"/>
  <c r="P90" i="18"/>
  <c r="X90" i="18" s="1"/>
  <c r="N90" i="18"/>
  <c r="L90" i="18"/>
  <c r="D90" i="18"/>
  <c r="B90" i="18"/>
  <c r="Z89" i="18"/>
  <c r="P89" i="18"/>
  <c r="X89" i="18" s="1"/>
  <c r="N89" i="18"/>
  <c r="L89" i="18"/>
  <c r="D89" i="18"/>
  <c r="B89" i="18"/>
  <c r="Z88" i="18"/>
  <c r="P88" i="18"/>
  <c r="X88" i="18" s="1"/>
  <c r="N88" i="18"/>
  <c r="L88" i="18"/>
  <c r="D88" i="18"/>
  <c r="B88" i="18"/>
  <c r="Z87" i="18"/>
  <c r="P87" i="18"/>
  <c r="X87" i="18" s="1"/>
  <c r="N87" i="18"/>
  <c r="L87" i="18"/>
  <c r="D87" i="18"/>
  <c r="B87" i="18"/>
  <c r="Z86" i="18"/>
  <c r="P86" i="18"/>
  <c r="X86" i="18" s="1"/>
  <c r="N86" i="18"/>
  <c r="D86" i="18"/>
  <c r="L86" i="18" s="1"/>
  <c r="B86" i="18"/>
  <c r="Z85" i="18"/>
  <c r="X85" i="18"/>
  <c r="P85" i="18"/>
  <c r="N85" i="18"/>
  <c r="D85" i="18"/>
  <c r="L85" i="18" s="1"/>
  <c r="B85" i="18"/>
  <c r="Z84" i="18"/>
  <c r="X84" i="18"/>
  <c r="P84" i="18"/>
  <c r="N84" i="18"/>
  <c r="D84" i="18"/>
  <c r="L84" i="18" s="1"/>
  <c r="B84" i="18"/>
  <c r="Z83" i="18"/>
  <c r="P83" i="18"/>
  <c r="X83" i="18" s="1"/>
  <c r="N83" i="18"/>
  <c r="D83" i="18"/>
  <c r="L83" i="18" s="1"/>
  <c r="B83" i="18"/>
  <c r="Z82" i="18"/>
  <c r="X82" i="18"/>
  <c r="P82" i="18"/>
  <c r="N82" i="18"/>
  <c r="L82" i="18"/>
  <c r="D82" i="18"/>
  <c r="B82" i="18"/>
  <c r="Z81" i="18"/>
  <c r="X81" i="18"/>
  <c r="P81" i="18"/>
  <c r="N81" i="18"/>
  <c r="L81" i="18"/>
  <c r="D81" i="18"/>
  <c r="B81" i="18"/>
  <c r="Z80" i="18"/>
  <c r="X80" i="18"/>
  <c r="P80" i="18"/>
  <c r="N80" i="18"/>
  <c r="D80" i="18"/>
  <c r="L80" i="18" s="1"/>
  <c r="B80" i="18"/>
  <c r="Z79" i="18"/>
  <c r="X79" i="18"/>
  <c r="P79" i="18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L77" i="18"/>
  <c r="D77" i="18"/>
  <c r="B77" i="18"/>
  <c r="Z76" i="18"/>
  <c r="P76" i="18"/>
  <c r="X76" i="18" s="1"/>
  <c r="N76" i="18"/>
  <c r="L76" i="18"/>
  <c r="D76" i="18"/>
  <c r="B76" i="18"/>
  <c r="Z75" i="18"/>
  <c r="P75" i="18"/>
  <c r="X75" i="18" s="1"/>
  <c r="N75" i="18"/>
  <c r="D75" i="18"/>
  <c r="L75" i="18" s="1"/>
  <c r="B75" i="18"/>
  <c r="Z74" i="18"/>
  <c r="P74" i="18"/>
  <c r="X74" i="18" s="1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D72" i="18"/>
  <c r="L72" i="18" s="1"/>
  <c r="B72" i="18"/>
  <c r="Z71" i="18"/>
  <c r="P71" i="18"/>
  <c r="X71" i="18" s="1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X69" i="18"/>
  <c r="P69" i="18"/>
  <c r="N69" i="18"/>
  <c r="L69" i="18"/>
  <c r="D69" i="18"/>
  <c r="B69" i="18"/>
  <c r="Z68" i="18"/>
  <c r="X68" i="18"/>
  <c r="P68" i="18"/>
  <c r="N68" i="18"/>
  <c r="D68" i="18"/>
  <c r="L68" i="18" s="1"/>
  <c r="B68" i="18"/>
  <c r="Z67" i="18"/>
  <c r="X67" i="18"/>
  <c r="P67" i="18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L65" i="18"/>
  <c r="D65" i="18"/>
  <c r="B65" i="18"/>
  <c r="Z64" i="18"/>
  <c r="P64" i="18"/>
  <c r="X64" i="18" s="1"/>
  <c r="N64" i="18"/>
  <c r="L64" i="18"/>
  <c r="D64" i="18"/>
  <c r="B64" i="18"/>
  <c r="Z63" i="18"/>
  <c r="P63" i="18"/>
  <c r="X63" i="18" s="1"/>
  <c r="N63" i="18"/>
  <c r="D63" i="18"/>
  <c r="L63" i="18" s="1"/>
  <c r="B63" i="18"/>
  <c r="Z62" i="18"/>
  <c r="P62" i="18"/>
  <c r="X62" i="18" s="1"/>
  <c r="N62" i="18"/>
  <c r="D62" i="18"/>
  <c r="L62" i="18" s="1"/>
  <c r="B62" i="18"/>
  <c r="Z61" i="18"/>
  <c r="X61" i="18"/>
  <c r="P61" i="18"/>
  <c r="N61" i="18"/>
  <c r="D61" i="18"/>
  <c r="L61" i="18" s="1"/>
  <c r="B61" i="18"/>
  <c r="Z60" i="18"/>
  <c r="X60" i="18"/>
  <c r="P60" i="18"/>
  <c r="N60" i="18"/>
  <c r="D60" i="18"/>
  <c r="L60" i="18" s="1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L57" i="18"/>
  <c r="D57" i="18"/>
  <c r="B57" i="18"/>
  <c r="Z56" i="18"/>
  <c r="X56" i="18"/>
  <c r="P56" i="18"/>
  <c r="N56" i="18"/>
  <c r="D56" i="18"/>
  <c r="L56" i="18" s="1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P53" i="18"/>
  <c r="X53" i="18" s="1"/>
  <c r="N53" i="18"/>
  <c r="L53" i="18"/>
  <c r="D53" i="18"/>
  <c r="B53" i="18"/>
  <c r="Z52" i="18"/>
  <c r="P52" i="18"/>
  <c r="X52" i="18" s="1"/>
  <c r="N52" i="18"/>
  <c r="L52" i="18"/>
  <c r="D52" i="18"/>
  <c r="B52" i="18"/>
  <c r="Z51" i="18"/>
  <c r="P51" i="18"/>
  <c r="X51" i="18" s="1"/>
  <c r="N51" i="18"/>
  <c r="L51" i="18"/>
  <c r="D51" i="18"/>
  <c r="B51" i="18"/>
  <c r="P50" i="18"/>
  <c r="X50" i="18" s="1"/>
  <c r="Z50" i="18" s="1"/>
  <c r="D50" i="18"/>
  <c r="L50" i="18" s="1"/>
  <c r="N50" i="18" s="1"/>
  <c r="B50" i="18"/>
  <c r="Z49" i="18"/>
  <c r="X49" i="18"/>
  <c r="P49" i="18"/>
  <c r="N49" i="18"/>
  <c r="D49" i="18"/>
  <c r="L49" i="18" s="1"/>
  <c r="B49" i="18"/>
  <c r="Z48" i="18"/>
  <c r="X48" i="18"/>
  <c r="P48" i="18"/>
  <c r="N48" i="18"/>
  <c r="D48" i="18"/>
  <c r="L48" i="18" s="1"/>
  <c r="B48" i="18"/>
  <c r="Z47" i="18"/>
  <c r="P47" i="18"/>
  <c r="X47" i="18" s="1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X45" i="18"/>
  <c r="P45" i="18"/>
  <c r="N45" i="18"/>
  <c r="L45" i="18"/>
  <c r="D45" i="18"/>
  <c r="B45" i="18"/>
  <c r="Z44" i="18"/>
  <c r="X44" i="18"/>
  <c r="P44" i="18"/>
  <c r="N44" i="18"/>
  <c r="D44" i="18"/>
  <c r="L44" i="18" s="1"/>
  <c r="B44" i="18"/>
  <c r="Z43" i="18"/>
  <c r="X43" i="18"/>
  <c r="P43" i="18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P41" i="18"/>
  <c r="X41" i="18" s="1"/>
  <c r="N41" i="18"/>
  <c r="L41" i="18"/>
  <c r="D41" i="18"/>
  <c r="B41" i="18"/>
  <c r="Z40" i="18"/>
  <c r="P40" i="18"/>
  <c r="X40" i="18" s="1"/>
  <c r="N40" i="18"/>
  <c r="L40" i="18"/>
  <c r="D40" i="18"/>
  <c r="B40" i="18"/>
  <c r="Z39" i="18"/>
  <c r="P39" i="18"/>
  <c r="X39" i="18" s="1"/>
  <c r="N39" i="18"/>
  <c r="L39" i="18"/>
  <c r="D39" i="18"/>
  <c r="B39" i="18"/>
  <c r="Z38" i="18"/>
  <c r="P38" i="18"/>
  <c r="X38" i="18" s="1"/>
  <c r="N38" i="18"/>
  <c r="D38" i="18"/>
  <c r="L38" i="18" s="1"/>
  <c r="B38" i="18"/>
  <c r="Z37" i="18"/>
  <c r="X37" i="18"/>
  <c r="P37" i="18"/>
  <c r="N37" i="18"/>
  <c r="D37" i="18"/>
  <c r="L37" i="18" s="1"/>
  <c r="B37" i="18"/>
  <c r="Z36" i="18"/>
  <c r="X36" i="18"/>
  <c r="P36" i="18"/>
  <c r="N36" i="18"/>
  <c r="D36" i="18"/>
  <c r="L36" i="18" s="1"/>
  <c r="B36" i="18"/>
  <c r="Z35" i="18"/>
  <c r="P35" i="18"/>
  <c r="X35" i="18" s="1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X33" i="18"/>
  <c r="P33" i="18"/>
  <c r="N33" i="18"/>
  <c r="L33" i="18"/>
  <c r="D33" i="18"/>
  <c r="B33" i="18"/>
  <c r="Z32" i="18"/>
  <c r="X32" i="18"/>
  <c r="P32" i="18"/>
  <c r="N32" i="18"/>
  <c r="D32" i="18"/>
  <c r="L32" i="18" s="1"/>
  <c r="B32" i="18"/>
  <c r="Z31" i="18"/>
  <c r="X31" i="18"/>
  <c r="P31" i="18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L29" i="18"/>
  <c r="D29" i="18"/>
  <c r="B29" i="18"/>
  <c r="Z28" i="18"/>
  <c r="P28" i="18"/>
  <c r="X28" i="18" s="1"/>
  <c r="N28" i="18"/>
  <c r="L28" i="18"/>
  <c r="D28" i="18"/>
  <c r="B28" i="18"/>
  <c r="Z27" i="18"/>
  <c r="P27" i="18"/>
  <c r="X27" i="18" s="1"/>
  <c r="N27" i="18"/>
  <c r="L27" i="18"/>
  <c r="D27" i="18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X24" i="18"/>
  <c r="P24" i="18"/>
  <c r="N24" i="18"/>
  <c r="D24" i="18"/>
  <c r="L24" i="18" s="1"/>
  <c r="B24" i="18"/>
  <c r="Z23" i="18"/>
  <c r="P23" i="18"/>
  <c r="X23" i="18" s="1"/>
  <c r="N23" i="18"/>
  <c r="D23" i="18"/>
  <c r="L23" i="18" s="1"/>
  <c r="B23" i="18"/>
  <c r="Z22" i="18"/>
  <c r="X22" i="18"/>
  <c r="P22" i="18"/>
  <c r="N22" i="18"/>
  <c r="L22" i="18"/>
  <c r="D22" i="18"/>
  <c r="B22" i="18"/>
  <c r="Z21" i="18"/>
  <c r="X21" i="18"/>
  <c r="P21" i="18"/>
  <c r="N21" i="18"/>
  <c r="L21" i="18"/>
  <c r="D21" i="18"/>
  <c r="B21" i="18"/>
  <c r="Z20" i="18"/>
  <c r="X20" i="18"/>
  <c r="P20" i="18"/>
  <c r="N20" i="18"/>
  <c r="D20" i="18"/>
  <c r="L20" i="18" s="1"/>
  <c r="B20" i="18"/>
  <c r="Z19" i="18"/>
  <c r="X19" i="18"/>
  <c r="P19" i="18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P17" i="18"/>
  <c r="X17" i="18" s="1"/>
  <c r="N17" i="18"/>
  <c r="L17" i="18"/>
  <c r="D17" i="18"/>
  <c r="B17" i="18"/>
  <c r="Z16" i="18"/>
  <c r="P16" i="18"/>
  <c r="X16" i="18" s="1"/>
  <c r="N16" i="18"/>
  <c r="L16" i="18"/>
  <c r="D16" i="18"/>
  <c r="B16" i="18"/>
  <c r="Z15" i="18"/>
  <c r="P15" i="18"/>
  <c r="X15" i="18" s="1"/>
  <c r="N15" i="18"/>
  <c r="L15" i="18"/>
  <c r="D15" i="18"/>
  <c r="B15" i="18"/>
  <c r="Z14" i="18"/>
  <c r="P14" i="18"/>
  <c r="X14" i="18" s="1"/>
  <c r="N14" i="18"/>
  <c r="D14" i="18"/>
  <c r="L14" i="18" s="1"/>
  <c r="B14" i="18"/>
  <c r="Z13" i="18"/>
  <c r="X13" i="18"/>
  <c r="P13" i="18"/>
  <c r="D13" i="18"/>
  <c r="B13" i="18"/>
  <c r="T12" i="18"/>
  <c r="V284" i="18" s="1"/>
  <c r="H12" i="18"/>
  <c r="D4" i="18"/>
  <c r="X263" i="15"/>
  <c r="Z263" i="15" s="1"/>
  <c r="N263" i="15"/>
  <c r="L263" i="15"/>
  <c r="Z259" i="15"/>
  <c r="P259" i="15"/>
  <c r="X259" i="15" s="1"/>
  <c r="N259" i="15"/>
  <c r="D259" i="15"/>
  <c r="L259" i="15" s="1"/>
  <c r="B259" i="15"/>
  <c r="P258" i="15"/>
  <c r="X258" i="15" s="1"/>
  <c r="Z258" i="15" s="1"/>
  <c r="D258" i="15"/>
  <c r="B258" i="15"/>
  <c r="Z257" i="15"/>
  <c r="X257" i="15"/>
  <c r="P257" i="15"/>
  <c r="N257" i="15"/>
  <c r="L257" i="15"/>
  <c r="D257" i="15"/>
  <c r="B257" i="15"/>
  <c r="X256" i="15"/>
  <c r="Z256" i="15" s="1"/>
  <c r="P256" i="15"/>
  <c r="L256" i="15"/>
  <c r="N256" i="15" s="1"/>
  <c r="D256" i="15"/>
  <c r="B256" i="15"/>
  <c r="Z255" i="15"/>
  <c r="X255" i="15"/>
  <c r="P255" i="15"/>
  <c r="D255" i="15"/>
  <c r="L255" i="15" s="1"/>
  <c r="N255" i="15" s="1"/>
  <c r="B255" i="15"/>
  <c r="Z254" i="15"/>
  <c r="X254" i="15"/>
  <c r="P254" i="15"/>
  <c r="N254" i="15"/>
  <c r="D254" i="15"/>
  <c r="L254" i="15" s="1"/>
  <c r="B254" i="15"/>
  <c r="Z253" i="15"/>
  <c r="P253" i="15"/>
  <c r="N253" i="15"/>
  <c r="D253" i="15"/>
  <c r="L253" i="15" s="1"/>
  <c r="B253" i="15"/>
  <c r="Z252" i="15"/>
  <c r="P252" i="15"/>
  <c r="X252" i="15" s="1"/>
  <c r="N252" i="15"/>
  <c r="L252" i="15"/>
  <c r="D252" i="15"/>
  <c r="B252" i="15"/>
  <c r="T251" i="15"/>
  <c r="H251" i="15"/>
  <c r="X249" i="15"/>
  <c r="Z249" i="15" s="1"/>
  <c r="N249" i="15"/>
  <c r="L249" i="15"/>
  <c r="B249" i="15"/>
  <c r="T248" i="15"/>
  <c r="P248" i="15"/>
  <c r="X248" i="15" s="1"/>
  <c r="L248" i="15"/>
  <c r="H248" i="15"/>
  <c r="D248" i="15"/>
  <c r="B248" i="15"/>
  <c r="X247" i="15"/>
  <c r="Z247" i="15" s="1"/>
  <c r="N247" i="15"/>
  <c r="L247" i="15"/>
  <c r="B247" i="15"/>
  <c r="Z246" i="15"/>
  <c r="X246" i="15"/>
  <c r="N246" i="15"/>
  <c r="L246" i="15"/>
  <c r="B246" i="15"/>
  <c r="Z245" i="15"/>
  <c r="X245" i="15"/>
  <c r="N245" i="15"/>
  <c r="L245" i="15"/>
  <c r="B245" i="15"/>
  <c r="T244" i="15"/>
  <c r="P244" i="15"/>
  <c r="H244" i="15"/>
  <c r="D244" i="15"/>
  <c r="L244" i="15" s="1"/>
  <c r="N244" i="15" s="1"/>
  <c r="B244" i="15"/>
  <c r="X243" i="15"/>
  <c r="Z243" i="15" s="1"/>
  <c r="N243" i="15"/>
  <c r="L243" i="15"/>
  <c r="B243" i="15"/>
  <c r="T242" i="15"/>
  <c r="P242" i="15"/>
  <c r="X242" i="15" s="1"/>
  <c r="Z242" i="15" s="1"/>
  <c r="L242" i="15"/>
  <c r="N242" i="15" s="1"/>
  <c r="H242" i="15"/>
  <c r="D242" i="15"/>
  <c r="B242" i="15"/>
  <c r="Z241" i="15"/>
  <c r="X241" i="15"/>
  <c r="N241" i="15"/>
  <c r="L241" i="15"/>
  <c r="B241" i="15"/>
  <c r="X240" i="15"/>
  <c r="Z240" i="15" s="1"/>
  <c r="N240" i="15"/>
  <c r="L240" i="15"/>
  <c r="B240" i="15"/>
  <c r="T239" i="15"/>
  <c r="P239" i="15"/>
  <c r="X239" i="15" s="1"/>
  <c r="Z239" i="15" s="1"/>
  <c r="H239" i="15"/>
  <c r="D239" i="15"/>
  <c r="L239" i="15" s="1"/>
  <c r="N239" i="15" s="1"/>
  <c r="B239" i="15"/>
  <c r="X238" i="15"/>
  <c r="Z238" i="15" s="1"/>
  <c r="N238" i="15"/>
  <c r="L238" i="15"/>
  <c r="B238" i="15"/>
  <c r="Z237" i="15"/>
  <c r="X237" i="15"/>
  <c r="V237" i="15"/>
  <c r="N237" i="15"/>
  <c r="L237" i="15"/>
  <c r="B237" i="15"/>
  <c r="Z236" i="15"/>
  <c r="X236" i="15"/>
  <c r="L236" i="15"/>
  <c r="N236" i="15" s="1"/>
  <c r="B236" i="15"/>
  <c r="X235" i="15"/>
  <c r="Z235" i="15" s="1"/>
  <c r="L235" i="15"/>
  <c r="N235" i="15" s="1"/>
  <c r="B235" i="15"/>
  <c r="X234" i="15"/>
  <c r="Z234" i="15" s="1"/>
  <c r="N234" i="15"/>
  <c r="L234" i="15"/>
  <c r="B234" i="15"/>
  <c r="Z233" i="15"/>
  <c r="X233" i="15"/>
  <c r="N233" i="15"/>
  <c r="L233" i="15"/>
  <c r="B233" i="15"/>
  <c r="Z232" i="15"/>
  <c r="X232" i="15"/>
  <c r="L232" i="15"/>
  <c r="N232" i="15" s="1"/>
  <c r="B232" i="15"/>
  <c r="X231" i="15"/>
  <c r="T231" i="15"/>
  <c r="Z231" i="15" s="1"/>
  <c r="P231" i="15"/>
  <c r="N231" i="15"/>
  <c r="L231" i="15"/>
  <c r="H231" i="15"/>
  <c r="D231" i="15"/>
  <c r="B231" i="15"/>
  <c r="Z230" i="15"/>
  <c r="X230" i="15"/>
  <c r="L230" i="15"/>
  <c r="N230" i="15" s="1"/>
  <c r="B230" i="15"/>
  <c r="X229" i="15"/>
  <c r="Z229" i="15" s="1"/>
  <c r="N229" i="15"/>
  <c r="L229" i="15"/>
  <c r="B229" i="15"/>
  <c r="X228" i="15"/>
  <c r="Z228" i="15" s="1"/>
  <c r="T228" i="15"/>
  <c r="P228" i="15"/>
  <c r="H228" i="15"/>
  <c r="D228" i="15"/>
  <c r="L228" i="15" s="1"/>
  <c r="N228" i="15" s="1"/>
  <c r="B228" i="15"/>
  <c r="Z227" i="15"/>
  <c r="X227" i="15"/>
  <c r="L227" i="15"/>
  <c r="N227" i="15" s="1"/>
  <c r="B227" i="15"/>
  <c r="X226" i="15"/>
  <c r="Z226" i="15" s="1"/>
  <c r="N226" i="15"/>
  <c r="L226" i="15"/>
  <c r="B226" i="15"/>
  <c r="Z225" i="15"/>
  <c r="X225" i="15"/>
  <c r="N225" i="15"/>
  <c r="L225" i="15"/>
  <c r="B225" i="15"/>
  <c r="Z224" i="15"/>
  <c r="X224" i="15"/>
  <c r="L224" i="15"/>
  <c r="N224" i="15" s="1"/>
  <c r="B224" i="15"/>
  <c r="Z223" i="15"/>
  <c r="T223" i="15"/>
  <c r="P223" i="15"/>
  <c r="X223" i="15" s="1"/>
  <c r="H223" i="15"/>
  <c r="D223" i="15"/>
  <c r="L223" i="15" s="1"/>
  <c r="N223" i="15" s="1"/>
  <c r="B223" i="15"/>
  <c r="Z222" i="15"/>
  <c r="X222" i="15"/>
  <c r="N222" i="15"/>
  <c r="L222" i="15"/>
  <c r="B222" i="15"/>
  <c r="Z221" i="15"/>
  <c r="X221" i="15"/>
  <c r="N221" i="15"/>
  <c r="L221" i="15"/>
  <c r="B221" i="15"/>
  <c r="X220" i="15"/>
  <c r="Z220" i="15" s="1"/>
  <c r="L220" i="15"/>
  <c r="N220" i="15" s="1"/>
  <c r="B220" i="15"/>
  <c r="X219" i="15"/>
  <c r="Z219" i="15" s="1"/>
  <c r="L219" i="15"/>
  <c r="N219" i="15" s="1"/>
  <c r="J219" i="15"/>
  <c r="B219" i="15"/>
  <c r="T218" i="15"/>
  <c r="Z218" i="15" s="1"/>
  <c r="P218" i="15"/>
  <c r="X218" i="15" s="1"/>
  <c r="H218" i="15"/>
  <c r="D218" i="15"/>
  <c r="L218" i="15" s="1"/>
  <c r="B218" i="15"/>
  <c r="X217" i="15"/>
  <c r="Z217" i="15" s="1"/>
  <c r="N217" i="15"/>
  <c r="L217" i="15"/>
  <c r="B217" i="15"/>
  <c r="X216" i="15"/>
  <c r="Z216" i="15" s="1"/>
  <c r="N216" i="15"/>
  <c r="L216" i="15"/>
  <c r="B216" i="15"/>
  <c r="X215" i="15"/>
  <c r="Z215" i="15" s="1"/>
  <c r="N215" i="15"/>
  <c r="L215" i="15"/>
  <c r="B215" i="15"/>
  <c r="T214" i="15"/>
  <c r="P214" i="15"/>
  <c r="X214" i="15" s="1"/>
  <c r="Z214" i="15" s="1"/>
  <c r="L214" i="15"/>
  <c r="N214" i="15" s="1"/>
  <c r="H214" i="15"/>
  <c r="D214" i="15"/>
  <c r="B214" i="15"/>
  <c r="Z213" i="15"/>
  <c r="X213" i="15"/>
  <c r="N213" i="15"/>
  <c r="L213" i="15"/>
  <c r="B213" i="15"/>
  <c r="T212" i="15"/>
  <c r="X212" i="15" s="1"/>
  <c r="Z212" i="15" s="1"/>
  <c r="P212" i="15"/>
  <c r="L212" i="15"/>
  <c r="H212" i="15"/>
  <c r="D212" i="15"/>
  <c r="B212" i="15"/>
  <c r="X211" i="15"/>
  <c r="Z211" i="15" s="1"/>
  <c r="L211" i="15"/>
  <c r="N211" i="15" s="1"/>
  <c r="B211" i="15"/>
  <c r="T210" i="15"/>
  <c r="P210" i="15"/>
  <c r="X210" i="15" s="1"/>
  <c r="H210" i="15"/>
  <c r="D210" i="15"/>
  <c r="L210" i="15" s="1"/>
  <c r="B210" i="15"/>
  <c r="X209" i="15"/>
  <c r="Z209" i="15" s="1"/>
  <c r="N209" i="15"/>
  <c r="L209" i="15"/>
  <c r="B209" i="15"/>
  <c r="X208" i="15"/>
  <c r="T208" i="15"/>
  <c r="P208" i="15"/>
  <c r="H208" i="15"/>
  <c r="D208" i="15"/>
  <c r="L208" i="15" s="1"/>
  <c r="N208" i="15" s="1"/>
  <c r="B208" i="15"/>
  <c r="Z207" i="15"/>
  <c r="X207" i="15"/>
  <c r="L207" i="15"/>
  <c r="N207" i="15" s="1"/>
  <c r="B207" i="15"/>
  <c r="T206" i="15"/>
  <c r="P206" i="15"/>
  <c r="H206" i="15"/>
  <c r="D206" i="15"/>
  <c r="L206" i="15" s="1"/>
  <c r="N206" i="15" s="1"/>
  <c r="B206" i="15"/>
  <c r="Z205" i="15"/>
  <c r="X205" i="15"/>
  <c r="L205" i="15"/>
  <c r="N205" i="15" s="1"/>
  <c r="B205" i="15"/>
  <c r="T204" i="15"/>
  <c r="P204" i="15"/>
  <c r="H204" i="15"/>
  <c r="N204" i="15" s="1"/>
  <c r="D204" i="15"/>
  <c r="L204" i="15" s="1"/>
  <c r="B204" i="15"/>
  <c r="Z203" i="15"/>
  <c r="X203" i="15"/>
  <c r="N203" i="15"/>
  <c r="L203" i="15"/>
  <c r="B203" i="15"/>
  <c r="Z202" i="15"/>
  <c r="X202" i="15"/>
  <c r="L202" i="15"/>
  <c r="N202" i="15" s="1"/>
  <c r="B202" i="15"/>
  <c r="T201" i="15"/>
  <c r="P201" i="15"/>
  <c r="H201" i="15"/>
  <c r="D201" i="15"/>
  <c r="L201" i="15" s="1"/>
  <c r="N201" i="15" s="1"/>
  <c r="B201" i="15"/>
  <c r="Z200" i="15"/>
  <c r="X200" i="15"/>
  <c r="L200" i="15"/>
  <c r="N200" i="15" s="1"/>
  <c r="B200" i="15"/>
  <c r="Z199" i="15"/>
  <c r="T199" i="15"/>
  <c r="P199" i="15"/>
  <c r="X199" i="15" s="1"/>
  <c r="H199" i="15"/>
  <c r="D199" i="15"/>
  <c r="L199" i="15" s="1"/>
  <c r="N199" i="15" s="1"/>
  <c r="B199" i="15"/>
  <c r="X198" i="15"/>
  <c r="Z198" i="15" s="1"/>
  <c r="N198" i="15"/>
  <c r="L198" i="15"/>
  <c r="B198" i="15"/>
  <c r="Z197" i="15"/>
  <c r="T197" i="15"/>
  <c r="P197" i="15"/>
  <c r="X197" i="15" s="1"/>
  <c r="L197" i="15"/>
  <c r="N197" i="15" s="1"/>
  <c r="H197" i="15"/>
  <c r="D197" i="15"/>
  <c r="B197" i="15"/>
  <c r="Z196" i="15"/>
  <c r="X196" i="15"/>
  <c r="N196" i="15"/>
  <c r="L196" i="15"/>
  <c r="B196" i="15"/>
  <c r="X195" i="15"/>
  <c r="Z195" i="15" s="1"/>
  <c r="N195" i="15"/>
  <c r="L195" i="15"/>
  <c r="B195" i="15"/>
  <c r="T194" i="15"/>
  <c r="P194" i="15"/>
  <c r="X194" i="15" s="1"/>
  <c r="Z194" i="15" s="1"/>
  <c r="L194" i="15"/>
  <c r="N194" i="15" s="1"/>
  <c r="H194" i="15"/>
  <c r="D194" i="15"/>
  <c r="B194" i="15"/>
  <c r="Z193" i="15"/>
  <c r="X193" i="15"/>
  <c r="N193" i="15"/>
  <c r="L193" i="15"/>
  <c r="B193" i="15"/>
  <c r="Z192" i="15"/>
  <c r="X192" i="15"/>
  <c r="L192" i="15"/>
  <c r="N192" i="15" s="1"/>
  <c r="B192" i="15"/>
  <c r="Z191" i="15"/>
  <c r="T191" i="15"/>
  <c r="P191" i="15"/>
  <c r="X191" i="15" s="1"/>
  <c r="H191" i="15"/>
  <c r="D191" i="15"/>
  <c r="L191" i="15" s="1"/>
  <c r="N191" i="15" s="1"/>
  <c r="B191" i="15"/>
  <c r="X190" i="15"/>
  <c r="Z190" i="15" s="1"/>
  <c r="N190" i="15"/>
  <c r="L190" i="15"/>
  <c r="B190" i="15"/>
  <c r="Z189" i="15"/>
  <c r="X189" i="15"/>
  <c r="L189" i="15"/>
  <c r="N189" i="15" s="1"/>
  <c r="B189" i="15"/>
  <c r="X188" i="15"/>
  <c r="Z188" i="15" s="1"/>
  <c r="L188" i="15"/>
  <c r="N188" i="15" s="1"/>
  <c r="B188" i="15"/>
  <c r="X187" i="15"/>
  <c r="Z187" i="15" s="1"/>
  <c r="L187" i="15"/>
  <c r="N187" i="15" s="1"/>
  <c r="J187" i="15"/>
  <c r="B187" i="15"/>
  <c r="T186" i="15"/>
  <c r="Z186" i="15" s="1"/>
  <c r="P186" i="15"/>
  <c r="X186" i="15" s="1"/>
  <c r="H186" i="15"/>
  <c r="D186" i="15"/>
  <c r="L186" i="15" s="1"/>
  <c r="B186" i="15"/>
  <c r="X185" i="15"/>
  <c r="Z185" i="15" s="1"/>
  <c r="N185" i="15"/>
  <c r="L185" i="15"/>
  <c r="B185" i="15"/>
  <c r="X184" i="15"/>
  <c r="T184" i="15"/>
  <c r="Z184" i="15" s="1"/>
  <c r="P184" i="15"/>
  <c r="H184" i="15"/>
  <c r="D184" i="15"/>
  <c r="L184" i="15" s="1"/>
  <c r="N184" i="15" s="1"/>
  <c r="B184" i="15"/>
  <c r="Z183" i="15"/>
  <c r="X183" i="15"/>
  <c r="L183" i="15"/>
  <c r="N183" i="15" s="1"/>
  <c r="B183" i="15"/>
  <c r="X182" i="15"/>
  <c r="Z182" i="15" s="1"/>
  <c r="N182" i="15"/>
  <c r="L182" i="15"/>
  <c r="B182" i="15"/>
  <c r="T181" i="15"/>
  <c r="P181" i="15"/>
  <c r="X181" i="15" s="1"/>
  <c r="Z181" i="15" s="1"/>
  <c r="H181" i="15"/>
  <c r="D181" i="15"/>
  <c r="L181" i="15" s="1"/>
  <c r="N181" i="15" s="1"/>
  <c r="B181" i="15"/>
  <c r="X180" i="15"/>
  <c r="Z180" i="15" s="1"/>
  <c r="L180" i="15"/>
  <c r="N180" i="15" s="1"/>
  <c r="B180" i="15"/>
  <c r="X179" i="15"/>
  <c r="T179" i="15"/>
  <c r="Z179" i="15" s="1"/>
  <c r="P179" i="15"/>
  <c r="H179" i="15"/>
  <c r="D179" i="15"/>
  <c r="L179" i="15" s="1"/>
  <c r="N179" i="15" s="1"/>
  <c r="B179" i="15"/>
  <c r="Z178" i="15"/>
  <c r="X178" i="15"/>
  <c r="N178" i="15"/>
  <c r="L178" i="15"/>
  <c r="B178" i="15"/>
  <c r="Z177" i="15"/>
  <c r="X177" i="15"/>
  <c r="N177" i="15"/>
  <c r="L177" i="15"/>
  <c r="B177" i="15"/>
  <c r="X176" i="15"/>
  <c r="Z176" i="15" s="1"/>
  <c r="L176" i="15"/>
  <c r="N176" i="15" s="1"/>
  <c r="B176" i="15"/>
  <c r="X175" i="15"/>
  <c r="Z175" i="15" s="1"/>
  <c r="V175" i="15"/>
  <c r="N175" i="15"/>
  <c r="L175" i="15"/>
  <c r="B175" i="15"/>
  <c r="Z174" i="15"/>
  <c r="X174" i="15"/>
  <c r="N174" i="15"/>
  <c r="L174" i="15"/>
  <c r="B174" i="15"/>
  <c r="X173" i="15"/>
  <c r="Z173" i="15" s="1"/>
  <c r="N173" i="15"/>
  <c r="L173" i="15"/>
  <c r="B173" i="15"/>
  <c r="X172" i="15"/>
  <c r="Z172" i="15" s="1"/>
  <c r="L172" i="15"/>
  <c r="N172" i="15" s="1"/>
  <c r="B172" i="15"/>
  <c r="Z171" i="15"/>
  <c r="X171" i="15"/>
  <c r="N171" i="15"/>
  <c r="L171" i="15"/>
  <c r="B171" i="15"/>
  <c r="Z170" i="15"/>
  <c r="X170" i="15"/>
  <c r="L170" i="15"/>
  <c r="N170" i="15" s="1"/>
  <c r="B170" i="15"/>
  <c r="X169" i="15"/>
  <c r="Z169" i="15" s="1"/>
  <c r="N169" i="15"/>
  <c r="L169" i="15"/>
  <c r="B169" i="15"/>
  <c r="X168" i="15"/>
  <c r="T168" i="15"/>
  <c r="P168" i="15"/>
  <c r="H168" i="15"/>
  <c r="D168" i="15"/>
  <c r="L168" i="15" s="1"/>
  <c r="N168" i="15" s="1"/>
  <c r="B168" i="15"/>
  <c r="Z167" i="15"/>
  <c r="X167" i="15"/>
  <c r="L167" i="15"/>
  <c r="N167" i="15" s="1"/>
  <c r="B167" i="15"/>
  <c r="X166" i="15"/>
  <c r="Z166" i="15" s="1"/>
  <c r="N166" i="15"/>
  <c r="L166" i="15"/>
  <c r="B166" i="15"/>
  <c r="Z165" i="15"/>
  <c r="X165" i="15"/>
  <c r="N165" i="15"/>
  <c r="L165" i="15"/>
  <c r="B165" i="15"/>
  <c r="Z164" i="15"/>
  <c r="X164" i="15"/>
  <c r="N164" i="15"/>
  <c r="L164" i="15"/>
  <c r="B164" i="15"/>
  <c r="Z163" i="15"/>
  <c r="X163" i="15"/>
  <c r="N163" i="15"/>
  <c r="L163" i="15"/>
  <c r="B163" i="15"/>
  <c r="X162" i="15"/>
  <c r="Z162" i="15" s="1"/>
  <c r="N162" i="15"/>
  <c r="L162" i="15"/>
  <c r="B162" i="15"/>
  <c r="Z161" i="15"/>
  <c r="X161" i="15"/>
  <c r="N161" i="15"/>
  <c r="L161" i="15"/>
  <c r="B161" i="15"/>
  <c r="X160" i="15"/>
  <c r="Z160" i="15" s="1"/>
  <c r="L160" i="15"/>
  <c r="N160" i="15" s="1"/>
  <c r="B160" i="15"/>
  <c r="Z159" i="15"/>
  <c r="X159" i="15"/>
  <c r="L159" i="15"/>
  <c r="N159" i="15" s="1"/>
  <c r="B159" i="15"/>
  <c r="X158" i="15"/>
  <c r="Z158" i="15" s="1"/>
  <c r="L158" i="15"/>
  <c r="N158" i="15" s="1"/>
  <c r="B158" i="15"/>
  <c r="T157" i="15"/>
  <c r="P157" i="15"/>
  <c r="X157" i="15" s="1"/>
  <c r="H157" i="15"/>
  <c r="D157" i="15"/>
  <c r="L157" i="15" s="1"/>
  <c r="N157" i="15" s="1"/>
  <c r="B157" i="15"/>
  <c r="T156" i="15"/>
  <c r="P156" i="15"/>
  <c r="H156" i="15"/>
  <c r="N156" i="15" s="1"/>
  <c r="D156" i="15"/>
  <c r="L156" i="15" s="1"/>
  <c r="Z152" i="15"/>
  <c r="X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Z149" i="15"/>
  <c r="X149" i="15"/>
  <c r="V149" i="15"/>
  <c r="N149" i="15"/>
  <c r="L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V145" i="15"/>
  <c r="N145" i="15"/>
  <c r="L145" i="15"/>
  <c r="B145" i="15"/>
  <c r="Z144" i="15"/>
  <c r="X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V141" i="15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N125" i="15"/>
  <c r="L125" i="15"/>
  <c r="J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V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X104" i="15"/>
  <c r="Z104" i="15" s="1"/>
  <c r="L104" i="15"/>
  <c r="N104" i="15" s="1"/>
  <c r="B104" i="15"/>
  <c r="X103" i="15"/>
  <c r="Z103" i="15" s="1"/>
  <c r="T103" i="15"/>
  <c r="P103" i="15"/>
  <c r="N103" i="15"/>
  <c r="L103" i="15"/>
  <c r="J103" i="15"/>
  <c r="H103" i="15"/>
  <c r="D103" i="15"/>
  <c r="Z101" i="15"/>
  <c r="P101" i="15"/>
  <c r="X101" i="15" s="1"/>
  <c r="N101" i="15"/>
  <c r="D101" i="15"/>
  <c r="L101" i="15" s="1"/>
  <c r="B101" i="15"/>
  <c r="Z100" i="15"/>
  <c r="X100" i="15"/>
  <c r="P100" i="15"/>
  <c r="N100" i="15"/>
  <c r="L100" i="15"/>
  <c r="D100" i="15"/>
  <c r="B100" i="15"/>
  <c r="Z99" i="15"/>
  <c r="X99" i="15"/>
  <c r="P99" i="15"/>
  <c r="N99" i="15"/>
  <c r="D99" i="15"/>
  <c r="L99" i="15" s="1"/>
  <c r="B99" i="15"/>
  <c r="Z98" i="15"/>
  <c r="P98" i="15"/>
  <c r="X98" i="15" s="1"/>
  <c r="N98" i="15"/>
  <c r="D98" i="15"/>
  <c r="L98" i="15" s="1"/>
  <c r="B98" i="15"/>
  <c r="Z97" i="15"/>
  <c r="P97" i="15"/>
  <c r="X97" i="15" s="1"/>
  <c r="N97" i="15"/>
  <c r="L97" i="15"/>
  <c r="D97" i="15"/>
  <c r="B97" i="15"/>
  <c r="Z96" i="15"/>
  <c r="X96" i="15"/>
  <c r="P96" i="15"/>
  <c r="N96" i="15"/>
  <c r="L96" i="15"/>
  <c r="D96" i="15"/>
  <c r="B96" i="15"/>
  <c r="Z95" i="15"/>
  <c r="P95" i="15"/>
  <c r="X95" i="15" s="1"/>
  <c r="N95" i="15"/>
  <c r="D95" i="15"/>
  <c r="L95" i="15" s="1"/>
  <c r="B95" i="15"/>
  <c r="Z94" i="15"/>
  <c r="P94" i="15"/>
  <c r="X94" i="15" s="1"/>
  <c r="N94" i="15"/>
  <c r="D94" i="15"/>
  <c r="L94" i="15" s="1"/>
  <c r="B94" i="15"/>
  <c r="Z93" i="15"/>
  <c r="P93" i="15"/>
  <c r="X93" i="15" s="1"/>
  <c r="N93" i="15"/>
  <c r="D93" i="15"/>
  <c r="L93" i="15" s="1"/>
  <c r="B93" i="15"/>
  <c r="Z92" i="15"/>
  <c r="P92" i="15"/>
  <c r="X92" i="15" s="1"/>
  <c r="N92" i="15"/>
  <c r="D92" i="15"/>
  <c r="L92" i="15" s="1"/>
  <c r="B92" i="15"/>
  <c r="Z91" i="15"/>
  <c r="P91" i="15"/>
  <c r="X91" i="15" s="1"/>
  <c r="N91" i="15"/>
  <c r="L91" i="15"/>
  <c r="D91" i="15"/>
  <c r="B91" i="15"/>
  <c r="Z90" i="15"/>
  <c r="P90" i="15"/>
  <c r="X90" i="15" s="1"/>
  <c r="N90" i="15"/>
  <c r="L90" i="15"/>
  <c r="D90" i="15"/>
  <c r="B90" i="15"/>
  <c r="Z89" i="15"/>
  <c r="P89" i="15"/>
  <c r="X89" i="15" s="1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X87" i="15"/>
  <c r="P87" i="15"/>
  <c r="N87" i="15"/>
  <c r="D87" i="15"/>
  <c r="L87" i="15" s="1"/>
  <c r="B87" i="15"/>
  <c r="Z86" i="15"/>
  <c r="P86" i="15"/>
  <c r="X86" i="15" s="1"/>
  <c r="N86" i="15"/>
  <c r="D86" i="15"/>
  <c r="L86" i="15" s="1"/>
  <c r="B86" i="15"/>
  <c r="Z85" i="15"/>
  <c r="P85" i="15"/>
  <c r="X85" i="15" s="1"/>
  <c r="N85" i="15"/>
  <c r="D85" i="15"/>
  <c r="L85" i="15" s="1"/>
  <c r="B85" i="15"/>
  <c r="Z84" i="15"/>
  <c r="X84" i="15"/>
  <c r="P84" i="15"/>
  <c r="N84" i="15"/>
  <c r="L84" i="15"/>
  <c r="D84" i="15"/>
  <c r="B84" i="15"/>
  <c r="Z83" i="15"/>
  <c r="P83" i="15"/>
  <c r="X83" i="15" s="1"/>
  <c r="N83" i="15"/>
  <c r="D83" i="15"/>
  <c r="L83" i="15" s="1"/>
  <c r="B83" i="15"/>
  <c r="Z82" i="15"/>
  <c r="X82" i="15"/>
  <c r="P82" i="15"/>
  <c r="N82" i="15"/>
  <c r="L82" i="15"/>
  <c r="D82" i="15"/>
  <c r="B82" i="15"/>
  <c r="Z81" i="15"/>
  <c r="X81" i="15"/>
  <c r="P81" i="15"/>
  <c r="N81" i="15"/>
  <c r="L81" i="15"/>
  <c r="D81" i="15"/>
  <c r="B81" i="15"/>
  <c r="Z80" i="15"/>
  <c r="P80" i="15"/>
  <c r="X80" i="15" s="1"/>
  <c r="N80" i="15"/>
  <c r="D80" i="15"/>
  <c r="L80" i="15" s="1"/>
  <c r="B80" i="15"/>
  <c r="Z79" i="15"/>
  <c r="P79" i="15"/>
  <c r="X79" i="15" s="1"/>
  <c r="N79" i="15"/>
  <c r="L79" i="15"/>
  <c r="D79" i="15"/>
  <c r="B79" i="15"/>
  <c r="Z78" i="15"/>
  <c r="P78" i="15"/>
  <c r="X78" i="15" s="1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P76" i="15"/>
  <c r="X76" i="15" s="1"/>
  <c r="N76" i="15"/>
  <c r="D76" i="15"/>
  <c r="L76" i="15" s="1"/>
  <c r="B76" i="15"/>
  <c r="Z75" i="15"/>
  <c r="X75" i="15"/>
  <c r="P75" i="15"/>
  <c r="N75" i="15"/>
  <c r="D75" i="15"/>
  <c r="L75" i="15" s="1"/>
  <c r="B75" i="15"/>
  <c r="Z74" i="15"/>
  <c r="P74" i="15"/>
  <c r="X74" i="15" s="1"/>
  <c r="N74" i="15"/>
  <c r="D74" i="15"/>
  <c r="L74" i="15" s="1"/>
  <c r="B74" i="15"/>
  <c r="Z73" i="15"/>
  <c r="X73" i="15"/>
  <c r="P73" i="15"/>
  <c r="N73" i="15"/>
  <c r="D73" i="15"/>
  <c r="L73" i="15" s="1"/>
  <c r="B73" i="15"/>
  <c r="Z72" i="15"/>
  <c r="X72" i="15"/>
  <c r="P72" i="15"/>
  <c r="N72" i="15"/>
  <c r="L72" i="15"/>
  <c r="D72" i="15"/>
  <c r="B72" i="15"/>
  <c r="Z71" i="15"/>
  <c r="P71" i="15"/>
  <c r="X71" i="15" s="1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L65" i="15"/>
  <c r="D65" i="15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D63" i="15"/>
  <c r="L63" i="15" s="1"/>
  <c r="B63" i="15"/>
  <c r="Z62" i="15"/>
  <c r="P62" i="15"/>
  <c r="X62" i="15" s="1"/>
  <c r="N62" i="15"/>
  <c r="D62" i="15"/>
  <c r="L62" i="15" s="1"/>
  <c r="B62" i="15"/>
  <c r="Z61" i="15"/>
  <c r="P61" i="15"/>
  <c r="X61" i="15" s="1"/>
  <c r="N61" i="15"/>
  <c r="D61" i="15"/>
  <c r="L61" i="15" s="1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X58" i="15"/>
  <c r="P58" i="15"/>
  <c r="N58" i="15"/>
  <c r="L58" i="15"/>
  <c r="D58" i="15"/>
  <c r="B58" i="15"/>
  <c r="Z57" i="15"/>
  <c r="X57" i="15"/>
  <c r="P57" i="15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L55" i="15"/>
  <c r="D55" i="15"/>
  <c r="B55" i="15"/>
  <c r="Z54" i="15"/>
  <c r="P54" i="15"/>
  <c r="X54" i="15" s="1"/>
  <c r="N54" i="15"/>
  <c r="L54" i="15"/>
  <c r="D54" i="15"/>
  <c r="B54" i="15"/>
  <c r="Z53" i="15"/>
  <c r="P53" i="15"/>
  <c r="X53" i="15" s="1"/>
  <c r="N53" i="15"/>
  <c r="L53" i="15"/>
  <c r="D53" i="15"/>
  <c r="B53" i="15"/>
  <c r="Z52" i="15"/>
  <c r="P52" i="15"/>
  <c r="X52" i="15" s="1"/>
  <c r="N52" i="15"/>
  <c r="D52" i="15"/>
  <c r="L52" i="15" s="1"/>
  <c r="B52" i="15"/>
  <c r="Z51" i="15"/>
  <c r="X51" i="15"/>
  <c r="P51" i="15"/>
  <c r="N51" i="15"/>
  <c r="D51" i="15"/>
  <c r="L51" i="15" s="1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D49" i="15"/>
  <c r="L49" i="15" s="1"/>
  <c r="B49" i="15"/>
  <c r="Z48" i="15"/>
  <c r="X48" i="15"/>
  <c r="P48" i="15"/>
  <c r="N48" i="15"/>
  <c r="L48" i="15"/>
  <c r="D48" i="15"/>
  <c r="B48" i="15"/>
  <c r="P47" i="15"/>
  <c r="X47" i="15" s="1"/>
  <c r="Z47" i="15" s="1"/>
  <c r="N47" i="15"/>
  <c r="L47" i="15"/>
  <c r="D47" i="15"/>
  <c r="B47" i="15"/>
  <c r="Z46" i="15"/>
  <c r="X46" i="15"/>
  <c r="P46" i="15"/>
  <c r="N46" i="15"/>
  <c r="L46" i="15"/>
  <c r="D46" i="15"/>
  <c r="B46" i="15"/>
  <c r="Z45" i="15"/>
  <c r="X45" i="15"/>
  <c r="P45" i="15"/>
  <c r="N45" i="15"/>
  <c r="L45" i="15"/>
  <c r="D45" i="15"/>
  <c r="B45" i="15"/>
  <c r="Z44" i="15"/>
  <c r="X44" i="15"/>
  <c r="P44" i="15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L42" i="15"/>
  <c r="D42" i="15"/>
  <c r="B42" i="15"/>
  <c r="Z41" i="15"/>
  <c r="P41" i="15"/>
  <c r="X41" i="15" s="1"/>
  <c r="N41" i="15"/>
  <c r="L41" i="15"/>
  <c r="D41" i="15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D39" i="15"/>
  <c r="L39" i="15" s="1"/>
  <c r="B39" i="15"/>
  <c r="Z38" i="15"/>
  <c r="P38" i="15"/>
  <c r="X38" i="15" s="1"/>
  <c r="N38" i="15"/>
  <c r="D38" i="15"/>
  <c r="L38" i="15" s="1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X35" i="15"/>
  <c r="P35" i="15"/>
  <c r="N35" i="15"/>
  <c r="L35" i="15"/>
  <c r="D35" i="15"/>
  <c r="B35" i="15"/>
  <c r="Z34" i="15"/>
  <c r="X34" i="15"/>
  <c r="P34" i="15"/>
  <c r="N34" i="15"/>
  <c r="L34" i="15"/>
  <c r="D34" i="15"/>
  <c r="B34" i="15"/>
  <c r="Z33" i="15"/>
  <c r="X33" i="15"/>
  <c r="P33" i="15"/>
  <c r="N33" i="15"/>
  <c r="L33" i="15"/>
  <c r="D33" i="15"/>
  <c r="B33" i="15"/>
  <c r="Z32" i="15"/>
  <c r="X32" i="15"/>
  <c r="P32" i="15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L30" i="15"/>
  <c r="D30" i="15"/>
  <c r="B30" i="15"/>
  <c r="Z29" i="15"/>
  <c r="P29" i="15"/>
  <c r="X29" i="15" s="1"/>
  <c r="N29" i="15"/>
  <c r="L29" i="15"/>
  <c r="D29" i="15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D27" i="15"/>
  <c r="L27" i="15" s="1"/>
  <c r="B27" i="15"/>
  <c r="Z26" i="15"/>
  <c r="X26" i="15"/>
  <c r="P26" i="15"/>
  <c r="N26" i="15"/>
  <c r="D26" i="15"/>
  <c r="L26" i="15" s="1"/>
  <c r="B26" i="15"/>
  <c r="Z25" i="15"/>
  <c r="P25" i="15"/>
  <c r="X25" i="15" s="1"/>
  <c r="N25" i="15"/>
  <c r="D25" i="15"/>
  <c r="L25" i="15" s="1"/>
  <c r="B25" i="15"/>
  <c r="Z24" i="15"/>
  <c r="X24" i="15"/>
  <c r="P24" i="15"/>
  <c r="N24" i="15"/>
  <c r="D24" i="15"/>
  <c r="L24" i="15" s="1"/>
  <c r="B24" i="15"/>
  <c r="Z23" i="15"/>
  <c r="X23" i="15"/>
  <c r="P23" i="15"/>
  <c r="N23" i="15"/>
  <c r="L23" i="15"/>
  <c r="D23" i="15"/>
  <c r="B23" i="15"/>
  <c r="Z22" i="15"/>
  <c r="X22" i="15"/>
  <c r="P22" i="15"/>
  <c r="N22" i="15"/>
  <c r="L22" i="15"/>
  <c r="D22" i="15"/>
  <c r="B22" i="15"/>
  <c r="Z21" i="15"/>
  <c r="X21" i="15"/>
  <c r="P21" i="15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L19" i="15"/>
  <c r="D19" i="15"/>
  <c r="B19" i="15"/>
  <c r="Z18" i="15"/>
  <c r="P18" i="15"/>
  <c r="X18" i="15" s="1"/>
  <c r="N18" i="15"/>
  <c r="L18" i="15"/>
  <c r="D18" i="15"/>
  <c r="B18" i="15"/>
  <c r="Z17" i="15"/>
  <c r="P17" i="15"/>
  <c r="X17" i="15" s="1"/>
  <c r="N17" i="15"/>
  <c r="L17" i="15"/>
  <c r="D17" i="15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D15" i="15"/>
  <c r="L15" i="15" s="1"/>
  <c r="B15" i="15"/>
  <c r="Z14" i="15"/>
  <c r="X14" i="15"/>
  <c r="P14" i="15"/>
  <c r="N14" i="15"/>
  <c r="D14" i="15"/>
  <c r="L14" i="15" s="1"/>
  <c r="B14" i="15"/>
  <c r="P13" i="15"/>
  <c r="X13" i="15" s="1"/>
  <c r="Z13" i="15" s="1"/>
  <c r="D13" i="15"/>
  <c r="B13" i="15"/>
  <c r="T12" i="15"/>
  <c r="P12" i="15"/>
  <c r="R130" i="15" s="1"/>
  <c r="H12" i="15"/>
  <c r="J241" i="15" s="1"/>
  <c r="D4" i="15"/>
  <c r="X276" i="12"/>
  <c r="Z276" i="12" s="1"/>
  <c r="N276" i="12"/>
  <c r="L276" i="12"/>
  <c r="Z272" i="12"/>
  <c r="P272" i="12"/>
  <c r="X272" i="12" s="1"/>
  <c r="N272" i="12"/>
  <c r="L272" i="12"/>
  <c r="D272" i="12"/>
  <c r="B272" i="12"/>
  <c r="P271" i="12"/>
  <c r="P264" i="12" s="1"/>
  <c r="X264" i="12" s="1"/>
  <c r="D271" i="12"/>
  <c r="B271" i="12"/>
  <c r="Z270" i="12"/>
  <c r="X270" i="12"/>
  <c r="P270" i="12"/>
  <c r="N270" i="12"/>
  <c r="L270" i="12"/>
  <c r="D270" i="12"/>
  <c r="B270" i="12"/>
  <c r="Z269" i="12"/>
  <c r="X269" i="12"/>
  <c r="P269" i="12"/>
  <c r="L269" i="12"/>
  <c r="N269" i="12" s="1"/>
  <c r="D269" i="12"/>
  <c r="B269" i="12"/>
  <c r="Z268" i="12"/>
  <c r="X268" i="12"/>
  <c r="P268" i="12"/>
  <c r="D268" i="12"/>
  <c r="L268" i="12" s="1"/>
  <c r="N268" i="12" s="1"/>
  <c r="B268" i="12"/>
  <c r="Z267" i="12"/>
  <c r="X267" i="12"/>
  <c r="P267" i="12"/>
  <c r="N267" i="12"/>
  <c r="D267" i="12"/>
  <c r="L267" i="12" s="1"/>
  <c r="B267" i="12"/>
  <c r="Z266" i="12"/>
  <c r="X266" i="12"/>
  <c r="V266" i="12"/>
  <c r="P266" i="12"/>
  <c r="N266" i="12"/>
  <c r="D266" i="12"/>
  <c r="L266" i="12" s="1"/>
  <c r="B266" i="12"/>
  <c r="Z265" i="12"/>
  <c r="X265" i="12"/>
  <c r="P265" i="12"/>
  <c r="N265" i="12"/>
  <c r="D265" i="12"/>
  <c r="L265" i="12" s="1"/>
  <c r="B265" i="12"/>
  <c r="T264" i="12"/>
  <c r="H264" i="12"/>
  <c r="Z262" i="12"/>
  <c r="X262" i="12"/>
  <c r="N262" i="12"/>
  <c r="L262" i="12"/>
  <c r="B262" i="12"/>
  <c r="T261" i="12"/>
  <c r="Z261" i="12" s="1"/>
  <c r="P261" i="12"/>
  <c r="X261" i="12" s="1"/>
  <c r="L261" i="12"/>
  <c r="N261" i="12" s="1"/>
  <c r="H261" i="12"/>
  <c r="D261" i="12"/>
  <c r="B261" i="12"/>
  <c r="X260" i="12"/>
  <c r="Z260" i="12" s="1"/>
  <c r="N260" i="12"/>
  <c r="L260" i="12"/>
  <c r="J260" i="12"/>
  <c r="B260" i="12"/>
  <c r="X259" i="12"/>
  <c r="Z259" i="12" s="1"/>
  <c r="N259" i="12"/>
  <c r="L259" i="12"/>
  <c r="B259" i="12"/>
  <c r="Z258" i="12"/>
  <c r="X258" i="12"/>
  <c r="L258" i="12"/>
  <c r="N258" i="12" s="1"/>
  <c r="B258" i="12"/>
  <c r="T257" i="12"/>
  <c r="P257" i="12"/>
  <c r="H257" i="12"/>
  <c r="N257" i="12" s="1"/>
  <c r="D257" i="12"/>
  <c r="L257" i="12" s="1"/>
  <c r="B257" i="12"/>
  <c r="X256" i="12"/>
  <c r="Z256" i="12" s="1"/>
  <c r="V256" i="12"/>
  <c r="N256" i="12"/>
  <c r="L256" i="12"/>
  <c r="B256" i="12"/>
  <c r="T255" i="12"/>
  <c r="P255" i="12"/>
  <c r="X255" i="12" s="1"/>
  <c r="Z255" i="12" s="1"/>
  <c r="H255" i="12"/>
  <c r="D255" i="12"/>
  <c r="L255" i="12" s="1"/>
  <c r="N255" i="12" s="1"/>
  <c r="B255" i="12"/>
  <c r="X254" i="12"/>
  <c r="Z254" i="12" s="1"/>
  <c r="N254" i="12"/>
  <c r="L254" i="12"/>
  <c r="B254" i="12"/>
  <c r="X253" i="12"/>
  <c r="Z253" i="12" s="1"/>
  <c r="L253" i="12"/>
  <c r="N253" i="12" s="1"/>
  <c r="B253" i="12"/>
  <c r="T252" i="12"/>
  <c r="Z252" i="12" s="1"/>
  <c r="P252" i="12"/>
  <c r="X252" i="12" s="1"/>
  <c r="L252" i="12"/>
  <c r="H252" i="12"/>
  <c r="N252" i="12" s="1"/>
  <c r="D252" i="12"/>
  <c r="B252" i="12"/>
  <c r="X251" i="12"/>
  <c r="Z251" i="12" s="1"/>
  <c r="N251" i="12"/>
  <c r="L251" i="12"/>
  <c r="B251" i="12"/>
  <c r="Z250" i="12"/>
  <c r="X250" i="12"/>
  <c r="L250" i="12"/>
  <c r="N250" i="12" s="1"/>
  <c r="B250" i="12"/>
  <c r="X249" i="12"/>
  <c r="Z249" i="12" s="1"/>
  <c r="L249" i="12"/>
  <c r="N249" i="12" s="1"/>
  <c r="B249" i="12"/>
  <c r="X248" i="12"/>
  <c r="Z248" i="12" s="1"/>
  <c r="N248" i="12"/>
  <c r="L248" i="12"/>
  <c r="J248" i="12"/>
  <c r="B248" i="12"/>
  <c r="Z247" i="12"/>
  <c r="X247" i="12"/>
  <c r="N247" i="12"/>
  <c r="L247" i="12"/>
  <c r="B247" i="12"/>
  <c r="Z246" i="12"/>
  <c r="X246" i="12"/>
  <c r="L246" i="12"/>
  <c r="N246" i="12" s="1"/>
  <c r="B246" i="12"/>
  <c r="X245" i="12"/>
  <c r="Z245" i="12" s="1"/>
  <c r="L245" i="12"/>
  <c r="N245" i="12" s="1"/>
  <c r="B245" i="12"/>
  <c r="X244" i="12"/>
  <c r="Z244" i="12" s="1"/>
  <c r="L244" i="12"/>
  <c r="N244" i="12" s="1"/>
  <c r="J244" i="12"/>
  <c r="B244" i="12"/>
  <c r="T243" i="12"/>
  <c r="Z243" i="12" s="1"/>
  <c r="P243" i="12"/>
  <c r="X243" i="12" s="1"/>
  <c r="H243" i="12"/>
  <c r="D243" i="12"/>
  <c r="B243" i="12"/>
  <c r="X242" i="12"/>
  <c r="Z242" i="12" s="1"/>
  <c r="N242" i="12"/>
  <c r="L242" i="12"/>
  <c r="B242" i="12"/>
  <c r="X241" i="12"/>
  <c r="Z241" i="12" s="1"/>
  <c r="N241" i="12"/>
  <c r="L241" i="12"/>
  <c r="B241" i="12"/>
  <c r="V240" i="12"/>
  <c r="T240" i="12"/>
  <c r="Z240" i="12" s="1"/>
  <c r="P240" i="12"/>
  <c r="X240" i="12" s="1"/>
  <c r="H240" i="12"/>
  <c r="D240" i="12"/>
  <c r="B240" i="12"/>
  <c r="X239" i="12"/>
  <c r="Z239" i="12" s="1"/>
  <c r="N239" i="12"/>
  <c r="L239" i="12"/>
  <c r="B239" i="12"/>
  <c r="Z238" i="12"/>
  <c r="X238" i="12"/>
  <c r="N238" i="12"/>
  <c r="L238" i="12"/>
  <c r="B238" i="12"/>
  <c r="Z237" i="12"/>
  <c r="X237" i="12"/>
  <c r="L237" i="12"/>
  <c r="N237" i="12" s="1"/>
  <c r="B237" i="12"/>
  <c r="Z236" i="12"/>
  <c r="X236" i="12"/>
  <c r="L236" i="12"/>
  <c r="N236" i="12" s="1"/>
  <c r="B236" i="12"/>
  <c r="X235" i="12"/>
  <c r="Z235" i="12" s="1"/>
  <c r="L235" i="12"/>
  <c r="N235" i="12" s="1"/>
  <c r="B235" i="12"/>
  <c r="Z234" i="12"/>
  <c r="X234" i="12"/>
  <c r="N234" i="12"/>
  <c r="L234" i="12"/>
  <c r="B234" i="12"/>
  <c r="T233" i="12"/>
  <c r="P233" i="12"/>
  <c r="X233" i="12" s="1"/>
  <c r="L233" i="12"/>
  <c r="H233" i="12"/>
  <c r="N233" i="12" s="1"/>
  <c r="D233" i="12"/>
  <c r="B233" i="12"/>
  <c r="X232" i="12"/>
  <c r="Z232" i="12" s="1"/>
  <c r="N232" i="12"/>
  <c r="L232" i="12"/>
  <c r="J232" i="12"/>
  <c r="B232" i="12"/>
  <c r="X231" i="12"/>
  <c r="Z231" i="12" s="1"/>
  <c r="N231" i="12"/>
  <c r="L231" i="12"/>
  <c r="B231" i="12"/>
  <c r="Z230" i="12"/>
  <c r="X230" i="12"/>
  <c r="N230" i="12"/>
  <c r="L230" i="12"/>
  <c r="B230" i="12"/>
  <c r="X229" i="12"/>
  <c r="Z229" i="12" s="1"/>
  <c r="N229" i="12"/>
  <c r="L229" i="12"/>
  <c r="B229" i="12"/>
  <c r="X228" i="12"/>
  <c r="T228" i="12"/>
  <c r="Z228" i="12" s="1"/>
  <c r="P228" i="12"/>
  <c r="N228" i="12"/>
  <c r="H228" i="12"/>
  <c r="D228" i="12"/>
  <c r="L228" i="12" s="1"/>
  <c r="B228" i="12"/>
  <c r="Z227" i="12"/>
  <c r="X227" i="12"/>
  <c r="L227" i="12"/>
  <c r="N227" i="12" s="1"/>
  <c r="B227" i="12"/>
  <c r="X226" i="12"/>
  <c r="Z226" i="12" s="1"/>
  <c r="N226" i="12"/>
  <c r="L226" i="12"/>
  <c r="B226" i="12"/>
  <c r="X225" i="12"/>
  <c r="Z225" i="12" s="1"/>
  <c r="N225" i="12"/>
  <c r="L225" i="12"/>
  <c r="B225" i="12"/>
  <c r="X224" i="12"/>
  <c r="V224" i="12"/>
  <c r="T224" i="12"/>
  <c r="Z224" i="12" s="1"/>
  <c r="P224" i="12"/>
  <c r="H224" i="12"/>
  <c r="D224" i="12"/>
  <c r="B224" i="12"/>
  <c r="X223" i="12"/>
  <c r="Z223" i="12" s="1"/>
  <c r="N223" i="12"/>
  <c r="L223" i="12"/>
  <c r="B223" i="12"/>
  <c r="T222" i="12"/>
  <c r="X222" i="12" s="1"/>
  <c r="Z222" i="12" s="1"/>
  <c r="P222" i="12"/>
  <c r="H222" i="12"/>
  <c r="N222" i="12" s="1"/>
  <c r="D222" i="12"/>
  <c r="L222" i="12" s="1"/>
  <c r="B222" i="12"/>
  <c r="Z221" i="12"/>
  <c r="X221" i="12"/>
  <c r="N221" i="12"/>
  <c r="L221" i="12"/>
  <c r="B221" i="12"/>
  <c r="X220" i="12"/>
  <c r="T220" i="12"/>
  <c r="Z220" i="12" s="1"/>
  <c r="P220" i="12"/>
  <c r="N220" i="12"/>
  <c r="H220" i="12"/>
  <c r="D220" i="12"/>
  <c r="L220" i="12" s="1"/>
  <c r="B220" i="12"/>
  <c r="Z219" i="12"/>
  <c r="X219" i="12"/>
  <c r="L219" i="12"/>
  <c r="N219" i="12" s="1"/>
  <c r="B219" i="12"/>
  <c r="T218" i="12"/>
  <c r="P218" i="12"/>
  <c r="J218" i="12"/>
  <c r="H218" i="12"/>
  <c r="D218" i="12"/>
  <c r="L218" i="12" s="1"/>
  <c r="B218" i="12"/>
  <c r="Z217" i="12"/>
  <c r="X217" i="12"/>
  <c r="N217" i="12"/>
  <c r="L217" i="12"/>
  <c r="B217" i="12"/>
  <c r="T216" i="12"/>
  <c r="P216" i="12"/>
  <c r="X216" i="12" s="1"/>
  <c r="H216" i="12"/>
  <c r="D216" i="12"/>
  <c r="L216" i="12" s="1"/>
  <c r="B216" i="12"/>
  <c r="Z215" i="12"/>
  <c r="X215" i="12"/>
  <c r="N215" i="12"/>
  <c r="L215" i="12"/>
  <c r="B215" i="12"/>
  <c r="T214" i="12"/>
  <c r="P214" i="12"/>
  <c r="X214" i="12" s="1"/>
  <c r="Z214" i="12" s="1"/>
  <c r="L214" i="12"/>
  <c r="H214" i="12"/>
  <c r="N214" i="12" s="1"/>
  <c r="D214" i="12"/>
  <c r="B214" i="12"/>
  <c r="Z213" i="12"/>
  <c r="X213" i="12"/>
  <c r="N213" i="12"/>
  <c r="L213" i="12"/>
  <c r="B213" i="12"/>
  <c r="V212" i="12"/>
  <c r="T212" i="12"/>
  <c r="P212" i="12"/>
  <c r="X212" i="12" s="1"/>
  <c r="H212" i="12"/>
  <c r="D212" i="12"/>
  <c r="L212" i="12" s="1"/>
  <c r="B212" i="12"/>
  <c r="X211" i="12"/>
  <c r="Z211" i="12" s="1"/>
  <c r="N211" i="12"/>
  <c r="L211" i="12"/>
  <c r="B211" i="12"/>
  <c r="T210" i="12"/>
  <c r="P210" i="12"/>
  <c r="H210" i="12"/>
  <c r="D210" i="12"/>
  <c r="L210" i="12" s="1"/>
  <c r="B210" i="12"/>
  <c r="Z209" i="12"/>
  <c r="X209" i="12"/>
  <c r="N209" i="12"/>
  <c r="L209" i="12"/>
  <c r="B209" i="12"/>
  <c r="X208" i="12"/>
  <c r="Z208" i="12" s="1"/>
  <c r="L208" i="12"/>
  <c r="N208" i="12" s="1"/>
  <c r="J208" i="12"/>
  <c r="B208" i="12"/>
  <c r="T207" i="12"/>
  <c r="P207" i="12"/>
  <c r="X207" i="12" s="1"/>
  <c r="Z207" i="12" s="1"/>
  <c r="H207" i="12"/>
  <c r="D207" i="12"/>
  <c r="L207" i="12" s="1"/>
  <c r="B207" i="12"/>
  <c r="X206" i="12"/>
  <c r="Z206" i="12" s="1"/>
  <c r="N206" i="12"/>
  <c r="L206" i="12"/>
  <c r="B206" i="12"/>
  <c r="Z205" i="12"/>
  <c r="X205" i="12"/>
  <c r="T205" i="12"/>
  <c r="P205" i="12"/>
  <c r="H205" i="12"/>
  <c r="D205" i="12"/>
  <c r="L205" i="12" s="1"/>
  <c r="N205" i="12" s="1"/>
  <c r="B205" i="12"/>
  <c r="X204" i="12"/>
  <c r="Z204" i="12" s="1"/>
  <c r="L204" i="12"/>
  <c r="N204" i="12" s="1"/>
  <c r="B204" i="12"/>
  <c r="X203" i="12"/>
  <c r="T203" i="12"/>
  <c r="Z203" i="12" s="1"/>
  <c r="P203" i="12"/>
  <c r="H203" i="12"/>
  <c r="N203" i="12" s="1"/>
  <c r="D203" i="12"/>
  <c r="L203" i="12" s="1"/>
  <c r="B203" i="12"/>
  <c r="Z202" i="12"/>
  <c r="X202" i="12"/>
  <c r="N202" i="12"/>
  <c r="L202" i="12"/>
  <c r="B202" i="12"/>
  <c r="Z201" i="12"/>
  <c r="X201" i="12"/>
  <c r="L201" i="12"/>
  <c r="N201" i="12" s="1"/>
  <c r="B201" i="12"/>
  <c r="X200" i="12"/>
  <c r="T200" i="12"/>
  <c r="Z200" i="12" s="1"/>
  <c r="P200" i="12"/>
  <c r="H200" i="12"/>
  <c r="D200" i="12"/>
  <c r="L200" i="12" s="1"/>
  <c r="N200" i="12" s="1"/>
  <c r="B200" i="12"/>
  <c r="Z199" i="12"/>
  <c r="X199" i="12"/>
  <c r="N199" i="12"/>
  <c r="L199" i="12"/>
  <c r="B199" i="12"/>
  <c r="X198" i="12"/>
  <c r="Z198" i="12" s="1"/>
  <c r="N198" i="12"/>
  <c r="L198" i="12"/>
  <c r="B198" i="12"/>
  <c r="X197" i="12"/>
  <c r="Z197" i="12" s="1"/>
  <c r="T197" i="12"/>
  <c r="P197" i="12"/>
  <c r="H197" i="12"/>
  <c r="D197" i="12"/>
  <c r="L197" i="12" s="1"/>
  <c r="N197" i="12" s="1"/>
  <c r="B197" i="12"/>
  <c r="X196" i="12"/>
  <c r="Z196" i="12" s="1"/>
  <c r="L196" i="12"/>
  <c r="N196" i="12" s="1"/>
  <c r="B196" i="12"/>
  <c r="X195" i="12"/>
  <c r="Z195" i="12" s="1"/>
  <c r="N195" i="12"/>
  <c r="L195" i="12"/>
  <c r="B195" i="12"/>
  <c r="Z194" i="12"/>
  <c r="X194" i="12"/>
  <c r="N194" i="12"/>
  <c r="L194" i="12"/>
  <c r="B194" i="12"/>
  <c r="Z193" i="12"/>
  <c r="X193" i="12"/>
  <c r="L193" i="12"/>
  <c r="N193" i="12" s="1"/>
  <c r="B193" i="12"/>
  <c r="T192" i="12"/>
  <c r="Z192" i="12" s="1"/>
  <c r="P192" i="12"/>
  <c r="X192" i="12" s="1"/>
  <c r="H192" i="12"/>
  <c r="N192" i="12" s="1"/>
  <c r="D192" i="12"/>
  <c r="L192" i="12" s="1"/>
  <c r="B192" i="12"/>
  <c r="Z191" i="12"/>
  <c r="X191" i="12"/>
  <c r="N191" i="12"/>
  <c r="L191" i="12"/>
  <c r="B191" i="12"/>
  <c r="T190" i="12"/>
  <c r="P190" i="12"/>
  <c r="X190" i="12" s="1"/>
  <c r="Z190" i="12" s="1"/>
  <c r="L190" i="12"/>
  <c r="H190" i="12"/>
  <c r="N190" i="12" s="1"/>
  <c r="D190" i="12"/>
  <c r="B190" i="12"/>
  <c r="X189" i="12"/>
  <c r="Z189" i="12" s="1"/>
  <c r="N189" i="12"/>
  <c r="L189" i="12"/>
  <c r="B189" i="12"/>
  <c r="X188" i="12"/>
  <c r="Z188" i="12" s="1"/>
  <c r="V188" i="12"/>
  <c r="N188" i="12"/>
  <c r="L188" i="12"/>
  <c r="B188" i="12"/>
  <c r="T187" i="12"/>
  <c r="P187" i="12"/>
  <c r="X187" i="12" s="1"/>
  <c r="Z187" i="12" s="1"/>
  <c r="L187" i="12"/>
  <c r="N187" i="12" s="1"/>
  <c r="H187" i="12"/>
  <c r="D187" i="12"/>
  <c r="B187" i="12"/>
  <c r="X186" i="12"/>
  <c r="Z186" i="12" s="1"/>
  <c r="N186" i="12"/>
  <c r="L186" i="12"/>
  <c r="B186" i="12"/>
  <c r="T185" i="12"/>
  <c r="X185" i="12" s="1"/>
  <c r="Z185" i="12" s="1"/>
  <c r="P185" i="12"/>
  <c r="L185" i="12"/>
  <c r="N185" i="12" s="1"/>
  <c r="H185" i="12"/>
  <c r="D185" i="12"/>
  <c r="B185" i="12"/>
  <c r="Z184" i="12"/>
  <c r="X184" i="12"/>
  <c r="N184" i="12"/>
  <c r="L184" i="12"/>
  <c r="J184" i="12"/>
  <c r="B184" i="12"/>
  <c r="Z183" i="12"/>
  <c r="X183" i="12"/>
  <c r="N183" i="12"/>
  <c r="L183" i="12"/>
  <c r="B183" i="12"/>
  <c r="Z182" i="12"/>
  <c r="X182" i="12"/>
  <c r="L182" i="12"/>
  <c r="N182" i="12" s="1"/>
  <c r="B182" i="12"/>
  <c r="X181" i="12"/>
  <c r="Z181" i="12" s="1"/>
  <c r="L181" i="12"/>
  <c r="N181" i="12" s="1"/>
  <c r="B181" i="12"/>
  <c r="Z180" i="12"/>
  <c r="X180" i="12"/>
  <c r="N180" i="12"/>
  <c r="L180" i="12"/>
  <c r="J180" i="12"/>
  <c r="B180" i="12"/>
  <c r="Z179" i="12"/>
  <c r="X179" i="12"/>
  <c r="N179" i="12"/>
  <c r="L179" i="12"/>
  <c r="B179" i="12"/>
  <c r="Z178" i="12"/>
  <c r="X178" i="12"/>
  <c r="L178" i="12"/>
  <c r="N178" i="12" s="1"/>
  <c r="B178" i="12"/>
  <c r="Z177" i="12"/>
  <c r="X177" i="12"/>
  <c r="N177" i="12"/>
  <c r="L177" i="12"/>
  <c r="B177" i="12"/>
  <c r="X176" i="12"/>
  <c r="Z176" i="12" s="1"/>
  <c r="L176" i="12"/>
  <c r="N176" i="12" s="1"/>
  <c r="J176" i="12"/>
  <c r="B176" i="12"/>
  <c r="X175" i="12"/>
  <c r="Z175" i="12" s="1"/>
  <c r="N175" i="12"/>
  <c r="L175" i="12"/>
  <c r="B175" i="12"/>
  <c r="Z174" i="12"/>
  <c r="T174" i="12"/>
  <c r="P174" i="12"/>
  <c r="X174" i="12" s="1"/>
  <c r="L174" i="12"/>
  <c r="H174" i="12"/>
  <c r="N174" i="12" s="1"/>
  <c r="D174" i="12"/>
  <c r="B174" i="12"/>
  <c r="X173" i="12"/>
  <c r="Z173" i="12" s="1"/>
  <c r="N173" i="12"/>
  <c r="L173" i="12"/>
  <c r="B173" i="12"/>
  <c r="X172" i="12"/>
  <c r="Z172" i="12" s="1"/>
  <c r="V172" i="12"/>
  <c r="N172" i="12"/>
  <c r="L172" i="12"/>
  <c r="B172" i="12"/>
  <c r="Z171" i="12"/>
  <c r="X171" i="12"/>
  <c r="L171" i="12"/>
  <c r="N171" i="12" s="1"/>
  <c r="B171" i="12"/>
  <c r="Z170" i="12"/>
  <c r="X170" i="12"/>
  <c r="N170" i="12"/>
  <c r="L170" i="12"/>
  <c r="B170" i="12"/>
  <c r="Z169" i="12"/>
  <c r="X169" i="12"/>
  <c r="N169" i="12"/>
  <c r="L169" i="12"/>
  <c r="B169" i="12"/>
  <c r="X168" i="12"/>
  <c r="Z168" i="12" s="1"/>
  <c r="V168" i="12"/>
  <c r="N168" i="12"/>
  <c r="L168" i="12"/>
  <c r="B168" i="12"/>
  <c r="Z167" i="12"/>
  <c r="X167" i="12"/>
  <c r="L167" i="12"/>
  <c r="N167" i="12" s="1"/>
  <c r="B167" i="12"/>
  <c r="X166" i="12"/>
  <c r="Z166" i="12" s="1"/>
  <c r="L166" i="12"/>
  <c r="N166" i="12" s="1"/>
  <c r="B166" i="12"/>
  <c r="X165" i="12"/>
  <c r="Z165" i="12" s="1"/>
  <c r="N165" i="12"/>
  <c r="L165" i="12"/>
  <c r="B165" i="12"/>
  <c r="X164" i="12"/>
  <c r="Z164" i="12" s="1"/>
  <c r="V164" i="12"/>
  <c r="N164" i="12"/>
  <c r="L164" i="12"/>
  <c r="B164" i="12"/>
  <c r="T163" i="12"/>
  <c r="P163" i="12"/>
  <c r="X163" i="12" s="1"/>
  <c r="Z163" i="12" s="1"/>
  <c r="H163" i="12"/>
  <c r="N163" i="12" s="1"/>
  <c r="D163" i="12"/>
  <c r="L163" i="12" s="1"/>
  <c r="B163" i="12"/>
  <c r="T162" i="12"/>
  <c r="P162" i="12"/>
  <c r="X162" i="12" s="1"/>
  <c r="H162" i="12"/>
  <c r="N162" i="12" s="1"/>
  <c r="D162" i="12"/>
  <c r="L162" i="12" s="1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N155" i="12"/>
  <c r="L155" i="12"/>
  <c r="B155" i="12"/>
  <c r="Z154" i="12"/>
  <c r="X154" i="12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V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N110" i="12"/>
  <c r="L110" i="12"/>
  <c r="B110" i="12"/>
  <c r="Z109" i="12"/>
  <c r="X109" i="12"/>
  <c r="V109" i="12"/>
  <c r="N109" i="12"/>
  <c r="L109" i="12"/>
  <c r="B109" i="12"/>
  <c r="X108" i="12"/>
  <c r="Z108" i="12" s="1"/>
  <c r="L108" i="12"/>
  <c r="N108" i="12" s="1"/>
  <c r="B108" i="12"/>
  <c r="X107" i="12"/>
  <c r="T107" i="12"/>
  <c r="P107" i="12"/>
  <c r="J107" i="12"/>
  <c r="H107" i="12"/>
  <c r="N107" i="12" s="1"/>
  <c r="D107" i="12"/>
  <c r="L107" i="12" s="1"/>
  <c r="Z105" i="12"/>
  <c r="X105" i="12"/>
  <c r="P105" i="12"/>
  <c r="N105" i="12"/>
  <c r="D105" i="12"/>
  <c r="L105" i="12" s="1"/>
  <c r="B105" i="12"/>
  <c r="Z104" i="12"/>
  <c r="X104" i="12"/>
  <c r="P104" i="12"/>
  <c r="N104" i="12"/>
  <c r="L104" i="12"/>
  <c r="D104" i="12"/>
  <c r="B104" i="12"/>
  <c r="Z103" i="12"/>
  <c r="P103" i="12"/>
  <c r="X103" i="12" s="1"/>
  <c r="N103" i="12"/>
  <c r="L103" i="12"/>
  <c r="D103" i="12"/>
  <c r="B103" i="12"/>
  <c r="Z102" i="12"/>
  <c r="P102" i="12"/>
  <c r="X102" i="12" s="1"/>
  <c r="N102" i="12"/>
  <c r="L102" i="12"/>
  <c r="D102" i="12"/>
  <c r="B102" i="12"/>
  <c r="Z101" i="12"/>
  <c r="X101" i="12"/>
  <c r="P101" i="12"/>
  <c r="N101" i="12"/>
  <c r="L101" i="12"/>
  <c r="D101" i="12"/>
  <c r="B101" i="12"/>
  <c r="Z100" i="12"/>
  <c r="P100" i="12"/>
  <c r="X100" i="12" s="1"/>
  <c r="N100" i="12"/>
  <c r="L100" i="12"/>
  <c r="D100" i="12"/>
  <c r="B100" i="12"/>
  <c r="Z99" i="12"/>
  <c r="P99" i="12"/>
  <c r="X99" i="12" s="1"/>
  <c r="N99" i="12"/>
  <c r="D99" i="12"/>
  <c r="L99" i="12" s="1"/>
  <c r="B99" i="12"/>
  <c r="Z98" i="12"/>
  <c r="X98" i="12"/>
  <c r="P98" i="12"/>
  <c r="N98" i="12"/>
  <c r="L98" i="12"/>
  <c r="D98" i="12"/>
  <c r="B98" i="12"/>
  <c r="Z97" i="12"/>
  <c r="P97" i="12"/>
  <c r="X97" i="12" s="1"/>
  <c r="N97" i="12"/>
  <c r="D97" i="12"/>
  <c r="L97" i="12" s="1"/>
  <c r="B97" i="12"/>
  <c r="Z96" i="12"/>
  <c r="P96" i="12"/>
  <c r="X96" i="12" s="1"/>
  <c r="N96" i="12"/>
  <c r="D96" i="12"/>
  <c r="L96" i="12" s="1"/>
  <c r="B96" i="12"/>
  <c r="Z95" i="12"/>
  <c r="X95" i="12"/>
  <c r="P95" i="12"/>
  <c r="N95" i="12"/>
  <c r="L95" i="12"/>
  <c r="D95" i="12"/>
  <c r="B95" i="12"/>
  <c r="Z94" i="12"/>
  <c r="X94" i="12"/>
  <c r="P94" i="12"/>
  <c r="N94" i="12"/>
  <c r="L94" i="12"/>
  <c r="D94" i="12"/>
  <c r="B94" i="12"/>
  <c r="Z93" i="12"/>
  <c r="X93" i="12"/>
  <c r="P93" i="12"/>
  <c r="N93" i="12"/>
  <c r="D93" i="12"/>
  <c r="L93" i="12" s="1"/>
  <c r="B93" i="12"/>
  <c r="Z92" i="12"/>
  <c r="X92" i="12"/>
  <c r="P92" i="12"/>
  <c r="N92" i="12"/>
  <c r="L92" i="12"/>
  <c r="D92" i="12"/>
  <c r="B92" i="12"/>
  <c r="Z91" i="12"/>
  <c r="P91" i="12"/>
  <c r="X91" i="12" s="1"/>
  <c r="N91" i="12"/>
  <c r="L91" i="12"/>
  <c r="D91" i="12"/>
  <c r="B91" i="12"/>
  <c r="Z90" i="12"/>
  <c r="P90" i="12"/>
  <c r="X90" i="12" s="1"/>
  <c r="N90" i="12"/>
  <c r="L90" i="12"/>
  <c r="D90" i="12"/>
  <c r="B90" i="12"/>
  <c r="Z89" i="12"/>
  <c r="X89" i="12"/>
  <c r="P89" i="12"/>
  <c r="N89" i="12"/>
  <c r="L89" i="12"/>
  <c r="D89" i="12"/>
  <c r="B89" i="12"/>
  <c r="Z88" i="12"/>
  <c r="P88" i="12"/>
  <c r="X88" i="12" s="1"/>
  <c r="N88" i="12"/>
  <c r="L88" i="12"/>
  <c r="D88" i="12"/>
  <c r="B88" i="12"/>
  <c r="Z87" i="12"/>
  <c r="P87" i="12"/>
  <c r="X87" i="12" s="1"/>
  <c r="N87" i="12"/>
  <c r="D87" i="12"/>
  <c r="L87" i="12" s="1"/>
  <c r="B87" i="12"/>
  <c r="Z86" i="12"/>
  <c r="X86" i="12"/>
  <c r="P86" i="12"/>
  <c r="N86" i="12"/>
  <c r="L86" i="12"/>
  <c r="D86" i="12"/>
  <c r="B86" i="12"/>
  <c r="Z85" i="12"/>
  <c r="P85" i="12"/>
  <c r="X85" i="12" s="1"/>
  <c r="N85" i="12"/>
  <c r="D85" i="12"/>
  <c r="L85" i="12" s="1"/>
  <c r="B85" i="12"/>
  <c r="Z84" i="12"/>
  <c r="P84" i="12"/>
  <c r="X84" i="12" s="1"/>
  <c r="N84" i="12"/>
  <c r="D84" i="12"/>
  <c r="L84" i="12" s="1"/>
  <c r="B84" i="12"/>
  <c r="Z83" i="12"/>
  <c r="X83" i="12"/>
  <c r="P83" i="12"/>
  <c r="N83" i="12"/>
  <c r="L83" i="12"/>
  <c r="D83" i="12"/>
  <c r="B83" i="12"/>
  <c r="Z82" i="12"/>
  <c r="X82" i="12"/>
  <c r="P82" i="12"/>
  <c r="N82" i="12"/>
  <c r="L82" i="12"/>
  <c r="D82" i="12"/>
  <c r="B82" i="12"/>
  <c r="Z81" i="12"/>
  <c r="X81" i="12"/>
  <c r="P81" i="12"/>
  <c r="N81" i="12"/>
  <c r="D81" i="12"/>
  <c r="L81" i="12" s="1"/>
  <c r="B81" i="12"/>
  <c r="Z80" i="12"/>
  <c r="X80" i="12"/>
  <c r="P80" i="12"/>
  <c r="N80" i="12"/>
  <c r="L80" i="12"/>
  <c r="D80" i="12"/>
  <c r="B80" i="12"/>
  <c r="Z79" i="12"/>
  <c r="X79" i="12"/>
  <c r="P79" i="12"/>
  <c r="N79" i="12"/>
  <c r="L79" i="12"/>
  <c r="D79" i="12"/>
  <c r="B79" i="12"/>
  <c r="Z78" i="12"/>
  <c r="P78" i="12"/>
  <c r="X78" i="12" s="1"/>
  <c r="N78" i="12"/>
  <c r="L78" i="12"/>
  <c r="D78" i="12"/>
  <c r="B78" i="12"/>
  <c r="Z77" i="12"/>
  <c r="X77" i="12"/>
  <c r="P77" i="12"/>
  <c r="N77" i="12"/>
  <c r="L77" i="12"/>
  <c r="D77" i="12"/>
  <c r="B77" i="12"/>
  <c r="Z76" i="12"/>
  <c r="P76" i="12"/>
  <c r="X76" i="12" s="1"/>
  <c r="N76" i="12"/>
  <c r="L76" i="12"/>
  <c r="D76" i="12"/>
  <c r="B76" i="12"/>
  <c r="Z75" i="12"/>
  <c r="P75" i="12"/>
  <c r="X75" i="12" s="1"/>
  <c r="N75" i="12"/>
  <c r="D75" i="12"/>
  <c r="L75" i="12" s="1"/>
  <c r="B75" i="12"/>
  <c r="Z74" i="12"/>
  <c r="X74" i="12"/>
  <c r="P74" i="12"/>
  <c r="N74" i="12"/>
  <c r="L74" i="12"/>
  <c r="D74" i="12"/>
  <c r="B74" i="12"/>
  <c r="Z73" i="12"/>
  <c r="X73" i="12"/>
  <c r="P73" i="12"/>
  <c r="N73" i="12"/>
  <c r="D73" i="12"/>
  <c r="L73" i="12" s="1"/>
  <c r="B73" i="12"/>
  <c r="Z72" i="12"/>
  <c r="P72" i="12"/>
  <c r="X72" i="12" s="1"/>
  <c r="N72" i="12"/>
  <c r="D72" i="12"/>
  <c r="L72" i="12" s="1"/>
  <c r="B72" i="12"/>
  <c r="Z71" i="12"/>
  <c r="X71" i="12"/>
  <c r="P71" i="12"/>
  <c r="N71" i="12"/>
  <c r="L71" i="12"/>
  <c r="D71" i="12"/>
  <c r="B71" i="12"/>
  <c r="Z70" i="12"/>
  <c r="X70" i="12"/>
  <c r="P70" i="12"/>
  <c r="N70" i="12"/>
  <c r="L70" i="12"/>
  <c r="D70" i="12"/>
  <c r="B70" i="12"/>
  <c r="Z69" i="12"/>
  <c r="X69" i="12"/>
  <c r="P69" i="12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X67" i="12"/>
  <c r="P67" i="12"/>
  <c r="N67" i="12"/>
  <c r="L67" i="12"/>
  <c r="D67" i="12"/>
  <c r="B67" i="12"/>
  <c r="Z66" i="12"/>
  <c r="P66" i="12"/>
  <c r="X66" i="12" s="1"/>
  <c r="N66" i="12"/>
  <c r="L66" i="12"/>
  <c r="D66" i="12"/>
  <c r="B66" i="12"/>
  <c r="Z65" i="12"/>
  <c r="X65" i="12"/>
  <c r="P65" i="12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P63" i="12"/>
  <c r="X63" i="12" s="1"/>
  <c r="N63" i="12"/>
  <c r="L63" i="12"/>
  <c r="D63" i="12"/>
  <c r="B63" i="12"/>
  <c r="Z62" i="12"/>
  <c r="X62" i="12"/>
  <c r="P62" i="12"/>
  <c r="N62" i="12"/>
  <c r="L62" i="12"/>
  <c r="D62" i="12"/>
  <c r="B62" i="12"/>
  <c r="Z61" i="12"/>
  <c r="X61" i="12"/>
  <c r="P61" i="12"/>
  <c r="N61" i="12"/>
  <c r="D61" i="12"/>
  <c r="L61" i="12" s="1"/>
  <c r="B61" i="12"/>
  <c r="Z60" i="12"/>
  <c r="P60" i="12"/>
  <c r="X60" i="12" s="1"/>
  <c r="N60" i="12"/>
  <c r="D60" i="12"/>
  <c r="L60" i="12" s="1"/>
  <c r="B60" i="12"/>
  <c r="Z59" i="12"/>
  <c r="P59" i="12"/>
  <c r="X59" i="12" s="1"/>
  <c r="N59" i="12"/>
  <c r="L59" i="12"/>
  <c r="D59" i="12"/>
  <c r="B59" i="12"/>
  <c r="Z58" i="12"/>
  <c r="P58" i="12"/>
  <c r="X58" i="12" s="1"/>
  <c r="N58" i="12"/>
  <c r="L58" i="12"/>
  <c r="D58" i="12"/>
  <c r="B58" i="12"/>
  <c r="Z57" i="12"/>
  <c r="X57" i="12"/>
  <c r="P57" i="12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P55" i="12"/>
  <c r="X55" i="12" s="1"/>
  <c r="N55" i="12"/>
  <c r="L55" i="12"/>
  <c r="D55" i="12"/>
  <c r="B55" i="12"/>
  <c r="Z54" i="12"/>
  <c r="P54" i="12"/>
  <c r="X54" i="12" s="1"/>
  <c r="N54" i="12"/>
  <c r="L54" i="12"/>
  <c r="D54" i="12"/>
  <c r="B54" i="12"/>
  <c r="Z53" i="12"/>
  <c r="X53" i="12"/>
  <c r="P53" i="12"/>
  <c r="N53" i="12"/>
  <c r="L53" i="12"/>
  <c r="D53" i="12"/>
  <c r="B53" i="12"/>
  <c r="Z52" i="12"/>
  <c r="P52" i="12"/>
  <c r="X52" i="12" s="1"/>
  <c r="N52" i="12"/>
  <c r="L52" i="12"/>
  <c r="D52" i="12"/>
  <c r="B52" i="12"/>
  <c r="Z51" i="12"/>
  <c r="P51" i="12"/>
  <c r="X51" i="12" s="1"/>
  <c r="N51" i="12"/>
  <c r="L51" i="12"/>
  <c r="D51" i="12"/>
  <c r="B51" i="12"/>
  <c r="Z50" i="12"/>
  <c r="X50" i="12"/>
  <c r="P50" i="12"/>
  <c r="N50" i="12"/>
  <c r="L50" i="12"/>
  <c r="D50" i="12"/>
  <c r="B50" i="12"/>
  <c r="Z49" i="12"/>
  <c r="X49" i="12"/>
  <c r="P49" i="12"/>
  <c r="N49" i="12"/>
  <c r="D49" i="12"/>
  <c r="L49" i="12" s="1"/>
  <c r="B49" i="12"/>
  <c r="P48" i="12"/>
  <c r="X48" i="12" s="1"/>
  <c r="Z48" i="12" s="1"/>
  <c r="D48" i="12"/>
  <c r="L48" i="12" s="1"/>
  <c r="N48" i="12" s="1"/>
  <c r="B48" i="12"/>
  <c r="Z47" i="12"/>
  <c r="P47" i="12"/>
  <c r="X47" i="12" s="1"/>
  <c r="N47" i="12"/>
  <c r="L47" i="12"/>
  <c r="D47" i="12"/>
  <c r="B47" i="12"/>
  <c r="Z46" i="12"/>
  <c r="P46" i="12"/>
  <c r="X46" i="12" s="1"/>
  <c r="N46" i="12"/>
  <c r="L46" i="12"/>
  <c r="D46" i="12"/>
  <c r="B46" i="12"/>
  <c r="Z45" i="12"/>
  <c r="X45" i="12"/>
  <c r="P45" i="12"/>
  <c r="N45" i="12"/>
  <c r="D45" i="12"/>
  <c r="L45" i="12" s="1"/>
  <c r="B45" i="12"/>
  <c r="Z44" i="12"/>
  <c r="X44" i="12"/>
  <c r="P44" i="12"/>
  <c r="N44" i="12"/>
  <c r="D44" i="12"/>
  <c r="L44" i="12" s="1"/>
  <c r="B44" i="12"/>
  <c r="Z43" i="12"/>
  <c r="P43" i="12"/>
  <c r="X43" i="12" s="1"/>
  <c r="N43" i="12"/>
  <c r="L43" i="12"/>
  <c r="D43" i="12"/>
  <c r="B43" i="12"/>
  <c r="Z42" i="12"/>
  <c r="P42" i="12"/>
  <c r="X42" i="12" s="1"/>
  <c r="N42" i="12"/>
  <c r="L42" i="12"/>
  <c r="D42" i="12"/>
  <c r="B42" i="12"/>
  <c r="Z41" i="12"/>
  <c r="X41" i="12"/>
  <c r="P41" i="12"/>
  <c r="N41" i="12"/>
  <c r="L41" i="12"/>
  <c r="D41" i="12"/>
  <c r="B41" i="12"/>
  <c r="Z40" i="12"/>
  <c r="P40" i="12"/>
  <c r="X40" i="12" s="1"/>
  <c r="N40" i="12"/>
  <c r="L40" i="12"/>
  <c r="D40" i="12"/>
  <c r="B40" i="12"/>
  <c r="Z39" i="12"/>
  <c r="P39" i="12"/>
  <c r="X39" i="12" s="1"/>
  <c r="N39" i="12"/>
  <c r="L39" i="12"/>
  <c r="D39" i="12"/>
  <c r="B39" i="12"/>
  <c r="Z38" i="12"/>
  <c r="P38" i="12"/>
  <c r="X38" i="12" s="1"/>
  <c r="N38" i="12"/>
  <c r="L38" i="12"/>
  <c r="D38" i="12"/>
  <c r="B38" i="12"/>
  <c r="Z37" i="12"/>
  <c r="X37" i="12"/>
  <c r="P37" i="12"/>
  <c r="N37" i="12"/>
  <c r="D37" i="12"/>
  <c r="L37" i="12" s="1"/>
  <c r="B37" i="12"/>
  <c r="Z36" i="12"/>
  <c r="P36" i="12"/>
  <c r="X36" i="12" s="1"/>
  <c r="N36" i="12"/>
  <c r="D36" i="12"/>
  <c r="L36" i="12" s="1"/>
  <c r="B36" i="12"/>
  <c r="Z35" i="12"/>
  <c r="P35" i="12"/>
  <c r="X35" i="12" s="1"/>
  <c r="N35" i="12"/>
  <c r="L35" i="12"/>
  <c r="D35" i="12"/>
  <c r="B35" i="12"/>
  <c r="Z34" i="12"/>
  <c r="X34" i="12"/>
  <c r="P34" i="12"/>
  <c r="N34" i="12"/>
  <c r="L34" i="12"/>
  <c r="D34" i="12"/>
  <c r="B34" i="12"/>
  <c r="Z33" i="12"/>
  <c r="X33" i="12"/>
  <c r="P33" i="12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P31" i="12"/>
  <c r="X31" i="12" s="1"/>
  <c r="N31" i="12"/>
  <c r="L31" i="12"/>
  <c r="D31" i="12"/>
  <c r="B31" i="12"/>
  <c r="Z30" i="12"/>
  <c r="P30" i="12"/>
  <c r="X30" i="12" s="1"/>
  <c r="N30" i="12"/>
  <c r="L30" i="12"/>
  <c r="D30" i="12"/>
  <c r="B30" i="12"/>
  <c r="Z29" i="12"/>
  <c r="P29" i="12"/>
  <c r="X29" i="12" s="1"/>
  <c r="N29" i="12"/>
  <c r="L29" i="12"/>
  <c r="D29" i="12"/>
  <c r="B29" i="12"/>
  <c r="Z28" i="12"/>
  <c r="P28" i="12"/>
  <c r="X28" i="12" s="1"/>
  <c r="N28" i="12"/>
  <c r="D28" i="12"/>
  <c r="L28" i="12" s="1"/>
  <c r="B28" i="12"/>
  <c r="Z27" i="12"/>
  <c r="P27" i="12"/>
  <c r="X27" i="12" s="1"/>
  <c r="N27" i="12"/>
  <c r="L27" i="12"/>
  <c r="D27" i="12"/>
  <c r="B27" i="12"/>
  <c r="Z26" i="12"/>
  <c r="X26" i="12"/>
  <c r="P26" i="12"/>
  <c r="N26" i="12"/>
  <c r="L26" i="12"/>
  <c r="D26" i="12"/>
  <c r="B26" i="12"/>
  <c r="Z25" i="12"/>
  <c r="P25" i="12"/>
  <c r="X25" i="12" s="1"/>
  <c r="N25" i="12"/>
  <c r="D25" i="12"/>
  <c r="L25" i="12" s="1"/>
  <c r="B25" i="12"/>
  <c r="Z24" i="12"/>
  <c r="P24" i="12"/>
  <c r="X24" i="12" s="1"/>
  <c r="N24" i="12"/>
  <c r="D24" i="12"/>
  <c r="L24" i="12" s="1"/>
  <c r="B24" i="12"/>
  <c r="Z23" i="12"/>
  <c r="P23" i="12"/>
  <c r="X23" i="12" s="1"/>
  <c r="N23" i="12"/>
  <c r="L23" i="12"/>
  <c r="D23" i="12"/>
  <c r="B23" i="12"/>
  <c r="Z22" i="12"/>
  <c r="X22" i="12"/>
  <c r="P22" i="12"/>
  <c r="N22" i="12"/>
  <c r="L22" i="12"/>
  <c r="D22" i="12"/>
  <c r="B22" i="12"/>
  <c r="Z21" i="12"/>
  <c r="X21" i="12"/>
  <c r="P21" i="12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X18" i="12"/>
  <c r="P18" i="12"/>
  <c r="N18" i="12"/>
  <c r="L18" i="12"/>
  <c r="D18" i="12"/>
  <c r="B18" i="12"/>
  <c r="Z17" i="12"/>
  <c r="P17" i="12"/>
  <c r="X17" i="12" s="1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P15" i="12"/>
  <c r="X15" i="12" s="1"/>
  <c r="N15" i="12"/>
  <c r="L15" i="12"/>
  <c r="D15" i="12"/>
  <c r="B15" i="12"/>
  <c r="Z14" i="12"/>
  <c r="X14" i="12"/>
  <c r="P14" i="12"/>
  <c r="N14" i="12"/>
  <c r="D14" i="12"/>
  <c r="L14" i="12" s="1"/>
  <c r="B14" i="12"/>
  <c r="P13" i="12"/>
  <c r="P12" i="12" s="1"/>
  <c r="D13" i="12"/>
  <c r="B13" i="12"/>
  <c r="T12" i="12"/>
  <c r="V267" i="12" s="1"/>
  <c r="H12" i="12"/>
  <c r="J261" i="12" s="1"/>
  <c r="D4" i="12"/>
  <c r="Z101" i="9"/>
  <c r="X101" i="9"/>
  <c r="N101" i="9"/>
  <c r="L101" i="9"/>
  <c r="T97" i="9"/>
  <c r="Z97" i="9" s="1"/>
  <c r="P97" i="9"/>
  <c r="X97" i="9" s="1"/>
  <c r="H97" i="9"/>
  <c r="N97" i="9" s="1"/>
  <c r="D97" i="9"/>
  <c r="L97" i="9" s="1"/>
  <c r="X95" i="9"/>
  <c r="Z95" i="9" s="1"/>
  <c r="R95" i="9"/>
  <c r="L95" i="9"/>
  <c r="N95" i="9" s="1"/>
  <c r="B95" i="9"/>
  <c r="X94" i="9"/>
  <c r="Z94" i="9" s="1"/>
  <c r="N94" i="9"/>
  <c r="L94" i="9"/>
  <c r="B94" i="9"/>
  <c r="T93" i="9"/>
  <c r="Z93" i="9" s="1"/>
  <c r="P93" i="9"/>
  <c r="X93" i="9" s="1"/>
  <c r="H93" i="9"/>
  <c r="D93" i="9"/>
  <c r="L93" i="9" s="1"/>
  <c r="B93" i="9"/>
  <c r="X92" i="9"/>
  <c r="Z92" i="9" s="1"/>
  <c r="L92" i="9"/>
  <c r="N92" i="9" s="1"/>
  <c r="B92" i="9"/>
  <c r="X91" i="9"/>
  <c r="T91" i="9"/>
  <c r="Z91" i="9" s="1"/>
  <c r="P91" i="9"/>
  <c r="H91" i="9"/>
  <c r="D91" i="9"/>
  <c r="L91" i="9" s="1"/>
  <c r="N91" i="9" s="1"/>
  <c r="B91" i="9"/>
  <c r="Z90" i="9"/>
  <c r="X90" i="9"/>
  <c r="L90" i="9"/>
  <c r="N90" i="9" s="1"/>
  <c r="B90" i="9"/>
  <c r="X89" i="9"/>
  <c r="Z89" i="9" s="1"/>
  <c r="N89" i="9"/>
  <c r="L89" i="9"/>
  <c r="B89" i="9"/>
  <c r="T88" i="9"/>
  <c r="Z88" i="9" s="1"/>
  <c r="R88" i="9"/>
  <c r="P88" i="9"/>
  <c r="X88" i="9" s="1"/>
  <c r="H88" i="9"/>
  <c r="D88" i="9"/>
  <c r="L88" i="9" s="1"/>
  <c r="N88" i="9" s="1"/>
  <c r="B88" i="9"/>
  <c r="Z87" i="9"/>
  <c r="X87" i="9"/>
  <c r="R87" i="9"/>
  <c r="N87" i="9"/>
  <c r="L87" i="9"/>
  <c r="B87" i="9"/>
  <c r="X86" i="9"/>
  <c r="Z86" i="9" s="1"/>
  <c r="N86" i="9"/>
  <c r="L86" i="9"/>
  <c r="B86" i="9"/>
  <c r="Z85" i="9"/>
  <c r="X85" i="9"/>
  <c r="N85" i="9"/>
  <c r="L85" i="9"/>
  <c r="B85" i="9"/>
  <c r="Z84" i="9"/>
  <c r="X84" i="9"/>
  <c r="L84" i="9"/>
  <c r="N84" i="9" s="1"/>
  <c r="B84" i="9"/>
  <c r="T83" i="9"/>
  <c r="P83" i="9"/>
  <c r="H83" i="9"/>
  <c r="D83" i="9"/>
  <c r="L83" i="9" s="1"/>
  <c r="B83" i="9"/>
  <c r="X82" i="9"/>
  <c r="Z82" i="9" s="1"/>
  <c r="V82" i="9"/>
  <c r="N82" i="9"/>
  <c r="L82" i="9"/>
  <c r="B82" i="9"/>
  <c r="Z81" i="9"/>
  <c r="X81" i="9"/>
  <c r="N81" i="9"/>
  <c r="L81" i="9"/>
  <c r="B81" i="9"/>
  <c r="T80" i="9"/>
  <c r="Z80" i="9" s="1"/>
  <c r="P80" i="9"/>
  <c r="X80" i="9" s="1"/>
  <c r="H80" i="9"/>
  <c r="D80" i="9"/>
  <c r="L80" i="9" s="1"/>
  <c r="B80" i="9"/>
  <c r="X79" i="9"/>
  <c r="Z79" i="9" s="1"/>
  <c r="L79" i="9"/>
  <c r="N79" i="9" s="1"/>
  <c r="F79" i="9"/>
  <c r="B79" i="9"/>
  <c r="X78" i="9"/>
  <c r="Z78" i="9" s="1"/>
  <c r="L78" i="9"/>
  <c r="N78" i="9" s="1"/>
  <c r="B78" i="9"/>
  <c r="X77" i="9"/>
  <c r="T77" i="9"/>
  <c r="P77" i="9"/>
  <c r="H77" i="9"/>
  <c r="N77" i="9" s="1"/>
  <c r="D77" i="9"/>
  <c r="L77" i="9" s="1"/>
  <c r="B77" i="9"/>
  <c r="Z76" i="9"/>
  <c r="X76" i="9"/>
  <c r="N76" i="9"/>
  <c r="L76" i="9"/>
  <c r="B76" i="9"/>
  <c r="X75" i="9"/>
  <c r="Z75" i="9" s="1"/>
  <c r="R75" i="9"/>
  <c r="N75" i="9"/>
  <c r="L75" i="9"/>
  <c r="B75" i="9"/>
  <c r="X74" i="9"/>
  <c r="Z74" i="9" s="1"/>
  <c r="N74" i="9"/>
  <c r="L74" i="9"/>
  <c r="B74" i="9"/>
  <c r="X73" i="9"/>
  <c r="Z73" i="9" s="1"/>
  <c r="N73" i="9"/>
  <c r="L73" i="9"/>
  <c r="B73" i="9"/>
  <c r="T72" i="9"/>
  <c r="P72" i="9"/>
  <c r="X72" i="9" s="1"/>
  <c r="Z72" i="9" s="1"/>
  <c r="L72" i="9"/>
  <c r="H72" i="9"/>
  <c r="N72" i="9" s="1"/>
  <c r="D72" i="9"/>
  <c r="B72" i="9"/>
  <c r="X71" i="9"/>
  <c r="Z71" i="9" s="1"/>
  <c r="N71" i="9"/>
  <c r="L71" i="9"/>
  <c r="B71" i="9"/>
  <c r="X70" i="9"/>
  <c r="Z70" i="9" s="1"/>
  <c r="V70" i="9"/>
  <c r="N70" i="9"/>
  <c r="L70" i="9"/>
  <c r="B70" i="9"/>
  <c r="Z69" i="9"/>
  <c r="X69" i="9"/>
  <c r="L69" i="9"/>
  <c r="N69" i="9" s="1"/>
  <c r="B69" i="9"/>
  <c r="X68" i="9"/>
  <c r="Z68" i="9" s="1"/>
  <c r="N68" i="9"/>
  <c r="L68" i="9"/>
  <c r="B68" i="9"/>
  <c r="X67" i="9"/>
  <c r="T67" i="9"/>
  <c r="Z67" i="9" s="1"/>
  <c r="P67" i="9"/>
  <c r="H67" i="9"/>
  <c r="D67" i="9"/>
  <c r="L67" i="9" s="1"/>
  <c r="N67" i="9" s="1"/>
  <c r="B67" i="9"/>
  <c r="Z66" i="9"/>
  <c r="X66" i="9"/>
  <c r="N66" i="9"/>
  <c r="L66" i="9"/>
  <c r="B66" i="9"/>
  <c r="Z65" i="9"/>
  <c r="X65" i="9"/>
  <c r="N65" i="9"/>
  <c r="L65" i="9"/>
  <c r="B65" i="9"/>
  <c r="Z64" i="9"/>
  <c r="X64" i="9"/>
  <c r="N64" i="9"/>
  <c r="L64" i="9"/>
  <c r="B64" i="9"/>
  <c r="V63" i="9"/>
  <c r="T63" i="9"/>
  <c r="Z63" i="9" s="1"/>
  <c r="P63" i="9"/>
  <c r="X63" i="9" s="1"/>
  <c r="L63" i="9"/>
  <c r="H63" i="9"/>
  <c r="N63" i="9" s="1"/>
  <c r="D63" i="9"/>
  <c r="B63" i="9"/>
  <c r="X62" i="9"/>
  <c r="Z62" i="9" s="1"/>
  <c r="N62" i="9"/>
  <c r="L62" i="9"/>
  <c r="B62" i="9"/>
  <c r="T61" i="9"/>
  <c r="P61" i="9"/>
  <c r="X61" i="9" s="1"/>
  <c r="H61" i="9"/>
  <c r="D61" i="9"/>
  <c r="B61" i="9"/>
  <c r="X60" i="9"/>
  <c r="Z60" i="9" s="1"/>
  <c r="N60" i="9"/>
  <c r="L60" i="9"/>
  <c r="B60" i="9"/>
  <c r="T59" i="9"/>
  <c r="P59" i="9"/>
  <c r="H59" i="9"/>
  <c r="D59" i="9"/>
  <c r="L59" i="9" s="1"/>
  <c r="N59" i="9" s="1"/>
  <c r="B59" i="9"/>
  <c r="Z58" i="9"/>
  <c r="X58" i="9"/>
  <c r="L58" i="9"/>
  <c r="N58" i="9" s="1"/>
  <c r="B58" i="9"/>
  <c r="X57" i="9"/>
  <c r="T57" i="9"/>
  <c r="Z57" i="9" s="1"/>
  <c r="P57" i="9"/>
  <c r="H57" i="9"/>
  <c r="D57" i="9"/>
  <c r="L57" i="9" s="1"/>
  <c r="B57" i="9"/>
  <c r="Z56" i="9"/>
  <c r="X56" i="9"/>
  <c r="N56" i="9"/>
  <c r="L56" i="9"/>
  <c r="F56" i="9"/>
  <c r="B56" i="9"/>
  <c r="T55" i="9"/>
  <c r="P55" i="9"/>
  <c r="X55" i="9" s="1"/>
  <c r="H55" i="9"/>
  <c r="N55" i="9" s="1"/>
  <c r="F55" i="9"/>
  <c r="D55" i="9"/>
  <c r="L55" i="9" s="1"/>
  <c r="B55" i="9"/>
  <c r="Z54" i="9"/>
  <c r="X54" i="9"/>
  <c r="V54" i="9"/>
  <c r="N54" i="9"/>
  <c r="L54" i="9"/>
  <c r="B54" i="9"/>
  <c r="T53" i="9"/>
  <c r="P53" i="9"/>
  <c r="X53" i="9" s="1"/>
  <c r="Z53" i="9" s="1"/>
  <c r="H53" i="9"/>
  <c r="N53" i="9" s="1"/>
  <c r="D53" i="9"/>
  <c r="L53" i="9" s="1"/>
  <c r="B53" i="9"/>
  <c r="Z52" i="9"/>
  <c r="X52" i="9"/>
  <c r="N52" i="9"/>
  <c r="L52" i="9"/>
  <c r="B52" i="9"/>
  <c r="X51" i="9"/>
  <c r="Z51" i="9" s="1"/>
  <c r="V51" i="9"/>
  <c r="N51" i="9"/>
  <c r="L51" i="9"/>
  <c r="F51" i="9"/>
  <c r="B51" i="9"/>
  <c r="T50" i="9"/>
  <c r="P50" i="9"/>
  <c r="X50" i="9" s="1"/>
  <c r="Z50" i="9" s="1"/>
  <c r="H50" i="9"/>
  <c r="F50" i="9"/>
  <c r="D50" i="9"/>
  <c r="L50" i="9" s="1"/>
  <c r="N50" i="9" s="1"/>
  <c r="B50" i="9"/>
  <c r="X49" i="9"/>
  <c r="Z49" i="9" s="1"/>
  <c r="N49" i="9"/>
  <c r="L49" i="9"/>
  <c r="B49" i="9"/>
  <c r="Z48" i="9"/>
  <c r="X48" i="9"/>
  <c r="T48" i="9"/>
  <c r="P48" i="9"/>
  <c r="L48" i="9"/>
  <c r="N48" i="9" s="1"/>
  <c r="H48" i="9"/>
  <c r="D48" i="9"/>
  <c r="B48" i="9"/>
  <c r="Z47" i="9"/>
  <c r="X47" i="9"/>
  <c r="L47" i="9"/>
  <c r="N47" i="9" s="1"/>
  <c r="B47" i="9"/>
  <c r="V46" i="9"/>
  <c r="T46" i="9"/>
  <c r="P46" i="9"/>
  <c r="X46" i="9" s="1"/>
  <c r="H46" i="9"/>
  <c r="D46" i="9"/>
  <c r="L46" i="9" s="1"/>
  <c r="B46" i="9"/>
  <c r="X45" i="9"/>
  <c r="Z45" i="9" s="1"/>
  <c r="N45" i="9"/>
  <c r="L45" i="9"/>
  <c r="B45" i="9"/>
  <c r="X44" i="9"/>
  <c r="T44" i="9"/>
  <c r="Z44" i="9" s="1"/>
  <c r="R44" i="9"/>
  <c r="P44" i="9"/>
  <c r="H44" i="9"/>
  <c r="N44" i="9" s="1"/>
  <c r="D44" i="9"/>
  <c r="L44" i="9" s="1"/>
  <c r="B44" i="9"/>
  <c r="X43" i="9"/>
  <c r="Z43" i="9" s="1"/>
  <c r="R43" i="9"/>
  <c r="N43" i="9"/>
  <c r="L43" i="9"/>
  <c r="B43" i="9"/>
  <c r="X42" i="9"/>
  <c r="T42" i="9"/>
  <c r="Z42" i="9" s="1"/>
  <c r="P42" i="9"/>
  <c r="N42" i="9"/>
  <c r="H42" i="9"/>
  <c r="D42" i="9"/>
  <c r="L42" i="9" s="1"/>
  <c r="B42" i="9"/>
  <c r="Z41" i="9"/>
  <c r="X41" i="9"/>
  <c r="N41" i="9"/>
  <c r="L41" i="9"/>
  <c r="B41" i="9"/>
  <c r="Z40" i="9"/>
  <c r="X40" i="9"/>
  <c r="R40" i="9"/>
  <c r="N40" i="9"/>
  <c r="L40" i="9"/>
  <c r="B40" i="9"/>
  <c r="X39" i="9"/>
  <c r="Z39" i="9" s="1"/>
  <c r="L39" i="9"/>
  <c r="N39" i="9" s="1"/>
  <c r="B39" i="9"/>
  <c r="X38" i="9"/>
  <c r="Z38" i="9" s="1"/>
  <c r="V38" i="9"/>
  <c r="L38" i="9"/>
  <c r="N38" i="9" s="1"/>
  <c r="B38" i="9"/>
  <c r="Z37" i="9"/>
  <c r="X37" i="9"/>
  <c r="N37" i="9"/>
  <c r="L37" i="9"/>
  <c r="B37" i="9"/>
  <c r="X36" i="9"/>
  <c r="Z36" i="9" s="1"/>
  <c r="R36" i="9"/>
  <c r="L36" i="9"/>
  <c r="N36" i="9" s="1"/>
  <c r="B36" i="9"/>
  <c r="X35" i="9"/>
  <c r="Z35" i="9" s="1"/>
  <c r="L35" i="9"/>
  <c r="N35" i="9" s="1"/>
  <c r="B35" i="9"/>
  <c r="Z34" i="9"/>
  <c r="X34" i="9"/>
  <c r="V34" i="9"/>
  <c r="N34" i="9"/>
  <c r="L34" i="9"/>
  <c r="B34" i="9"/>
  <c r="Z33" i="9"/>
  <c r="X33" i="9"/>
  <c r="L33" i="9"/>
  <c r="N33" i="9" s="1"/>
  <c r="B33" i="9"/>
  <c r="Z32" i="9"/>
  <c r="X32" i="9"/>
  <c r="R32" i="9"/>
  <c r="L32" i="9"/>
  <c r="N32" i="9" s="1"/>
  <c r="B32" i="9"/>
  <c r="T31" i="9"/>
  <c r="Z31" i="9" s="1"/>
  <c r="P31" i="9"/>
  <c r="X31" i="9" s="1"/>
  <c r="H31" i="9"/>
  <c r="D31" i="9"/>
  <c r="L31" i="9" s="1"/>
  <c r="N31" i="9" s="1"/>
  <c r="B31" i="9"/>
  <c r="X30" i="9"/>
  <c r="Z30" i="9" s="1"/>
  <c r="L30" i="9"/>
  <c r="N30" i="9" s="1"/>
  <c r="B30" i="9"/>
  <c r="X29" i="9"/>
  <c r="Z29" i="9" s="1"/>
  <c r="N29" i="9"/>
  <c r="L29" i="9"/>
  <c r="B29" i="9"/>
  <c r="X28" i="9"/>
  <c r="Z28" i="9" s="1"/>
  <c r="N28" i="9"/>
  <c r="L28" i="9"/>
  <c r="B28" i="9"/>
  <c r="X27" i="9"/>
  <c r="Z27" i="9" s="1"/>
  <c r="V27" i="9"/>
  <c r="L27" i="9"/>
  <c r="N27" i="9" s="1"/>
  <c r="F27" i="9"/>
  <c r="B27" i="9"/>
  <c r="Z26" i="9"/>
  <c r="X26" i="9"/>
  <c r="N26" i="9"/>
  <c r="L26" i="9"/>
  <c r="B26" i="9"/>
  <c r="X25" i="9"/>
  <c r="Z25" i="9" s="1"/>
  <c r="N25" i="9"/>
  <c r="L25" i="9"/>
  <c r="B25" i="9"/>
  <c r="X24" i="9"/>
  <c r="Z24" i="9" s="1"/>
  <c r="V24" i="9"/>
  <c r="N24" i="9"/>
  <c r="L24" i="9"/>
  <c r="B24" i="9"/>
  <c r="X23" i="9"/>
  <c r="Z23" i="9" s="1"/>
  <c r="V23" i="9"/>
  <c r="L23" i="9"/>
  <c r="N23" i="9" s="1"/>
  <c r="F23" i="9"/>
  <c r="B23" i="9"/>
  <c r="X22" i="9"/>
  <c r="Z22" i="9" s="1"/>
  <c r="L22" i="9"/>
  <c r="N22" i="9" s="1"/>
  <c r="B22" i="9"/>
  <c r="X21" i="9"/>
  <c r="Z21" i="9" s="1"/>
  <c r="V21" i="9"/>
  <c r="L21" i="9"/>
  <c r="N21" i="9" s="1"/>
  <c r="B21" i="9"/>
  <c r="X20" i="9"/>
  <c r="Z20" i="9" s="1"/>
  <c r="V20" i="9"/>
  <c r="N20" i="9"/>
  <c r="L20" i="9"/>
  <c r="B20" i="9"/>
  <c r="V19" i="9"/>
  <c r="T19" i="9"/>
  <c r="Z19" i="9" s="1"/>
  <c r="P19" i="9"/>
  <c r="X19" i="9" s="1"/>
  <c r="L19" i="9"/>
  <c r="H19" i="9"/>
  <c r="D19" i="9"/>
  <c r="B19" i="9"/>
  <c r="X18" i="9"/>
  <c r="T18" i="9"/>
  <c r="Z18" i="9" s="1"/>
  <c r="P18" i="9"/>
  <c r="H18" i="9"/>
  <c r="F18" i="9"/>
  <c r="D18" i="9"/>
  <c r="L18" i="9" s="1"/>
  <c r="N18" i="9" s="1"/>
  <c r="F16" i="9"/>
  <c r="X14" i="9"/>
  <c r="T14" i="9"/>
  <c r="Z14" i="9" s="1"/>
  <c r="P14" i="9"/>
  <c r="N14" i="9"/>
  <c r="H14" i="9"/>
  <c r="F14" i="9"/>
  <c r="D14" i="9"/>
  <c r="L14" i="9" s="1"/>
  <c r="Z12" i="9"/>
  <c r="X12" i="9"/>
  <c r="T12" i="9"/>
  <c r="V89" i="9" s="1"/>
  <c r="P12" i="9"/>
  <c r="R99" i="9" s="1"/>
  <c r="H12" i="9"/>
  <c r="J94" i="9" s="1"/>
  <c r="D12" i="9"/>
  <c r="F94" i="9" s="1"/>
  <c r="D4" i="9"/>
  <c r="V31" i="6"/>
  <c r="V29" i="6"/>
  <c r="T29" i="6"/>
  <c r="P29" i="6"/>
  <c r="X29" i="6" s="1"/>
  <c r="L29" i="6"/>
  <c r="H29" i="6"/>
  <c r="N29" i="6" s="1"/>
  <c r="D29" i="6"/>
  <c r="V28" i="6"/>
  <c r="T28" i="6"/>
  <c r="Z28" i="6" s="1"/>
  <c r="P28" i="6"/>
  <c r="X28" i="6" s="1"/>
  <c r="L28" i="6"/>
  <c r="H28" i="6"/>
  <c r="D28" i="6"/>
  <c r="V26" i="6"/>
  <c r="Z24" i="6"/>
  <c r="X24" i="6"/>
  <c r="V24" i="6"/>
  <c r="N24" i="6"/>
  <c r="L24" i="6"/>
  <c r="F24" i="6"/>
  <c r="X20" i="6"/>
  <c r="T20" i="6"/>
  <c r="Z20" i="6" s="1"/>
  <c r="P20" i="6"/>
  <c r="N20" i="6"/>
  <c r="H20" i="6"/>
  <c r="D20" i="6"/>
  <c r="L20" i="6" s="1"/>
  <c r="Z18" i="6"/>
  <c r="X18" i="6"/>
  <c r="T18" i="6"/>
  <c r="P18" i="6"/>
  <c r="N18" i="6"/>
  <c r="H18" i="6"/>
  <c r="D18" i="6"/>
  <c r="L18" i="6" s="1"/>
  <c r="D16" i="6"/>
  <c r="Z14" i="6"/>
  <c r="X14" i="6"/>
  <c r="T14" i="6"/>
  <c r="P14" i="6"/>
  <c r="N14" i="6"/>
  <c r="H14" i="6"/>
  <c r="D14" i="6"/>
  <c r="L14" i="6" s="1"/>
  <c r="Z12" i="6"/>
  <c r="X12" i="6"/>
  <c r="T12" i="6"/>
  <c r="V22" i="6" s="1"/>
  <c r="P12" i="6"/>
  <c r="R22" i="6" s="1"/>
  <c r="H12" i="6"/>
  <c r="J31" i="6" s="1"/>
  <c r="D12" i="6"/>
  <c r="F31" i="6" s="1"/>
  <c r="D4" i="6"/>
  <c r="Z321" i="3"/>
  <c r="X321" i="3"/>
  <c r="T321" i="3"/>
  <c r="P321" i="3"/>
  <c r="L321" i="3"/>
  <c r="H321" i="3"/>
  <c r="N321" i="3" s="1"/>
  <c r="D321" i="3"/>
  <c r="Z320" i="3"/>
  <c r="X320" i="3"/>
  <c r="T320" i="3"/>
  <c r="P320" i="3"/>
  <c r="L320" i="3"/>
  <c r="N320" i="3" s="1"/>
  <c r="H320" i="3"/>
  <c r="D320" i="3"/>
  <c r="Z316" i="3"/>
  <c r="X316" i="3"/>
  <c r="L316" i="3"/>
  <c r="N316" i="3" s="1"/>
  <c r="Z312" i="3"/>
  <c r="P312" i="3"/>
  <c r="X312" i="3" s="1"/>
  <c r="N312" i="3"/>
  <c r="D312" i="3"/>
  <c r="L312" i="3" s="1"/>
  <c r="B312" i="3"/>
  <c r="Z311" i="3"/>
  <c r="P311" i="3"/>
  <c r="X311" i="3" s="1"/>
  <c r="N311" i="3"/>
  <c r="L311" i="3"/>
  <c r="D311" i="3"/>
  <c r="B311" i="3"/>
  <c r="X310" i="3"/>
  <c r="Z310" i="3" s="1"/>
  <c r="P310" i="3"/>
  <c r="L310" i="3"/>
  <c r="N310" i="3" s="1"/>
  <c r="D310" i="3"/>
  <c r="B310" i="3"/>
  <c r="Z309" i="3"/>
  <c r="P309" i="3"/>
  <c r="X309" i="3" s="1"/>
  <c r="N309" i="3"/>
  <c r="L309" i="3"/>
  <c r="D309" i="3"/>
  <c r="B309" i="3"/>
  <c r="X308" i="3"/>
  <c r="Z308" i="3" s="1"/>
  <c r="P308" i="3"/>
  <c r="N308" i="3"/>
  <c r="L308" i="3"/>
  <c r="D308" i="3"/>
  <c r="B308" i="3"/>
  <c r="P307" i="3"/>
  <c r="P301" i="3" s="1"/>
  <c r="D307" i="3"/>
  <c r="L307" i="3" s="1"/>
  <c r="N307" i="3" s="1"/>
  <c r="B307" i="3"/>
  <c r="Z306" i="3"/>
  <c r="X306" i="3"/>
  <c r="P306" i="3"/>
  <c r="N306" i="3"/>
  <c r="L306" i="3"/>
  <c r="D306" i="3"/>
  <c r="B306" i="3"/>
  <c r="Z305" i="3"/>
  <c r="X305" i="3"/>
  <c r="P305" i="3"/>
  <c r="N305" i="3"/>
  <c r="L305" i="3"/>
  <c r="D305" i="3"/>
  <c r="B305" i="3"/>
  <c r="Z304" i="3"/>
  <c r="X304" i="3"/>
  <c r="P304" i="3"/>
  <c r="N304" i="3"/>
  <c r="D304" i="3"/>
  <c r="B304" i="3"/>
  <c r="Z303" i="3"/>
  <c r="X303" i="3"/>
  <c r="P303" i="3"/>
  <c r="N303" i="3"/>
  <c r="L303" i="3"/>
  <c r="D303" i="3"/>
  <c r="B303" i="3"/>
  <c r="Z302" i="3"/>
  <c r="X302" i="3"/>
  <c r="V302" i="3"/>
  <c r="P302" i="3"/>
  <c r="N302" i="3"/>
  <c r="D302" i="3"/>
  <c r="L302" i="3" s="1"/>
  <c r="B302" i="3"/>
  <c r="T301" i="3"/>
  <c r="H301" i="3"/>
  <c r="Z299" i="3"/>
  <c r="X299" i="3"/>
  <c r="L299" i="3"/>
  <c r="N299" i="3" s="1"/>
  <c r="B299" i="3"/>
  <c r="T298" i="3"/>
  <c r="P298" i="3"/>
  <c r="H298" i="3"/>
  <c r="D298" i="3"/>
  <c r="L298" i="3" s="1"/>
  <c r="N298" i="3" s="1"/>
  <c r="B298" i="3"/>
  <c r="Z297" i="3"/>
  <c r="X297" i="3"/>
  <c r="L297" i="3"/>
  <c r="N297" i="3" s="1"/>
  <c r="B297" i="3"/>
  <c r="X296" i="3"/>
  <c r="Z296" i="3" s="1"/>
  <c r="L296" i="3"/>
  <c r="N296" i="3" s="1"/>
  <c r="B296" i="3"/>
  <c r="Z295" i="3"/>
  <c r="X295" i="3"/>
  <c r="N295" i="3"/>
  <c r="L295" i="3"/>
  <c r="B295" i="3"/>
  <c r="T294" i="3"/>
  <c r="Z294" i="3" s="1"/>
  <c r="P294" i="3"/>
  <c r="X294" i="3" s="1"/>
  <c r="H294" i="3"/>
  <c r="D294" i="3"/>
  <c r="L294" i="3" s="1"/>
  <c r="B294" i="3"/>
  <c r="X293" i="3"/>
  <c r="Z293" i="3" s="1"/>
  <c r="N293" i="3"/>
  <c r="L293" i="3"/>
  <c r="B293" i="3"/>
  <c r="X292" i="3"/>
  <c r="T292" i="3"/>
  <c r="Z292" i="3" s="1"/>
  <c r="P292" i="3"/>
  <c r="H292" i="3"/>
  <c r="N292" i="3" s="1"/>
  <c r="D292" i="3"/>
  <c r="L292" i="3" s="1"/>
  <c r="B292" i="3"/>
  <c r="Z291" i="3"/>
  <c r="X291" i="3"/>
  <c r="N291" i="3"/>
  <c r="L291" i="3"/>
  <c r="B291" i="3"/>
  <c r="X290" i="3"/>
  <c r="Z290" i="3" s="1"/>
  <c r="L290" i="3"/>
  <c r="N290" i="3" s="1"/>
  <c r="B290" i="3"/>
  <c r="T289" i="3"/>
  <c r="Z289" i="3" s="1"/>
  <c r="P289" i="3"/>
  <c r="X289" i="3" s="1"/>
  <c r="H289" i="3"/>
  <c r="D289" i="3"/>
  <c r="B289" i="3"/>
  <c r="X288" i="3"/>
  <c r="Z288" i="3" s="1"/>
  <c r="L288" i="3"/>
  <c r="N288" i="3" s="1"/>
  <c r="B288" i="3"/>
  <c r="X287" i="3"/>
  <c r="Z287" i="3" s="1"/>
  <c r="N287" i="3"/>
  <c r="L287" i="3"/>
  <c r="B287" i="3"/>
  <c r="X286" i="3"/>
  <c r="Z286" i="3" s="1"/>
  <c r="N286" i="3"/>
  <c r="L286" i="3"/>
  <c r="B286" i="3"/>
  <c r="Z285" i="3"/>
  <c r="X285" i="3"/>
  <c r="L285" i="3"/>
  <c r="N285" i="3" s="1"/>
  <c r="B285" i="3"/>
  <c r="Z284" i="3"/>
  <c r="X284" i="3"/>
  <c r="L284" i="3"/>
  <c r="N284" i="3" s="1"/>
  <c r="B284" i="3"/>
  <c r="X283" i="3"/>
  <c r="Z283" i="3" s="1"/>
  <c r="L283" i="3"/>
  <c r="N283" i="3" s="1"/>
  <c r="B283" i="3"/>
  <c r="Z282" i="3"/>
  <c r="X282" i="3"/>
  <c r="L282" i="3"/>
  <c r="N282" i="3" s="1"/>
  <c r="B282" i="3"/>
  <c r="Z281" i="3"/>
  <c r="X281" i="3"/>
  <c r="L281" i="3"/>
  <c r="N281" i="3" s="1"/>
  <c r="B281" i="3"/>
  <c r="X280" i="3"/>
  <c r="Z280" i="3" s="1"/>
  <c r="L280" i="3"/>
  <c r="N280" i="3" s="1"/>
  <c r="B280" i="3"/>
  <c r="X279" i="3"/>
  <c r="Z279" i="3" s="1"/>
  <c r="L279" i="3"/>
  <c r="N279" i="3" s="1"/>
  <c r="B279" i="3"/>
  <c r="V278" i="3"/>
  <c r="T278" i="3"/>
  <c r="Z278" i="3" s="1"/>
  <c r="P278" i="3"/>
  <c r="X278" i="3" s="1"/>
  <c r="H278" i="3"/>
  <c r="D278" i="3"/>
  <c r="L278" i="3" s="1"/>
  <c r="B278" i="3"/>
  <c r="X277" i="3"/>
  <c r="Z277" i="3" s="1"/>
  <c r="N277" i="3"/>
  <c r="L277" i="3"/>
  <c r="B277" i="3"/>
  <c r="X276" i="3"/>
  <c r="Z276" i="3" s="1"/>
  <c r="N276" i="3"/>
  <c r="L276" i="3"/>
  <c r="B276" i="3"/>
  <c r="X275" i="3"/>
  <c r="Z275" i="3" s="1"/>
  <c r="T275" i="3"/>
  <c r="P275" i="3"/>
  <c r="N275" i="3"/>
  <c r="L275" i="3"/>
  <c r="H275" i="3"/>
  <c r="D275" i="3"/>
  <c r="B275" i="3"/>
  <c r="Z274" i="3"/>
  <c r="X274" i="3"/>
  <c r="L274" i="3"/>
  <c r="N274" i="3" s="1"/>
  <c r="B274" i="3"/>
  <c r="X273" i="3"/>
  <c r="Z273" i="3" s="1"/>
  <c r="N273" i="3"/>
  <c r="L273" i="3"/>
  <c r="B273" i="3"/>
  <c r="Z272" i="3"/>
  <c r="X272" i="3"/>
  <c r="L272" i="3"/>
  <c r="N272" i="3" s="1"/>
  <c r="B272" i="3"/>
  <c r="X271" i="3"/>
  <c r="Z271" i="3" s="1"/>
  <c r="V271" i="3"/>
  <c r="N271" i="3"/>
  <c r="L271" i="3"/>
  <c r="B271" i="3"/>
  <c r="Z270" i="3"/>
  <c r="X270" i="3"/>
  <c r="L270" i="3"/>
  <c r="N270" i="3" s="1"/>
  <c r="B270" i="3"/>
  <c r="Z269" i="3"/>
  <c r="X269" i="3"/>
  <c r="N269" i="3"/>
  <c r="L269" i="3"/>
  <c r="B269" i="3"/>
  <c r="Z268" i="3"/>
  <c r="X268" i="3"/>
  <c r="T268" i="3"/>
  <c r="P268" i="3"/>
  <c r="H268" i="3"/>
  <c r="D268" i="3"/>
  <c r="L268" i="3" s="1"/>
  <c r="N268" i="3" s="1"/>
  <c r="B268" i="3"/>
  <c r="Z267" i="3"/>
  <c r="X267" i="3"/>
  <c r="L267" i="3"/>
  <c r="N267" i="3" s="1"/>
  <c r="B267" i="3"/>
  <c r="X266" i="3"/>
  <c r="Z266" i="3" s="1"/>
  <c r="N266" i="3"/>
  <c r="L266" i="3"/>
  <c r="B266" i="3"/>
  <c r="X265" i="3"/>
  <c r="Z265" i="3" s="1"/>
  <c r="N265" i="3"/>
  <c r="L265" i="3"/>
  <c r="B265" i="3"/>
  <c r="X264" i="3"/>
  <c r="Z264" i="3" s="1"/>
  <c r="L264" i="3"/>
  <c r="N264" i="3" s="1"/>
  <c r="B264" i="3"/>
  <c r="T263" i="3"/>
  <c r="P263" i="3"/>
  <c r="X263" i="3" s="1"/>
  <c r="Z263" i="3" s="1"/>
  <c r="H263" i="3"/>
  <c r="N263" i="3" s="1"/>
  <c r="D263" i="3"/>
  <c r="L263" i="3" s="1"/>
  <c r="B263" i="3"/>
  <c r="Z262" i="3"/>
  <c r="X262" i="3"/>
  <c r="N262" i="3"/>
  <c r="L262" i="3"/>
  <c r="B262" i="3"/>
  <c r="Z261" i="3"/>
  <c r="X261" i="3"/>
  <c r="N261" i="3"/>
  <c r="L261" i="3"/>
  <c r="B261" i="3"/>
  <c r="X260" i="3"/>
  <c r="Z260" i="3" s="1"/>
  <c r="N260" i="3"/>
  <c r="L260" i="3"/>
  <c r="B260" i="3"/>
  <c r="X259" i="3"/>
  <c r="Z259" i="3" s="1"/>
  <c r="L259" i="3"/>
  <c r="N259" i="3" s="1"/>
  <c r="J259" i="3"/>
  <c r="B259" i="3"/>
  <c r="T258" i="3"/>
  <c r="P258" i="3"/>
  <c r="H258" i="3"/>
  <c r="D258" i="3"/>
  <c r="L258" i="3" s="1"/>
  <c r="B258" i="3"/>
  <c r="Z257" i="3"/>
  <c r="X257" i="3"/>
  <c r="N257" i="3"/>
  <c r="L257" i="3"/>
  <c r="B257" i="3"/>
  <c r="Z256" i="3"/>
  <c r="X256" i="3"/>
  <c r="T256" i="3"/>
  <c r="P256" i="3"/>
  <c r="H256" i="3"/>
  <c r="D256" i="3"/>
  <c r="L256" i="3" s="1"/>
  <c r="N256" i="3" s="1"/>
  <c r="B256" i="3"/>
  <c r="Z255" i="3"/>
  <c r="X255" i="3"/>
  <c r="L255" i="3"/>
  <c r="N255" i="3" s="1"/>
  <c r="B255" i="3"/>
  <c r="X254" i="3"/>
  <c r="T254" i="3"/>
  <c r="Z254" i="3" s="1"/>
  <c r="P254" i="3"/>
  <c r="L254" i="3"/>
  <c r="H254" i="3"/>
  <c r="N254" i="3" s="1"/>
  <c r="D254" i="3"/>
  <c r="B254" i="3"/>
  <c r="Z253" i="3"/>
  <c r="X253" i="3"/>
  <c r="N253" i="3"/>
  <c r="L253" i="3"/>
  <c r="B253" i="3"/>
  <c r="T252" i="3"/>
  <c r="P252" i="3"/>
  <c r="X252" i="3" s="1"/>
  <c r="H252" i="3"/>
  <c r="N252" i="3" s="1"/>
  <c r="D252" i="3"/>
  <c r="L252" i="3" s="1"/>
  <c r="B252" i="3"/>
  <c r="X251" i="3"/>
  <c r="Z251" i="3" s="1"/>
  <c r="V251" i="3"/>
  <c r="N251" i="3"/>
  <c r="L251" i="3"/>
  <c r="B251" i="3"/>
  <c r="T250" i="3"/>
  <c r="P250" i="3"/>
  <c r="X250" i="3" s="1"/>
  <c r="Z250" i="3" s="1"/>
  <c r="N250" i="3"/>
  <c r="L250" i="3"/>
  <c r="H250" i="3"/>
  <c r="D250" i="3"/>
  <c r="B250" i="3"/>
  <c r="Z249" i="3"/>
  <c r="X249" i="3"/>
  <c r="N249" i="3"/>
  <c r="L249" i="3"/>
  <c r="B249" i="3"/>
  <c r="X248" i="3"/>
  <c r="T248" i="3"/>
  <c r="Z248" i="3" s="1"/>
  <c r="P248" i="3"/>
  <c r="L248" i="3"/>
  <c r="H248" i="3"/>
  <c r="N248" i="3" s="1"/>
  <c r="D248" i="3"/>
  <c r="B248" i="3"/>
  <c r="X247" i="3"/>
  <c r="Z247" i="3" s="1"/>
  <c r="N247" i="3"/>
  <c r="L247" i="3"/>
  <c r="J247" i="3"/>
  <c r="B247" i="3"/>
  <c r="T246" i="3"/>
  <c r="Z246" i="3" s="1"/>
  <c r="P246" i="3"/>
  <c r="X246" i="3" s="1"/>
  <c r="H246" i="3"/>
  <c r="D246" i="3"/>
  <c r="L246" i="3" s="1"/>
  <c r="B246" i="3"/>
  <c r="Z245" i="3"/>
  <c r="X245" i="3"/>
  <c r="N245" i="3"/>
  <c r="L245" i="3"/>
  <c r="B245" i="3"/>
  <c r="Z244" i="3"/>
  <c r="X244" i="3"/>
  <c r="L244" i="3"/>
  <c r="N244" i="3" s="1"/>
  <c r="B244" i="3"/>
  <c r="V243" i="3"/>
  <c r="T243" i="3"/>
  <c r="P243" i="3"/>
  <c r="X243" i="3" s="1"/>
  <c r="H243" i="3"/>
  <c r="D243" i="3"/>
  <c r="L243" i="3" s="1"/>
  <c r="B243" i="3"/>
  <c r="X242" i="3"/>
  <c r="Z242" i="3" s="1"/>
  <c r="N242" i="3"/>
  <c r="L242" i="3"/>
  <c r="B242" i="3"/>
  <c r="X241" i="3"/>
  <c r="Z241" i="3" s="1"/>
  <c r="N241" i="3"/>
  <c r="L241" i="3"/>
  <c r="B241" i="3"/>
  <c r="X240" i="3"/>
  <c r="T240" i="3"/>
  <c r="Z240" i="3" s="1"/>
  <c r="P240" i="3"/>
  <c r="L240" i="3"/>
  <c r="H240" i="3"/>
  <c r="N240" i="3" s="1"/>
  <c r="D240" i="3"/>
  <c r="B240" i="3"/>
  <c r="X239" i="3"/>
  <c r="Z239" i="3" s="1"/>
  <c r="N239" i="3"/>
  <c r="L239" i="3"/>
  <c r="J239" i="3"/>
  <c r="B239" i="3"/>
  <c r="T238" i="3"/>
  <c r="X238" i="3" s="1"/>
  <c r="Z238" i="3" s="1"/>
  <c r="P238" i="3"/>
  <c r="H238" i="3"/>
  <c r="D238" i="3"/>
  <c r="L238" i="3" s="1"/>
  <c r="B238" i="3"/>
  <c r="Z237" i="3"/>
  <c r="X237" i="3"/>
  <c r="L237" i="3"/>
  <c r="N237" i="3" s="1"/>
  <c r="B237" i="3"/>
  <c r="X236" i="3"/>
  <c r="Z236" i="3" s="1"/>
  <c r="T236" i="3"/>
  <c r="P236" i="3"/>
  <c r="H236" i="3"/>
  <c r="D236" i="3"/>
  <c r="L236" i="3" s="1"/>
  <c r="N236" i="3" s="1"/>
  <c r="B236" i="3"/>
  <c r="X235" i="3"/>
  <c r="Z235" i="3" s="1"/>
  <c r="L235" i="3"/>
  <c r="N235" i="3" s="1"/>
  <c r="B235" i="3"/>
  <c r="X234" i="3"/>
  <c r="Z234" i="3" s="1"/>
  <c r="N234" i="3"/>
  <c r="L234" i="3"/>
  <c r="B234" i="3"/>
  <c r="X233" i="3"/>
  <c r="Z233" i="3" s="1"/>
  <c r="N233" i="3"/>
  <c r="L233" i="3"/>
  <c r="B233" i="3"/>
  <c r="X232" i="3"/>
  <c r="T232" i="3"/>
  <c r="Z232" i="3" s="1"/>
  <c r="P232" i="3"/>
  <c r="L232" i="3"/>
  <c r="H232" i="3"/>
  <c r="N232" i="3" s="1"/>
  <c r="D232" i="3"/>
  <c r="B232" i="3"/>
  <c r="Z231" i="3"/>
  <c r="X231" i="3"/>
  <c r="N231" i="3"/>
  <c r="L231" i="3"/>
  <c r="J231" i="3"/>
  <c r="B231" i="3"/>
  <c r="Z230" i="3"/>
  <c r="X230" i="3"/>
  <c r="N230" i="3"/>
  <c r="L230" i="3"/>
  <c r="B230" i="3"/>
  <c r="T229" i="3"/>
  <c r="X229" i="3" s="1"/>
  <c r="Z229" i="3" s="1"/>
  <c r="P229" i="3"/>
  <c r="L229" i="3"/>
  <c r="N229" i="3" s="1"/>
  <c r="H229" i="3"/>
  <c r="D229" i="3"/>
  <c r="B229" i="3"/>
  <c r="X228" i="3"/>
  <c r="Z228" i="3" s="1"/>
  <c r="L228" i="3"/>
  <c r="N228" i="3" s="1"/>
  <c r="B228" i="3"/>
  <c r="Z227" i="3"/>
  <c r="X227" i="3"/>
  <c r="V227" i="3"/>
  <c r="L227" i="3"/>
  <c r="N227" i="3" s="1"/>
  <c r="B227" i="3"/>
  <c r="Z226" i="3"/>
  <c r="X226" i="3"/>
  <c r="L226" i="3"/>
  <c r="N226" i="3" s="1"/>
  <c r="B226" i="3"/>
  <c r="Z225" i="3"/>
  <c r="X225" i="3"/>
  <c r="L225" i="3"/>
  <c r="N225" i="3" s="1"/>
  <c r="B225" i="3"/>
  <c r="X224" i="3"/>
  <c r="Z224" i="3" s="1"/>
  <c r="T224" i="3"/>
  <c r="P224" i="3"/>
  <c r="H224" i="3"/>
  <c r="D224" i="3"/>
  <c r="L224" i="3" s="1"/>
  <c r="N224" i="3" s="1"/>
  <c r="B224" i="3"/>
  <c r="X223" i="3"/>
  <c r="Z223" i="3" s="1"/>
  <c r="L223" i="3"/>
  <c r="N223" i="3" s="1"/>
  <c r="B223" i="3"/>
  <c r="X222" i="3"/>
  <c r="T222" i="3"/>
  <c r="Z222" i="3" s="1"/>
  <c r="P222" i="3"/>
  <c r="H222" i="3"/>
  <c r="D222" i="3"/>
  <c r="L222" i="3" s="1"/>
  <c r="B222" i="3"/>
  <c r="Z221" i="3"/>
  <c r="X221" i="3"/>
  <c r="N221" i="3"/>
  <c r="L221" i="3"/>
  <c r="B221" i="3"/>
  <c r="X220" i="3"/>
  <c r="Z220" i="3" s="1"/>
  <c r="L220" i="3"/>
  <c r="N220" i="3" s="1"/>
  <c r="B220" i="3"/>
  <c r="X219" i="3"/>
  <c r="Z219" i="3" s="1"/>
  <c r="T219" i="3"/>
  <c r="P219" i="3"/>
  <c r="H219" i="3"/>
  <c r="L219" i="3" s="1"/>
  <c r="N219" i="3" s="1"/>
  <c r="D219" i="3"/>
  <c r="B219" i="3"/>
  <c r="Z218" i="3"/>
  <c r="X218" i="3"/>
  <c r="L218" i="3"/>
  <c r="N218" i="3" s="1"/>
  <c r="B218" i="3"/>
  <c r="T217" i="3"/>
  <c r="P217" i="3"/>
  <c r="X217" i="3" s="1"/>
  <c r="J217" i="3"/>
  <c r="H217" i="3"/>
  <c r="D217" i="3"/>
  <c r="L217" i="3" s="1"/>
  <c r="N217" i="3" s="1"/>
  <c r="B217" i="3"/>
  <c r="Z216" i="3"/>
  <c r="X216" i="3"/>
  <c r="N216" i="3"/>
  <c r="L216" i="3"/>
  <c r="B216" i="3"/>
  <c r="Z215" i="3"/>
  <c r="X215" i="3"/>
  <c r="N215" i="3"/>
  <c r="L215" i="3"/>
  <c r="B215" i="3"/>
  <c r="X214" i="3"/>
  <c r="Z214" i="3" s="1"/>
  <c r="N214" i="3"/>
  <c r="L214" i="3"/>
  <c r="B214" i="3"/>
  <c r="Z213" i="3"/>
  <c r="X213" i="3"/>
  <c r="N213" i="3"/>
  <c r="L213" i="3"/>
  <c r="B213" i="3"/>
  <c r="Z212" i="3"/>
  <c r="X212" i="3"/>
  <c r="N212" i="3"/>
  <c r="L212" i="3"/>
  <c r="B212" i="3"/>
  <c r="X211" i="3"/>
  <c r="Z211" i="3" s="1"/>
  <c r="L211" i="3"/>
  <c r="N211" i="3" s="1"/>
  <c r="B211" i="3"/>
  <c r="X210" i="3"/>
  <c r="Z210" i="3" s="1"/>
  <c r="N210" i="3"/>
  <c r="L210" i="3"/>
  <c r="B210" i="3"/>
  <c r="Z209" i="3"/>
  <c r="X209" i="3"/>
  <c r="N209" i="3"/>
  <c r="L209" i="3"/>
  <c r="B209" i="3"/>
  <c r="X208" i="3"/>
  <c r="Z208" i="3" s="1"/>
  <c r="L208" i="3"/>
  <c r="N208" i="3" s="1"/>
  <c r="B208" i="3"/>
  <c r="X207" i="3"/>
  <c r="Z207" i="3" s="1"/>
  <c r="L207" i="3"/>
  <c r="N207" i="3" s="1"/>
  <c r="B207" i="3"/>
  <c r="X206" i="3"/>
  <c r="T206" i="3"/>
  <c r="Z206" i="3" s="1"/>
  <c r="P206" i="3"/>
  <c r="H206" i="3"/>
  <c r="D206" i="3"/>
  <c r="L206" i="3" s="1"/>
  <c r="B206" i="3"/>
  <c r="Z205" i="3"/>
  <c r="X205" i="3"/>
  <c r="N205" i="3"/>
  <c r="L205" i="3"/>
  <c r="B205" i="3"/>
  <c r="X204" i="3"/>
  <c r="Z204" i="3" s="1"/>
  <c r="N204" i="3"/>
  <c r="L204" i="3"/>
  <c r="B204" i="3"/>
  <c r="X203" i="3"/>
  <c r="Z203" i="3" s="1"/>
  <c r="N203" i="3"/>
  <c r="L203" i="3"/>
  <c r="J203" i="3"/>
  <c r="B203" i="3"/>
  <c r="Z202" i="3"/>
  <c r="X202" i="3"/>
  <c r="N202" i="3"/>
  <c r="L202" i="3"/>
  <c r="B202" i="3"/>
  <c r="Z201" i="3"/>
  <c r="X201" i="3"/>
  <c r="N201" i="3"/>
  <c r="L201" i="3"/>
  <c r="B201" i="3"/>
  <c r="X200" i="3"/>
  <c r="Z200" i="3" s="1"/>
  <c r="N200" i="3"/>
  <c r="L200" i="3"/>
  <c r="B200" i="3"/>
  <c r="X199" i="3"/>
  <c r="Z199" i="3" s="1"/>
  <c r="N199" i="3"/>
  <c r="L199" i="3"/>
  <c r="J199" i="3"/>
  <c r="B199" i="3"/>
  <c r="Z198" i="3"/>
  <c r="X198" i="3"/>
  <c r="N198" i="3"/>
  <c r="L198" i="3"/>
  <c r="B198" i="3"/>
  <c r="Z197" i="3"/>
  <c r="X197" i="3"/>
  <c r="N197" i="3"/>
  <c r="L197" i="3"/>
  <c r="B197" i="3"/>
  <c r="X196" i="3"/>
  <c r="Z196" i="3" s="1"/>
  <c r="N196" i="3"/>
  <c r="L196" i="3"/>
  <c r="B196" i="3"/>
  <c r="X195" i="3"/>
  <c r="Z195" i="3" s="1"/>
  <c r="T195" i="3"/>
  <c r="P195" i="3"/>
  <c r="N195" i="3"/>
  <c r="L195" i="3"/>
  <c r="H195" i="3"/>
  <c r="D195" i="3"/>
  <c r="B195" i="3"/>
  <c r="T194" i="3"/>
  <c r="Z194" i="3" s="1"/>
  <c r="P194" i="3"/>
  <c r="X194" i="3" s="1"/>
  <c r="H194" i="3"/>
  <c r="D194" i="3"/>
  <c r="L194" i="3" s="1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V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N184" i="3"/>
  <c r="L184" i="3"/>
  <c r="B184" i="3"/>
  <c r="Z183" i="3"/>
  <c r="X183" i="3"/>
  <c r="V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N180" i="3"/>
  <c r="L180" i="3"/>
  <c r="B180" i="3"/>
  <c r="Z179" i="3"/>
  <c r="X179" i="3"/>
  <c r="V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N176" i="3"/>
  <c r="L176" i="3"/>
  <c r="B176" i="3"/>
  <c r="Z175" i="3"/>
  <c r="X175" i="3"/>
  <c r="V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V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N168" i="3"/>
  <c r="L168" i="3"/>
  <c r="B168" i="3"/>
  <c r="Z167" i="3"/>
  <c r="X167" i="3"/>
  <c r="V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N164" i="3"/>
  <c r="L164" i="3"/>
  <c r="B164" i="3"/>
  <c r="Z163" i="3"/>
  <c r="X163" i="3"/>
  <c r="V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N160" i="3"/>
  <c r="L160" i="3"/>
  <c r="B160" i="3"/>
  <c r="Z159" i="3"/>
  <c r="X159" i="3"/>
  <c r="V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N156" i="3"/>
  <c r="L156" i="3"/>
  <c r="B156" i="3"/>
  <c r="Z155" i="3"/>
  <c r="X155" i="3"/>
  <c r="V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V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V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V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Z140" i="3"/>
  <c r="X140" i="3"/>
  <c r="N140" i="3"/>
  <c r="L140" i="3"/>
  <c r="B140" i="3"/>
  <c r="Z139" i="3"/>
  <c r="X139" i="3"/>
  <c r="V139" i="3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Z136" i="3"/>
  <c r="X136" i="3"/>
  <c r="N136" i="3"/>
  <c r="L136" i="3"/>
  <c r="B136" i="3"/>
  <c r="Z135" i="3"/>
  <c r="X135" i="3"/>
  <c r="V135" i="3"/>
  <c r="N135" i="3"/>
  <c r="L135" i="3"/>
  <c r="B135" i="3"/>
  <c r="Z134" i="3"/>
  <c r="X134" i="3"/>
  <c r="N134" i="3"/>
  <c r="L134" i="3"/>
  <c r="B134" i="3"/>
  <c r="Z133" i="3"/>
  <c r="X133" i="3"/>
  <c r="L133" i="3"/>
  <c r="N133" i="3" s="1"/>
  <c r="B133" i="3"/>
  <c r="T132" i="3"/>
  <c r="P132" i="3"/>
  <c r="X132" i="3" s="1"/>
  <c r="H132" i="3"/>
  <c r="D132" i="3"/>
  <c r="L132" i="3" s="1"/>
  <c r="Z130" i="3"/>
  <c r="P130" i="3"/>
  <c r="X130" i="3" s="1"/>
  <c r="N130" i="3"/>
  <c r="D130" i="3"/>
  <c r="L130" i="3" s="1"/>
  <c r="B130" i="3"/>
  <c r="Z129" i="3"/>
  <c r="P129" i="3"/>
  <c r="X129" i="3" s="1"/>
  <c r="N129" i="3"/>
  <c r="L129" i="3"/>
  <c r="D129" i="3"/>
  <c r="B129" i="3"/>
  <c r="Z128" i="3"/>
  <c r="X128" i="3"/>
  <c r="P128" i="3"/>
  <c r="N128" i="3"/>
  <c r="L128" i="3"/>
  <c r="D128" i="3"/>
  <c r="B128" i="3"/>
  <c r="Z127" i="3"/>
  <c r="P127" i="3"/>
  <c r="X127" i="3" s="1"/>
  <c r="N127" i="3"/>
  <c r="D127" i="3"/>
  <c r="L127" i="3" s="1"/>
  <c r="B127" i="3"/>
  <c r="Z126" i="3"/>
  <c r="X126" i="3"/>
  <c r="P126" i="3"/>
  <c r="N126" i="3"/>
  <c r="D126" i="3"/>
  <c r="L126" i="3" s="1"/>
  <c r="B126" i="3"/>
  <c r="Z125" i="3"/>
  <c r="X125" i="3"/>
  <c r="P125" i="3"/>
  <c r="N125" i="3"/>
  <c r="L125" i="3"/>
  <c r="D125" i="3"/>
  <c r="B125" i="3"/>
  <c r="Z124" i="3"/>
  <c r="P124" i="3"/>
  <c r="X124" i="3" s="1"/>
  <c r="N124" i="3"/>
  <c r="D124" i="3"/>
  <c r="L124" i="3" s="1"/>
  <c r="B124" i="3"/>
  <c r="Z123" i="3"/>
  <c r="P123" i="3"/>
  <c r="X123" i="3" s="1"/>
  <c r="N123" i="3"/>
  <c r="L123" i="3"/>
  <c r="D123" i="3"/>
  <c r="B123" i="3"/>
  <c r="Z122" i="3"/>
  <c r="X122" i="3"/>
  <c r="P122" i="3"/>
  <c r="N122" i="3"/>
  <c r="D122" i="3"/>
  <c r="L122" i="3" s="1"/>
  <c r="B122" i="3"/>
  <c r="Z121" i="3"/>
  <c r="P121" i="3"/>
  <c r="X121" i="3" s="1"/>
  <c r="N121" i="3"/>
  <c r="D121" i="3"/>
  <c r="L121" i="3" s="1"/>
  <c r="B121" i="3"/>
  <c r="Z120" i="3"/>
  <c r="X120" i="3"/>
  <c r="P120" i="3"/>
  <c r="N120" i="3"/>
  <c r="D120" i="3"/>
  <c r="L120" i="3" s="1"/>
  <c r="B120" i="3"/>
  <c r="Z119" i="3"/>
  <c r="X119" i="3"/>
  <c r="P119" i="3"/>
  <c r="N119" i="3"/>
  <c r="L119" i="3"/>
  <c r="D119" i="3"/>
  <c r="B119" i="3"/>
  <c r="Z118" i="3"/>
  <c r="P118" i="3"/>
  <c r="X118" i="3" s="1"/>
  <c r="N118" i="3"/>
  <c r="D118" i="3"/>
  <c r="L118" i="3" s="1"/>
  <c r="B118" i="3"/>
  <c r="Z117" i="3"/>
  <c r="P117" i="3"/>
  <c r="X117" i="3" s="1"/>
  <c r="N117" i="3"/>
  <c r="L117" i="3"/>
  <c r="D117" i="3"/>
  <c r="B117" i="3"/>
  <c r="Z116" i="3"/>
  <c r="X116" i="3"/>
  <c r="P116" i="3"/>
  <c r="N116" i="3"/>
  <c r="L116" i="3"/>
  <c r="D116" i="3"/>
  <c r="B116" i="3"/>
  <c r="Z115" i="3"/>
  <c r="P115" i="3"/>
  <c r="X115" i="3" s="1"/>
  <c r="N115" i="3"/>
  <c r="D115" i="3"/>
  <c r="L115" i="3" s="1"/>
  <c r="B115" i="3"/>
  <c r="Z114" i="3"/>
  <c r="X114" i="3"/>
  <c r="P114" i="3"/>
  <c r="N114" i="3"/>
  <c r="D114" i="3"/>
  <c r="L114" i="3" s="1"/>
  <c r="B114" i="3"/>
  <c r="Z113" i="3"/>
  <c r="P113" i="3"/>
  <c r="X113" i="3" s="1"/>
  <c r="N113" i="3"/>
  <c r="L113" i="3"/>
  <c r="D113" i="3"/>
  <c r="B113" i="3"/>
  <c r="Z112" i="3"/>
  <c r="P112" i="3"/>
  <c r="X112" i="3" s="1"/>
  <c r="N112" i="3"/>
  <c r="D112" i="3"/>
  <c r="L112" i="3" s="1"/>
  <c r="B112" i="3"/>
  <c r="Z111" i="3"/>
  <c r="P111" i="3"/>
  <c r="X111" i="3" s="1"/>
  <c r="N111" i="3"/>
  <c r="L111" i="3"/>
  <c r="D111" i="3"/>
  <c r="B111" i="3"/>
  <c r="Z110" i="3"/>
  <c r="X110" i="3"/>
  <c r="P110" i="3"/>
  <c r="N110" i="3"/>
  <c r="D110" i="3"/>
  <c r="L110" i="3" s="1"/>
  <c r="B110" i="3"/>
  <c r="Z109" i="3"/>
  <c r="P109" i="3"/>
  <c r="X109" i="3" s="1"/>
  <c r="N109" i="3"/>
  <c r="D109" i="3"/>
  <c r="L109" i="3" s="1"/>
  <c r="B109" i="3"/>
  <c r="Z108" i="3"/>
  <c r="X108" i="3"/>
  <c r="P108" i="3"/>
  <c r="N108" i="3"/>
  <c r="D108" i="3"/>
  <c r="L108" i="3" s="1"/>
  <c r="B108" i="3"/>
  <c r="Z107" i="3"/>
  <c r="X107" i="3"/>
  <c r="P107" i="3"/>
  <c r="N107" i="3"/>
  <c r="L107" i="3"/>
  <c r="D107" i="3"/>
  <c r="B107" i="3"/>
  <c r="Z106" i="3"/>
  <c r="P106" i="3"/>
  <c r="X106" i="3" s="1"/>
  <c r="N106" i="3"/>
  <c r="D106" i="3"/>
  <c r="L106" i="3" s="1"/>
  <c r="B106" i="3"/>
  <c r="Z105" i="3"/>
  <c r="P105" i="3"/>
  <c r="X105" i="3" s="1"/>
  <c r="N105" i="3"/>
  <c r="L105" i="3"/>
  <c r="D105" i="3"/>
  <c r="B105" i="3"/>
  <c r="Z104" i="3"/>
  <c r="X104" i="3"/>
  <c r="P104" i="3"/>
  <c r="N104" i="3"/>
  <c r="L104" i="3"/>
  <c r="D104" i="3"/>
  <c r="B104" i="3"/>
  <c r="Z103" i="3"/>
  <c r="P103" i="3"/>
  <c r="X103" i="3" s="1"/>
  <c r="N103" i="3"/>
  <c r="D103" i="3"/>
  <c r="L103" i="3" s="1"/>
  <c r="B103" i="3"/>
  <c r="Z102" i="3"/>
  <c r="X102" i="3"/>
  <c r="P102" i="3"/>
  <c r="N102" i="3"/>
  <c r="D102" i="3"/>
  <c r="L102" i="3" s="1"/>
  <c r="B102" i="3"/>
  <c r="Z101" i="3"/>
  <c r="P101" i="3"/>
  <c r="X101" i="3" s="1"/>
  <c r="N101" i="3"/>
  <c r="L101" i="3"/>
  <c r="D101" i="3"/>
  <c r="B101" i="3"/>
  <c r="Z100" i="3"/>
  <c r="P100" i="3"/>
  <c r="X100" i="3" s="1"/>
  <c r="N100" i="3"/>
  <c r="D100" i="3"/>
  <c r="L100" i="3" s="1"/>
  <c r="B100" i="3"/>
  <c r="Z99" i="3"/>
  <c r="P99" i="3"/>
  <c r="X99" i="3" s="1"/>
  <c r="N99" i="3"/>
  <c r="L99" i="3"/>
  <c r="D99" i="3"/>
  <c r="B99" i="3"/>
  <c r="Z98" i="3"/>
  <c r="X98" i="3"/>
  <c r="P98" i="3"/>
  <c r="N98" i="3"/>
  <c r="D98" i="3"/>
  <c r="L98" i="3" s="1"/>
  <c r="B98" i="3"/>
  <c r="Z97" i="3"/>
  <c r="P97" i="3"/>
  <c r="X97" i="3" s="1"/>
  <c r="N97" i="3"/>
  <c r="D97" i="3"/>
  <c r="L97" i="3" s="1"/>
  <c r="B97" i="3"/>
  <c r="Z96" i="3"/>
  <c r="X96" i="3"/>
  <c r="P96" i="3"/>
  <c r="N96" i="3"/>
  <c r="D96" i="3"/>
  <c r="L96" i="3" s="1"/>
  <c r="B96" i="3"/>
  <c r="Z95" i="3"/>
  <c r="X95" i="3"/>
  <c r="P95" i="3"/>
  <c r="N95" i="3"/>
  <c r="L95" i="3"/>
  <c r="D95" i="3"/>
  <c r="B95" i="3"/>
  <c r="Z94" i="3"/>
  <c r="P94" i="3"/>
  <c r="X94" i="3" s="1"/>
  <c r="N94" i="3"/>
  <c r="D94" i="3"/>
  <c r="L94" i="3" s="1"/>
  <c r="B94" i="3"/>
  <c r="Z93" i="3"/>
  <c r="P93" i="3"/>
  <c r="X93" i="3" s="1"/>
  <c r="N93" i="3"/>
  <c r="L93" i="3"/>
  <c r="D93" i="3"/>
  <c r="B93" i="3"/>
  <c r="Z92" i="3"/>
  <c r="X92" i="3"/>
  <c r="P92" i="3"/>
  <c r="N92" i="3"/>
  <c r="L92" i="3"/>
  <c r="D92" i="3"/>
  <c r="B92" i="3"/>
  <c r="Z91" i="3"/>
  <c r="P91" i="3"/>
  <c r="X91" i="3" s="1"/>
  <c r="N91" i="3"/>
  <c r="D91" i="3"/>
  <c r="L91" i="3" s="1"/>
  <c r="B91" i="3"/>
  <c r="Z90" i="3"/>
  <c r="X90" i="3"/>
  <c r="P90" i="3"/>
  <c r="N90" i="3"/>
  <c r="D90" i="3"/>
  <c r="L90" i="3" s="1"/>
  <c r="B90" i="3"/>
  <c r="Z89" i="3"/>
  <c r="P89" i="3"/>
  <c r="X89" i="3" s="1"/>
  <c r="N89" i="3"/>
  <c r="L89" i="3"/>
  <c r="D89" i="3"/>
  <c r="B89" i="3"/>
  <c r="Z88" i="3"/>
  <c r="P88" i="3"/>
  <c r="X88" i="3" s="1"/>
  <c r="N88" i="3"/>
  <c r="D88" i="3"/>
  <c r="L88" i="3" s="1"/>
  <c r="B88" i="3"/>
  <c r="Z87" i="3"/>
  <c r="P87" i="3"/>
  <c r="X87" i="3" s="1"/>
  <c r="N87" i="3"/>
  <c r="L87" i="3"/>
  <c r="D87" i="3"/>
  <c r="B87" i="3"/>
  <c r="Z86" i="3"/>
  <c r="X86" i="3"/>
  <c r="P86" i="3"/>
  <c r="N86" i="3"/>
  <c r="D86" i="3"/>
  <c r="L86" i="3" s="1"/>
  <c r="B86" i="3"/>
  <c r="Z85" i="3"/>
  <c r="P85" i="3"/>
  <c r="X85" i="3" s="1"/>
  <c r="N85" i="3"/>
  <c r="D85" i="3"/>
  <c r="L85" i="3" s="1"/>
  <c r="B85" i="3"/>
  <c r="Z84" i="3"/>
  <c r="X84" i="3"/>
  <c r="P84" i="3"/>
  <c r="N84" i="3"/>
  <c r="D84" i="3"/>
  <c r="L84" i="3" s="1"/>
  <c r="B84" i="3"/>
  <c r="Z83" i="3"/>
  <c r="X83" i="3"/>
  <c r="P83" i="3"/>
  <c r="N83" i="3"/>
  <c r="L83" i="3"/>
  <c r="D83" i="3"/>
  <c r="B83" i="3"/>
  <c r="Z82" i="3"/>
  <c r="P82" i="3"/>
  <c r="X82" i="3" s="1"/>
  <c r="N82" i="3"/>
  <c r="D82" i="3"/>
  <c r="L82" i="3" s="1"/>
  <c r="B82" i="3"/>
  <c r="Z81" i="3"/>
  <c r="P81" i="3"/>
  <c r="X81" i="3" s="1"/>
  <c r="N81" i="3"/>
  <c r="L81" i="3"/>
  <c r="D81" i="3"/>
  <c r="B81" i="3"/>
  <c r="Z80" i="3"/>
  <c r="X80" i="3"/>
  <c r="P80" i="3"/>
  <c r="N80" i="3"/>
  <c r="L80" i="3"/>
  <c r="D80" i="3"/>
  <c r="B80" i="3"/>
  <c r="Z79" i="3"/>
  <c r="P79" i="3"/>
  <c r="X79" i="3" s="1"/>
  <c r="N79" i="3"/>
  <c r="D79" i="3"/>
  <c r="L79" i="3" s="1"/>
  <c r="B79" i="3"/>
  <c r="Z78" i="3"/>
  <c r="X78" i="3"/>
  <c r="P78" i="3"/>
  <c r="N78" i="3"/>
  <c r="D78" i="3"/>
  <c r="L78" i="3" s="1"/>
  <c r="B78" i="3"/>
  <c r="Z77" i="3"/>
  <c r="P77" i="3"/>
  <c r="X77" i="3" s="1"/>
  <c r="N77" i="3"/>
  <c r="L77" i="3"/>
  <c r="D77" i="3"/>
  <c r="B77" i="3"/>
  <c r="Z76" i="3"/>
  <c r="P76" i="3"/>
  <c r="X76" i="3" s="1"/>
  <c r="N76" i="3"/>
  <c r="D76" i="3"/>
  <c r="L76" i="3" s="1"/>
  <c r="B76" i="3"/>
  <c r="Z75" i="3"/>
  <c r="P75" i="3"/>
  <c r="X75" i="3" s="1"/>
  <c r="N75" i="3"/>
  <c r="L75" i="3"/>
  <c r="D75" i="3"/>
  <c r="B75" i="3"/>
  <c r="Z74" i="3"/>
  <c r="X74" i="3"/>
  <c r="P74" i="3"/>
  <c r="N74" i="3"/>
  <c r="D74" i="3"/>
  <c r="L74" i="3" s="1"/>
  <c r="B74" i="3"/>
  <c r="Z73" i="3"/>
  <c r="P73" i="3"/>
  <c r="X73" i="3" s="1"/>
  <c r="N73" i="3"/>
  <c r="D73" i="3"/>
  <c r="L73" i="3" s="1"/>
  <c r="B73" i="3"/>
  <c r="Z72" i="3"/>
  <c r="X72" i="3"/>
  <c r="P72" i="3"/>
  <c r="N72" i="3"/>
  <c r="D72" i="3"/>
  <c r="L72" i="3" s="1"/>
  <c r="B72" i="3"/>
  <c r="Z71" i="3"/>
  <c r="X71" i="3"/>
  <c r="P71" i="3"/>
  <c r="N71" i="3"/>
  <c r="L71" i="3"/>
  <c r="D71" i="3"/>
  <c r="B71" i="3"/>
  <c r="Z70" i="3"/>
  <c r="P70" i="3"/>
  <c r="X70" i="3" s="1"/>
  <c r="N70" i="3"/>
  <c r="D70" i="3"/>
  <c r="L70" i="3" s="1"/>
  <c r="B70" i="3"/>
  <c r="Z69" i="3"/>
  <c r="P69" i="3"/>
  <c r="X69" i="3" s="1"/>
  <c r="N69" i="3"/>
  <c r="L69" i="3"/>
  <c r="D69" i="3"/>
  <c r="B69" i="3"/>
  <c r="Z68" i="3"/>
  <c r="X68" i="3"/>
  <c r="P68" i="3"/>
  <c r="N68" i="3"/>
  <c r="L68" i="3"/>
  <c r="D68" i="3"/>
  <c r="B68" i="3"/>
  <c r="Z67" i="3"/>
  <c r="P67" i="3"/>
  <c r="X67" i="3" s="1"/>
  <c r="N67" i="3"/>
  <c r="D67" i="3"/>
  <c r="L67" i="3" s="1"/>
  <c r="B67" i="3"/>
  <c r="Z66" i="3"/>
  <c r="X66" i="3"/>
  <c r="P66" i="3"/>
  <c r="N66" i="3"/>
  <c r="D66" i="3"/>
  <c r="L66" i="3" s="1"/>
  <c r="B66" i="3"/>
  <c r="Z65" i="3"/>
  <c r="P65" i="3"/>
  <c r="X65" i="3" s="1"/>
  <c r="N65" i="3"/>
  <c r="L65" i="3"/>
  <c r="D65" i="3"/>
  <c r="B65" i="3"/>
  <c r="Z64" i="3"/>
  <c r="P64" i="3"/>
  <c r="X64" i="3" s="1"/>
  <c r="N64" i="3"/>
  <c r="D64" i="3"/>
  <c r="L64" i="3" s="1"/>
  <c r="B64" i="3"/>
  <c r="Z63" i="3"/>
  <c r="P63" i="3"/>
  <c r="X63" i="3" s="1"/>
  <c r="N63" i="3"/>
  <c r="L63" i="3"/>
  <c r="D63" i="3"/>
  <c r="B63" i="3"/>
  <c r="Z62" i="3"/>
  <c r="X62" i="3"/>
  <c r="P62" i="3"/>
  <c r="N62" i="3"/>
  <c r="D62" i="3"/>
  <c r="L62" i="3" s="1"/>
  <c r="B62" i="3"/>
  <c r="Z61" i="3"/>
  <c r="P61" i="3"/>
  <c r="X61" i="3" s="1"/>
  <c r="N61" i="3"/>
  <c r="D61" i="3"/>
  <c r="L61" i="3" s="1"/>
  <c r="B61" i="3"/>
  <c r="Z60" i="3"/>
  <c r="X60" i="3"/>
  <c r="P60" i="3"/>
  <c r="N60" i="3"/>
  <c r="D60" i="3"/>
  <c r="L60" i="3" s="1"/>
  <c r="B60" i="3"/>
  <c r="Z59" i="3"/>
  <c r="X59" i="3"/>
  <c r="P59" i="3"/>
  <c r="N59" i="3"/>
  <c r="L59" i="3"/>
  <c r="D59" i="3"/>
  <c r="B59" i="3"/>
  <c r="Z58" i="3"/>
  <c r="P58" i="3"/>
  <c r="X58" i="3" s="1"/>
  <c r="N58" i="3"/>
  <c r="D58" i="3"/>
  <c r="L58" i="3" s="1"/>
  <c r="B58" i="3"/>
  <c r="Z57" i="3"/>
  <c r="P57" i="3"/>
  <c r="X57" i="3" s="1"/>
  <c r="N57" i="3"/>
  <c r="L57" i="3"/>
  <c r="D57" i="3"/>
  <c r="B57" i="3"/>
  <c r="Z56" i="3"/>
  <c r="X56" i="3"/>
  <c r="P56" i="3"/>
  <c r="N56" i="3"/>
  <c r="L56" i="3"/>
  <c r="D56" i="3"/>
  <c r="B56" i="3"/>
  <c r="P55" i="3"/>
  <c r="X55" i="3" s="1"/>
  <c r="Z55" i="3" s="1"/>
  <c r="D55" i="3"/>
  <c r="L55" i="3" s="1"/>
  <c r="N55" i="3" s="1"/>
  <c r="B55" i="3"/>
  <c r="Z54" i="3"/>
  <c r="X54" i="3"/>
  <c r="P54" i="3"/>
  <c r="N54" i="3"/>
  <c r="D54" i="3"/>
  <c r="L54" i="3" s="1"/>
  <c r="B54" i="3"/>
  <c r="Z53" i="3"/>
  <c r="P53" i="3"/>
  <c r="X53" i="3" s="1"/>
  <c r="N53" i="3"/>
  <c r="L53" i="3"/>
  <c r="D53" i="3"/>
  <c r="B53" i="3"/>
  <c r="Z52" i="3"/>
  <c r="X52" i="3"/>
  <c r="P52" i="3"/>
  <c r="N52" i="3"/>
  <c r="D52" i="3"/>
  <c r="L52" i="3" s="1"/>
  <c r="B52" i="3"/>
  <c r="Z51" i="3"/>
  <c r="P51" i="3"/>
  <c r="X51" i="3" s="1"/>
  <c r="N51" i="3"/>
  <c r="L51" i="3"/>
  <c r="D51" i="3"/>
  <c r="B51" i="3"/>
  <c r="Z50" i="3"/>
  <c r="X50" i="3"/>
  <c r="P50" i="3"/>
  <c r="N50" i="3"/>
  <c r="D50" i="3"/>
  <c r="L50" i="3" s="1"/>
  <c r="B50" i="3"/>
  <c r="Z49" i="3"/>
  <c r="P49" i="3"/>
  <c r="X49" i="3" s="1"/>
  <c r="N49" i="3"/>
  <c r="L49" i="3"/>
  <c r="D49" i="3"/>
  <c r="B49" i="3"/>
  <c r="Z48" i="3"/>
  <c r="X48" i="3"/>
  <c r="P48" i="3"/>
  <c r="N48" i="3"/>
  <c r="D48" i="3"/>
  <c r="L48" i="3" s="1"/>
  <c r="B48" i="3"/>
  <c r="Z47" i="3"/>
  <c r="P47" i="3"/>
  <c r="X47" i="3" s="1"/>
  <c r="N47" i="3"/>
  <c r="L47" i="3"/>
  <c r="D47" i="3"/>
  <c r="B47" i="3"/>
  <c r="Z46" i="3"/>
  <c r="P46" i="3"/>
  <c r="X46" i="3" s="1"/>
  <c r="N46" i="3"/>
  <c r="D46" i="3"/>
  <c r="L46" i="3" s="1"/>
  <c r="B46" i="3"/>
  <c r="Z45" i="3"/>
  <c r="P45" i="3"/>
  <c r="X45" i="3" s="1"/>
  <c r="N45" i="3"/>
  <c r="L45" i="3"/>
  <c r="D45" i="3"/>
  <c r="B45" i="3"/>
  <c r="Z44" i="3"/>
  <c r="X44" i="3"/>
  <c r="P44" i="3"/>
  <c r="N44" i="3"/>
  <c r="D44" i="3"/>
  <c r="L44" i="3" s="1"/>
  <c r="B44" i="3"/>
  <c r="Z43" i="3"/>
  <c r="P43" i="3"/>
  <c r="X43" i="3" s="1"/>
  <c r="N43" i="3"/>
  <c r="D43" i="3"/>
  <c r="L43" i="3" s="1"/>
  <c r="B43" i="3"/>
  <c r="Z42" i="3"/>
  <c r="P42" i="3"/>
  <c r="X42" i="3" s="1"/>
  <c r="N42" i="3"/>
  <c r="D42" i="3"/>
  <c r="L42" i="3" s="1"/>
  <c r="B42" i="3"/>
  <c r="Z41" i="3"/>
  <c r="P41" i="3"/>
  <c r="X41" i="3" s="1"/>
  <c r="N41" i="3"/>
  <c r="L41" i="3"/>
  <c r="D41" i="3"/>
  <c r="B41" i="3"/>
  <c r="Z40" i="3"/>
  <c r="X40" i="3"/>
  <c r="P40" i="3"/>
  <c r="N40" i="3"/>
  <c r="D40" i="3"/>
  <c r="L40" i="3" s="1"/>
  <c r="B40" i="3"/>
  <c r="Z39" i="3"/>
  <c r="P39" i="3"/>
  <c r="X39" i="3" s="1"/>
  <c r="N39" i="3"/>
  <c r="D39" i="3"/>
  <c r="L39" i="3" s="1"/>
  <c r="B39" i="3"/>
  <c r="Z38" i="3"/>
  <c r="X38" i="3"/>
  <c r="P38" i="3"/>
  <c r="N38" i="3"/>
  <c r="D38" i="3"/>
  <c r="L38" i="3" s="1"/>
  <c r="B38" i="3"/>
  <c r="Z37" i="3"/>
  <c r="P37" i="3"/>
  <c r="X37" i="3" s="1"/>
  <c r="N37" i="3"/>
  <c r="L37" i="3"/>
  <c r="D37" i="3"/>
  <c r="B37" i="3"/>
  <c r="Z36" i="3"/>
  <c r="X36" i="3"/>
  <c r="P36" i="3"/>
  <c r="N36" i="3"/>
  <c r="D36" i="3"/>
  <c r="L36" i="3" s="1"/>
  <c r="B36" i="3"/>
  <c r="Z35" i="3"/>
  <c r="P35" i="3"/>
  <c r="X35" i="3" s="1"/>
  <c r="N35" i="3"/>
  <c r="L35" i="3"/>
  <c r="D35" i="3"/>
  <c r="B35" i="3"/>
  <c r="Z34" i="3"/>
  <c r="P34" i="3"/>
  <c r="X34" i="3" s="1"/>
  <c r="N34" i="3"/>
  <c r="D34" i="3"/>
  <c r="L34" i="3" s="1"/>
  <c r="B34" i="3"/>
  <c r="Z33" i="3"/>
  <c r="P33" i="3"/>
  <c r="X33" i="3" s="1"/>
  <c r="N33" i="3"/>
  <c r="L33" i="3"/>
  <c r="D33" i="3"/>
  <c r="B33" i="3"/>
  <c r="Z32" i="3"/>
  <c r="X32" i="3"/>
  <c r="P32" i="3"/>
  <c r="N32" i="3"/>
  <c r="D32" i="3"/>
  <c r="L32" i="3" s="1"/>
  <c r="B32" i="3"/>
  <c r="Z31" i="3"/>
  <c r="P31" i="3"/>
  <c r="X31" i="3" s="1"/>
  <c r="N31" i="3"/>
  <c r="D31" i="3"/>
  <c r="L31" i="3" s="1"/>
  <c r="B31" i="3"/>
  <c r="Z30" i="3"/>
  <c r="P30" i="3"/>
  <c r="X30" i="3" s="1"/>
  <c r="N30" i="3"/>
  <c r="D30" i="3"/>
  <c r="L30" i="3" s="1"/>
  <c r="B30" i="3"/>
  <c r="Z29" i="3"/>
  <c r="P29" i="3"/>
  <c r="X29" i="3" s="1"/>
  <c r="N29" i="3"/>
  <c r="L29" i="3"/>
  <c r="D29" i="3"/>
  <c r="B29" i="3"/>
  <c r="Z28" i="3"/>
  <c r="X28" i="3"/>
  <c r="P28" i="3"/>
  <c r="N28" i="3"/>
  <c r="D28" i="3"/>
  <c r="L28" i="3" s="1"/>
  <c r="B28" i="3"/>
  <c r="Z27" i="3"/>
  <c r="P27" i="3"/>
  <c r="X27" i="3" s="1"/>
  <c r="N27" i="3"/>
  <c r="D27" i="3"/>
  <c r="L27" i="3" s="1"/>
  <c r="B27" i="3"/>
  <c r="Z26" i="3"/>
  <c r="X26" i="3"/>
  <c r="P26" i="3"/>
  <c r="N26" i="3"/>
  <c r="D26" i="3"/>
  <c r="L26" i="3" s="1"/>
  <c r="B26" i="3"/>
  <c r="Z25" i="3"/>
  <c r="P25" i="3"/>
  <c r="X25" i="3" s="1"/>
  <c r="N25" i="3"/>
  <c r="L25" i="3"/>
  <c r="D25" i="3"/>
  <c r="B25" i="3"/>
  <c r="Z24" i="3"/>
  <c r="X24" i="3"/>
  <c r="P24" i="3"/>
  <c r="N24" i="3"/>
  <c r="D24" i="3"/>
  <c r="L24" i="3" s="1"/>
  <c r="B24" i="3"/>
  <c r="Z23" i="3"/>
  <c r="P23" i="3"/>
  <c r="X23" i="3" s="1"/>
  <c r="N23" i="3"/>
  <c r="L23" i="3"/>
  <c r="D23" i="3"/>
  <c r="B23" i="3"/>
  <c r="Z22" i="3"/>
  <c r="P22" i="3"/>
  <c r="X22" i="3" s="1"/>
  <c r="N22" i="3"/>
  <c r="D22" i="3"/>
  <c r="L22" i="3" s="1"/>
  <c r="B22" i="3"/>
  <c r="Z21" i="3"/>
  <c r="P21" i="3"/>
  <c r="X21" i="3" s="1"/>
  <c r="N21" i="3"/>
  <c r="L21" i="3"/>
  <c r="D21" i="3"/>
  <c r="B21" i="3"/>
  <c r="Z20" i="3"/>
  <c r="X20" i="3"/>
  <c r="P20" i="3"/>
  <c r="N20" i="3"/>
  <c r="D20" i="3"/>
  <c r="L20" i="3" s="1"/>
  <c r="B20" i="3"/>
  <c r="Z19" i="3"/>
  <c r="P19" i="3"/>
  <c r="X19" i="3" s="1"/>
  <c r="N19" i="3"/>
  <c r="D19" i="3"/>
  <c r="L19" i="3" s="1"/>
  <c r="B19" i="3"/>
  <c r="Z18" i="3"/>
  <c r="P18" i="3"/>
  <c r="X18" i="3" s="1"/>
  <c r="N18" i="3"/>
  <c r="D18" i="3"/>
  <c r="L18" i="3" s="1"/>
  <c r="B18" i="3"/>
  <c r="Z17" i="3"/>
  <c r="P17" i="3"/>
  <c r="X17" i="3" s="1"/>
  <c r="N17" i="3"/>
  <c r="L17" i="3"/>
  <c r="D17" i="3"/>
  <c r="B17" i="3"/>
  <c r="Z16" i="3"/>
  <c r="X16" i="3"/>
  <c r="P16" i="3"/>
  <c r="N16" i="3"/>
  <c r="D16" i="3"/>
  <c r="L16" i="3" s="1"/>
  <c r="B16" i="3"/>
  <c r="Z15" i="3"/>
  <c r="P15" i="3"/>
  <c r="X15" i="3" s="1"/>
  <c r="N15" i="3"/>
  <c r="D15" i="3"/>
  <c r="L15" i="3" s="1"/>
  <c r="B15" i="3"/>
  <c r="Z14" i="3"/>
  <c r="X14" i="3"/>
  <c r="P14" i="3"/>
  <c r="N14" i="3"/>
  <c r="D14" i="3"/>
  <c r="L14" i="3" s="1"/>
  <c r="B14" i="3"/>
  <c r="P13" i="3"/>
  <c r="P12" i="3" s="1"/>
  <c r="L13" i="3"/>
  <c r="N13" i="3" s="1"/>
  <c r="D13" i="3"/>
  <c r="B13" i="3"/>
  <c r="T12" i="3"/>
  <c r="V286" i="3" s="1"/>
  <c r="H12" i="3"/>
  <c r="J309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0" i="113"/>
  <c r="P16" i="113"/>
  <c r="D12" i="113"/>
  <c r="P24" i="112"/>
  <c r="P22" i="112"/>
  <c r="T20" i="112"/>
  <c r="T16" i="112"/>
  <c r="T13" i="112"/>
  <c r="T24" i="111"/>
  <c r="T22" i="111"/>
  <c r="P12" i="111"/>
  <c r="H34" i="113"/>
  <c r="H33" i="113"/>
  <c r="H29" i="113"/>
  <c r="H25" i="113"/>
  <c r="P15" i="113"/>
  <c r="D6" i="113"/>
  <c r="P21" i="112"/>
  <c r="T15" i="112"/>
  <c r="P13" i="112"/>
  <c r="H12" i="112"/>
  <c r="P34" i="111"/>
  <c r="P33" i="111"/>
  <c r="P29" i="111"/>
  <c r="P25" i="111"/>
  <c r="T21" i="111"/>
  <c r="T29" i="111"/>
  <c r="T15" i="113"/>
  <c r="T21" i="112"/>
  <c r="P13" i="113"/>
  <c r="T25" i="111"/>
  <c r="H12" i="113"/>
  <c r="P34" i="112"/>
  <c r="P33" i="112"/>
  <c r="P25" i="112"/>
  <c r="T33" i="111"/>
  <c r="D15" i="111"/>
  <c r="T12" i="111"/>
  <c r="P21" i="113"/>
  <c r="P29" i="112"/>
  <c r="T34" i="111"/>
  <c r="B16" i="111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H34" i="53"/>
  <c r="H33" i="53"/>
  <c r="H29" i="53"/>
  <c r="H25" i="53"/>
  <c r="P15" i="53"/>
  <c r="D5" i="53"/>
  <c r="B39" i="53"/>
  <c r="H24" i="53"/>
  <c r="H22" i="53"/>
  <c r="H13" i="53"/>
  <c r="D4" i="53"/>
  <c r="H34" i="52"/>
  <c r="H33" i="52"/>
  <c r="H29" i="52"/>
  <c r="H25" i="52"/>
  <c r="P15" i="52"/>
  <c r="D5" i="52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B22" i="53"/>
  <c r="D21" i="53"/>
  <c r="H15" i="53"/>
  <c r="B25" i="52"/>
  <c r="D24" i="52"/>
  <c r="D22" i="52"/>
  <c r="H20" i="52"/>
  <c r="H16" i="52"/>
  <c r="B13" i="52"/>
  <c r="B38" i="50"/>
  <c r="T34" i="53"/>
  <c r="B16" i="53"/>
  <c r="T12" i="53"/>
  <c r="H12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B22" i="47"/>
  <c r="D21" i="47"/>
  <c r="H15" i="47"/>
  <c r="B25" i="46"/>
  <c r="D24" i="46"/>
  <c r="D22" i="46"/>
  <c r="H20" i="46"/>
  <c r="H16" i="46"/>
  <c r="B13" i="46"/>
  <c r="T24" i="53"/>
  <c r="P12" i="53"/>
  <c r="T34" i="52"/>
  <c r="H22" i="52"/>
  <c r="H15" i="52"/>
  <c r="D12" i="52"/>
  <c r="B39" i="50"/>
  <c r="B22" i="50"/>
  <c r="D21" i="50"/>
  <c r="H15" i="50"/>
  <c r="B25" i="49"/>
  <c r="D24" i="49"/>
  <c r="D22" i="49"/>
  <c r="H20" i="49"/>
  <c r="H16" i="49"/>
  <c r="B13" i="49"/>
  <c r="B21" i="47"/>
  <c r="D20" i="47"/>
  <c r="D16" i="47"/>
  <c r="B22" i="46"/>
  <c r="D21" i="46"/>
  <c r="H15" i="46"/>
  <c r="P34" i="53"/>
  <c r="T21" i="53"/>
  <c r="B22" i="52"/>
  <c r="P20" i="52"/>
  <c r="D4" i="52"/>
  <c r="B21" i="50"/>
  <c r="D20" i="50"/>
  <c r="D16" i="50"/>
  <c r="B22" i="49"/>
  <c r="D21" i="49"/>
  <c r="H15" i="49"/>
  <c r="T34" i="47"/>
  <c r="T33" i="47"/>
  <c r="T29" i="47"/>
  <c r="T25" i="47"/>
  <c r="B16" i="47"/>
  <c r="D15" i="47"/>
  <c r="T12" i="47"/>
  <c r="B21" i="46"/>
  <c r="D20" i="46"/>
  <c r="D16" i="46"/>
  <c r="D12" i="53"/>
  <c r="T24" i="52"/>
  <c r="D15" i="52"/>
  <c r="T34" i="50"/>
  <c r="T33" i="50"/>
  <c r="T29" i="50"/>
  <c r="T25" i="50"/>
  <c r="B16" i="50"/>
  <c r="D15" i="50"/>
  <c r="T12" i="50"/>
  <c r="B21" i="49"/>
  <c r="D20" i="49"/>
  <c r="D16" i="49"/>
  <c r="T24" i="47"/>
  <c r="T22" i="47"/>
  <c r="P12" i="47"/>
  <c r="T34" i="46"/>
  <c r="T33" i="46"/>
  <c r="T29" i="46"/>
  <c r="T25" i="46"/>
  <c r="B16" i="46"/>
  <c r="D15" i="46"/>
  <c r="T12" i="46"/>
  <c r="B38" i="53"/>
  <c r="D34" i="53"/>
  <c r="H21" i="53"/>
  <c r="B39" i="52"/>
  <c r="P16" i="52"/>
  <c r="T24" i="50"/>
  <c r="T22" i="50"/>
  <c r="P12" i="50"/>
  <c r="T34" i="49"/>
  <c r="T33" i="49"/>
  <c r="T29" i="49"/>
  <c r="T25" i="49"/>
  <c r="B16" i="49"/>
  <c r="D15" i="49"/>
  <c r="T12" i="49"/>
  <c r="P34" i="47"/>
  <c r="P33" i="47"/>
  <c r="P29" i="47"/>
  <c r="P25" i="47"/>
  <c r="T21" i="47"/>
  <c r="T24" i="46"/>
  <c r="T22" i="46"/>
  <c r="P12" i="46"/>
  <c r="B21" i="53"/>
  <c r="D20" i="52"/>
  <c r="P13" i="52"/>
  <c r="P34" i="50"/>
  <c r="P33" i="50"/>
  <c r="P29" i="50"/>
  <c r="P25" i="50"/>
  <c r="T21" i="50"/>
  <c r="T24" i="49"/>
  <c r="T22" i="49"/>
  <c r="P12" i="49"/>
  <c r="P24" i="47"/>
  <c r="P22" i="47"/>
  <c r="T20" i="47"/>
  <c r="T16" i="47"/>
  <c r="T13" i="47"/>
  <c r="P34" i="46"/>
  <c r="P33" i="46"/>
  <c r="P29" i="46"/>
  <c r="P25" i="46"/>
  <c r="T21" i="46"/>
  <c r="T33" i="53"/>
  <c r="T29" i="53"/>
  <c r="T25" i="53"/>
  <c r="D15" i="53"/>
  <c r="H24" i="52"/>
  <c r="P21" i="52"/>
  <c r="P24" i="50"/>
  <c r="P22" i="50"/>
  <c r="T20" i="50"/>
  <c r="T16" i="50"/>
  <c r="T13" i="50"/>
  <c r="P34" i="49"/>
  <c r="P33" i="49"/>
  <c r="P29" i="49"/>
  <c r="P25" i="49"/>
  <c r="T21" i="49"/>
  <c r="P21" i="47"/>
  <c r="T15" i="47"/>
  <c r="P13" i="47"/>
  <c r="H12" i="47"/>
  <c r="P24" i="46"/>
  <c r="P22" i="46"/>
  <c r="T20" i="46"/>
  <c r="T16" i="46"/>
  <c r="T13" i="46"/>
  <c r="T22" i="53"/>
  <c r="T33" i="52"/>
  <c r="T29" i="52"/>
  <c r="T25" i="52"/>
  <c r="D16" i="52"/>
  <c r="H13" i="52"/>
  <c r="P21" i="50"/>
  <c r="T15" i="50"/>
  <c r="P13" i="50"/>
  <c r="H12" i="50"/>
  <c r="P24" i="49"/>
  <c r="P22" i="49"/>
  <c r="T20" i="49"/>
  <c r="T16" i="49"/>
  <c r="T13" i="49"/>
  <c r="P20" i="47"/>
  <c r="P16" i="47"/>
  <c r="D12" i="47"/>
  <c r="P21" i="46"/>
  <c r="T15" i="46"/>
  <c r="P13" i="46"/>
  <c r="H12" i="46"/>
  <c r="P33" i="53"/>
  <c r="P29" i="53"/>
  <c r="P25" i="53"/>
  <c r="B16" i="52"/>
  <c r="P20" i="50"/>
  <c r="P16" i="50"/>
  <c r="D12" i="50"/>
  <c r="P21" i="49"/>
  <c r="T15" i="49"/>
  <c r="P13" i="49"/>
  <c r="H12" i="49"/>
  <c r="H34" i="47"/>
  <c r="H33" i="47"/>
  <c r="H29" i="47"/>
  <c r="H25" i="47"/>
  <c r="P15" i="47"/>
  <c r="D5" i="47"/>
  <c r="P20" i="46"/>
  <c r="P16" i="46"/>
  <c r="D12" i="46"/>
  <c r="D33" i="53"/>
  <c r="D29" i="53"/>
  <c r="D25" i="53"/>
  <c r="D13" i="53"/>
  <c r="T22" i="52"/>
  <c r="B21" i="52"/>
  <c r="T15" i="52"/>
  <c r="T12" i="52"/>
  <c r="H24" i="50"/>
  <c r="H22" i="50"/>
  <c r="H13" i="50"/>
  <c r="D4" i="50"/>
  <c r="H34" i="49"/>
  <c r="H33" i="49"/>
  <c r="H29" i="49"/>
  <c r="H25" i="49"/>
  <c r="P15" i="49"/>
  <c r="D5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P12" i="52"/>
  <c r="H34" i="50"/>
  <c r="P15" i="50"/>
  <c r="D12" i="49"/>
  <c r="D24" i="47"/>
  <c r="H21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P20" i="41"/>
  <c r="P16" i="41"/>
  <c r="D12" i="41"/>
  <c r="P21" i="40"/>
  <c r="T15" i="40"/>
  <c r="P13" i="40"/>
  <c r="H12" i="40"/>
  <c r="P20" i="53"/>
  <c r="D34" i="50"/>
  <c r="D4" i="49"/>
  <c r="H22" i="47"/>
  <c r="H13" i="47"/>
  <c r="H29" i="46"/>
  <c r="B22" i="44"/>
  <c r="D21" i="44"/>
  <c r="H15" i="44"/>
  <c r="B25" i="43"/>
  <c r="D24" i="43"/>
  <c r="D22" i="43"/>
  <c r="H20" i="43"/>
  <c r="H16" i="43"/>
  <c r="B13" i="43"/>
  <c r="H34" i="41"/>
  <c r="H33" i="41"/>
  <c r="H29" i="41"/>
  <c r="H25" i="41"/>
  <c r="P15" i="41"/>
  <c r="D5" i="41"/>
  <c r="P20" i="40"/>
  <c r="P16" i="40"/>
  <c r="D12" i="40"/>
  <c r="D20" i="53"/>
  <c r="H33" i="50"/>
  <c r="P20" i="49"/>
  <c r="D22" i="47"/>
  <c r="B13" i="47"/>
  <c r="D29" i="46"/>
  <c r="B21" i="44"/>
  <c r="D20" i="44"/>
  <c r="D16" i="44"/>
  <c r="B22" i="43"/>
  <c r="D21" i="43"/>
  <c r="H15" i="43"/>
  <c r="P16" i="53"/>
  <c r="D33" i="50"/>
  <c r="D13" i="50"/>
  <c r="D4" i="47"/>
  <c r="T34" i="44"/>
  <c r="T33" i="44"/>
  <c r="T29" i="44"/>
  <c r="T25" i="44"/>
  <c r="B16" i="44"/>
  <c r="D15" i="44"/>
  <c r="T12" i="44"/>
  <c r="B21" i="43"/>
  <c r="D20" i="43"/>
  <c r="D16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D16" i="53"/>
  <c r="D5" i="50"/>
  <c r="B38" i="46"/>
  <c r="T24" i="44"/>
  <c r="T22" i="44"/>
  <c r="P12" i="44"/>
  <c r="T34" i="43"/>
  <c r="T33" i="43"/>
  <c r="T29" i="43"/>
  <c r="T25" i="43"/>
  <c r="B16" i="43"/>
  <c r="D15" i="43"/>
  <c r="T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D21" i="52"/>
  <c r="H21" i="50"/>
  <c r="B39" i="49"/>
  <c r="H25" i="46"/>
  <c r="P34" i="44"/>
  <c r="P33" i="44"/>
  <c r="P29" i="44"/>
  <c r="P25" i="44"/>
  <c r="T21" i="44"/>
  <c r="T24" i="43"/>
  <c r="T22" i="43"/>
  <c r="P12" i="43"/>
  <c r="B22" i="41"/>
  <c r="D21" i="41"/>
  <c r="H15" i="41"/>
  <c r="B25" i="40"/>
  <c r="D24" i="40"/>
  <c r="D22" i="40"/>
  <c r="H20" i="40"/>
  <c r="H16" i="40"/>
  <c r="B13" i="40"/>
  <c r="H29" i="50"/>
  <c r="P16" i="49"/>
  <c r="H20" i="47"/>
  <c r="D25" i="46"/>
  <c r="P24" i="44"/>
  <c r="P22" i="44"/>
  <c r="T20" i="44"/>
  <c r="T16" i="44"/>
  <c r="T13" i="44"/>
  <c r="P34" i="43"/>
  <c r="P33" i="43"/>
  <c r="P29" i="43"/>
  <c r="P25" i="43"/>
  <c r="T21" i="43"/>
  <c r="B21" i="41"/>
  <c r="D20" i="41"/>
  <c r="D16" i="41"/>
  <c r="B22" i="40"/>
  <c r="D21" i="40"/>
  <c r="H15" i="40"/>
  <c r="D29" i="50"/>
  <c r="D34" i="46"/>
  <c r="P20" i="44"/>
  <c r="P16" i="44"/>
  <c r="D12" i="44"/>
  <c r="P21" i="43"/>
  <c r="T15" i="43"/>
  <c r="P13" i="43"/>
  <c r="H12" i="43"/>
  <c r="T24" i="41"/>
  <c r="T22" i="41"/>
  <c r="P12" i="41"/>
  <c r="T34" i="40"/>
  <c r="T33" i="40"/>
  <c r="T29" i="40"/>
  <c r="T25" i="40"/>
  <c r="B16" i="40"/>
  <c r="D15" i="40"/>
  <c r="T12" i="40"/>
  <c r="H24" i="49"/>
  <c r="H33" i="46"/>
  <c r="H34" i="44"/>
  <c r="H33" i="44"/>
  <c r="H29" i="44"/>
  <c r="H25" i="44"/>
  <c r="P15" i="44"/>
  <c r="D5" i="44"/>
  <c r="P20" i="43"/>
  <c r="P16" i="43"/>
  <c r="D12" i="43"/>
  <c r="P34" i="41"/>
  <c r="P33" i="41"/>
  <c r="P29" i="41"/>
  <c r="P25" i="41"/>
  <c r="T21" i="41"/>
  <c r="T24" i="40"/>
  <c r="T22" i="40"/>
  <c r="P12" i="40"/>
  <c r="H25" i="50"/>
  <c r="B25" i="47"/>
  <c r="H16" i="47"/>
  <c r="D33" i="46"/>
  <c r="D13" i="46"/>
  <c r="B39" i="44"/>
  <c r="H24" i="44"/>
  <c r="H22" i="44"/>
  <c r="H13" i="44"/>
  <c r="D4" i="44"/>
  <c r="H34" i="43"/>
  <c r="H33" i="43"/>
  <c r="H29" i="43"/>
  <c r="H25" i="43"/>
  <c r="P15" i="43"/>
  <c r="D5" i="43"/>
  <c r="P24" i="41"/>
  <c r="P22" i="41"/>
  <c r="T20" i="41"/>
  <c r="T16" i="41"/>
  <c r="T13" i="41"/>
  <c r="P34" i="40"/>
  <c r="P33" i="40"/>
  <c r="P29" i="40"/>
  <c r="P25" i="40"/>
  <c r="T21" i="40"/>
  <c r="D5" i="46"/>
  <c r="P24" i="43"/>
  <c r="H22" i="41"/>
  <c r="H29" i="40"/>
  <c r="T24" i="38"/>
  <c r="T22" i="38"/>
  <c r="P12" i="38"/>
  <c r="T34" i="37"/>
  <c r="T33" i="37"/>
  <c r="T29" i="37"/>
  <c r="T25" i="37"/>
  <c r="B16" i="37"/>
  <c r="D15" i="37"/>
  <c r="T12" i="37"/>
  <c r="D25" i="50"/>
  <c r="B39" i="47"/>
  <c r="B38" i="44"/>
  <c r="H24" i="43"/>
  <c r="T34" i="41"/>
  <c r="B16" i="41"/>
  <c r="D16" i="40"/>
  <c r="P34" i="38"/>
  <c r="P33" i="38"/>
  <c r="P29" i="38"/>
  <c r="P25" i="38"/>
  <c r="T21" i="38"/>
  <c r="T24" i="37"/>
  <c r="T22" i="37"/>
  <c r="P12" i="37"/>
  <c r="P22" i="43"/>
  <c r="T13" i="43"/>
  <c r="P21" i="41"/>
  <c r="T15" i="41"/>
  <c r="P24" i="38"/>
  <c r="P22" i="38"/>
  <c r="T20" i="38"/>
  <c r="T16" i="38"/>
  <c r="T13" i="38"/>
  <c r="P34" i="37"/>
  <c r="P33" i="37"/>
  <c r="P29" i="37"/>
  <c r="P25" i="37"/>
  <c r="T21" i="37"/>
  <c r="D25" i="44"/>
  <c r="H22" i="43"/>
  <c r="H13" i="43"/>
  <c r="H34" i="40"/>
  <c r="P15" i="40"/>
  <c r="P21" i="38"/>
  <c r="T15" i="38"/>
  <c r="P13" i="38"/>
  <c r="H12" i="38"/>
  <c r="P24" i="37"/>
  <c r="P22" i="37"/>
  <c r="T20" i="37"/>
  <c r="T16" i="37"/>
  <c r="T13" i="37"/>
  <c r="H22" i="49"/>
  <c r="H24" i="47"/>
  <c r="T15" i="44"/>
  <c r="T33" i="41"/>
  <c r="T25" i="41"/>
  <c r="D15" i="41"/>
  <c r="B21" i="40"/>
  <c r="P20" i="38"/>
  <c r="P16" i="38"/>
  <c r="D12" i="38"/>
  <c r="P21" i="37"/>
  <c r="T15" i="37"/>
  <c r="P13" i="37"/>
  <c r="H12" i="37"/>
  <c r="H13" i="49"/>
  <c r="D34" i="44"/>
  <c r="D4" i="43"/>
  <c r="P13" i="41"/>
  <c r="T20" i="40"/>
  <c r="T13" i="40"/>
  <c r="H34" i="38"/>
  <c r="H33" i="38"/>
  <c r="H29" i="38"/>
  <c r="H25" i="38"/>
  <c r="P15" i="38"/>
  <c r="D5" i="38"/>
  <c r="P20" i="37"/>
  <c r="P16" i="37"/>
  <c r="D12" i="37"/>
  <c r="P13" i="44"/>
  <c r="T20" i="43"/>
  <c r="H13" i="41"/>
  <c r="H33" i="40"/>
  <c r="H25" i="40"/>
  <c r="B39" i="38"/>
  <c r="H24" i="38"/>
  <c r="H22" i="38"/>
  <c r="H13" i="38"/>
  <c r="D4" i="38"/>
  <c r="H34" i="37"/>
  <c r="H33" i="37"/>
  <c r="H29" i="37"/>
  <c r="H25" i="37"/>
  <c r="P15" i="37"/>
  <c r="D5" i="37"/>
  <c r="H34" i="46"/>
  <c r="D33" i="44"/>
  <c r="D13" i="44"/>
  <c r="T12" i="41"/>
  <c r="D20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P21" i="44"/>
  <c r="H12" i="44"/>
  <c r="H12" i="41"/>
  <c r="P24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H21" i="44"/>
  <c r="B39" i="43"/>
  <c r="B39" i="41"/>
  <c r="H24" i="41"/>
  <c r="D4" i="41"/>
  <c r="D5" i="40"/>
  <c r="B22" i="38"/>
  <c r="D21" i="38"/>
  <c r="H15" i="38"/>
  <c r="B25" i="37"/>
  <c r="D24" i="37"/>
  <c r="D22" i="37"/>
  <c r="H20" i="37"/>
  <c r="H16" i="37"/>
  <c r="B13" i="37"/>
  <c r="T16" i="43"/>
  <c r="T29" i="41"/>
  <c r="B21" i="38"/>
  <c r="D20" i="38"/>
  <c r="D16" i="38"/>
  <c r="B22" i="37"/>
  <c r="D21" i="37"/>
  <c r="H15" i="37"/>
  <c r="P15" i="46"/>
  <c r="D29" i="44"/>
  <c r="P22" i="40"/>
  <c r="T16" i="40"/>
  <c r="T34" i="38"/>
  <c r="T33" i="38"/>
  <c r="T29" i="38"/>
  <c r="T25" i="38"/>
  <c r="B16" i="38"/>
  <c r="D15" i="38"/>
  <c r="T12" i="38"/>
  <c r="B21" i="37"/>
  <c r="D20" i="37"/>
  <c r="D16" i="37"/>
  <c r="B22" i="35"/>
  <c r="D21" i="35"/>
  <c r="H15" i="35"/>
  <c r="B25" i="34"/>
  <c r="D24" i="34"/>
  <c r="D22" i="34"/>
  <c r="H20" i="34"/>
  <c r="H16" i="34"/>
  <c r="B13" i="34"/>
  <c r="P24" i="32"/>
  <c r="P22" i="32"/>
  <c r="T20" i="32"/>
  <c r="T16" i="32"/>
  <c r="T13" i="32"/>
  <c r="P34" i="31"/>
  <c r="P33" i="31"/>
  <c r="P29" i="31"/>
  <c r="P25" i="31"/>
  <c r="T21" i="31"/>
  <c r="B21" i="35"/>
  <c r="D20" i="35"/>
  <c r="D16" i="35"/>
  <c r="B22" i="34"/>
  <c r="D21" i="34"/>
  <c r="H15" i="34"/>
  <c r="P21" i="32"/>
  <c r="T15" i="32"/>
  <c r="P13" i="32"/>
  <c r="H12" i="32"/>
  <c r="P24" i="31"/>
  <c r="P22" i="31"/>
  <c r="T20" i="31"/>
  <c r="T16" i="31"/>
  <c r="T13" i="31"/>
  <c r="T34" i="35"/>
  <c r="T33" i="35"/>
  <c r="T29" i="35"/>
  <c r="T25" i="35"/>
  <c r="B16" i="35"/>
  <c r="D15" i="35"/>
  <c r="T12" i="35"/>
  <c r="B21" i="34"/>
  <c r="D20" i="34"/>
  <c r="D16" i="34"/>
  <c r="P20" i="32"/>
  <c r="P16" i="32"/>
  <c r="D12" i="32"/>
  <c r="P21" i="31"/>
  <c r="T15" i="31"/>
  <c r="P13" i="31"/>
  <c r="H12" i="31"/>
  <c r="T24" i="35"/>
  <c r="T22" i="35"/>
  <c r="P12" i="35"/>
  <c r="T34" i="34"/>
  <c r="T33" i="34"/>
  <c r="T29" i="34"/>
  <c r="T25" i="34"/>
  <c r="B16" i="34"/>
  <c r="D15" i="34"/>
  <c r="T12" i="34"/>
  <c r="H34" i="32"/>
  <c r="H33" i="32"/>
  <c r="H29" i="32"/>
  <c r="H25" i="32"/>
  <c r="P15" i="32"/>
  <c r="D5" i="32"/>
  <c r="P20" i="31"/>
  <c r="P16" i="31"/>
  <c r="D12" i="31"/>
  <c r="P34" i="35"/>
  <c r="P33" i="35"/>
  <c r="P29" i="35"/>
  <c r="P25" i="35"/>
  <c r="T21" i="35"/>
  <c r="T24" i="34"/>
  <c r="T22" i="34"/>
  <c r="P12" i="34"/>
  <c r="B39" i="32"/>
  <c r="H24" i="32"/>
  <c r="H22" i="32"/>
  <c r="H13" i="32"/>
  <c r="D4" i="32"/>
  <c r="H34" i="31"/>
  <c r="H33" i="31"/>
  <c r="H29" i="31"/>
  <c r="H25" i="31"/>
  <c r="P15" i="31"/>
  <c r="D5" i="31"/>
  <c r="P24" i="35"/>
  <c r="P22" i="35"/>
  <c r="T20" i="35"/>
  <c r="T16" i="35"/>
  <c r="T13" i="35"/>
  <c r="P34" i="34"/>
  <c r="P33" i="34"/>
  <c r="P29" i="34"/>
  <c r="P25" i="34"/>
  <c r="T21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P21" i="35"/>
  <c r="T15" i="35"/>
  <c r="P13" i="35"/>
  <c r="H12" i="35"/>
  <c r="P24" i="34"/>
  <c r="P22" i="34"/>
  <c r="T20" i="34"/>
  <c r="T16" i="34"/>
  <c r="T13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P20" i="35"/>
  <c r="P16" i="35"/>
  <c r="D12" i="35"/>
  <c r="P21" i="34"/>
  <c r="T15" i="34"/>
  <c r="P13" i="34"/>
  <c r="H12" i="34"/>
  <c r="B22" i="32"/>
  <c r="D21" i="32"/>
  <c r="H15" i="32"/>
  <c r="B25" i="31"/>
  <c r="D24" i="31"/>
  <c r="D22" i="31"/>
  <c r="H20" i="31"/>
  <c r="H16" i="31"/>
  <c r="B13" i="31"/>
  <c r="H34" i="35"/>
  <c r="H33" i="35"/>
  <c r="H29" i="35"/>
  <c r="H25" i="35"/>
  <c r="P15" i="35"/>
  <c r="D5" i="35"/>
  <c r="P20" i="34"/>
  <c r="P16" i="34"/>
  <c r="D12" i="34"/>
  <c r="B21" i="32"/>
  <c r="D20" i="32"/>
  <c r="D16" i="32"/>
  <c r="B22" i="31"/>
  <c r="D21" i="31"/>
  <c r="H15" i="31"/>
  <c r="B39" i="35"/>
  <c r="H24" i="35"/>
  <c r="H22" i="35"/>
  <c r="H13" i="35"/>
  <c r="D4" i="35"/>
  <c r="H34" i="34"/>
  <c r="H33" i="34"/>
  <c r="H29" i="34"/>
  <c r="H25" i="34"/>
  <c r="P15" i="34"/>
  <c r="D5" i="34"/>
  <c r="T34" i="32"/>
  <c r="T33" i="32"/>
  <c r="T29" i="32"/>
  <c r="T25" i="32"/>
  <c r="B16" i="32"/>
  <c r="D15" i="32"/>
  <c r="T12" i="32"/>
  <c r="B21" i="31"/>
  <c r="D20" i="31"/>
  <c r="D16" i="31"/>
  <c r="B38" i="35"/>
  <c r="D34" i="35"/>
  <c r="D33" i="35"/>
  <c r="D29" i="35"/>
  <c r="D25" i="35"/>
  <c r="H21" i="35"/>
  <c r="D13" i="35"/>
  <c r="B39" i="34"/>
  <c r="H24" i="34"/>
  <c r="H22" i="34"/>
  <c r="H13" i="34"/>
  <c r="D4" i="34"/>
  <c r="T24" i="32"/>
  <c r="T22" i="32"/>
  <c r="P12" i="32"/>
  <c r="T34" i="31"/>
  <c r="T33" i="31"/>
  <c r="T29" i="31"/>
  <c r="T25" i="31"/>
  <c r="B16" i="31"/>
  <c r="D15" i="31"/>
  <c r="T12" i="31"/>
  <c r="H16" i="35"/>
  <c r="P21" i="29"/>
  <c r="T15" i="29"/>
  <c r="P13" i="29"/>
  <c r="H12" i="29"/>
  <c r="P24" i="28"/>
  <c r="P22" i="28"/>
  <c r="T20" i="28"/>
  <c r="T16" i="28"/>
  <c r="T13" i="28"/>
  <c r="B39" i="26"/>
  <c r="H24" i="26"/>
  <c r="H22" i="26"/>
  <c r="H13" i="26"/>
  <c r="D4" i="26"/>
  <c r="H34" i="25"/>
  <c r="H33" i="25"/>
  <c r="H29" i="25"/>
  <c r="H25" i="25"/>
  <c r="P15" i="25"/>
  <c r="D5" i="25"/>
  <c r="H21" i="34"/>
  <c r="T24" i="31"/>
  <c r="P20" i="29"/>
  <c r="P16" i="29"/>
  <c r="D12" i="29"/>
  <c r="P21" i="28"/>
  <c r="T15" i="28"/>
  <c r="P13" i="28"/>
  <c r="H12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B13" i="35"/>
  <c r="T22" i="31"/>
  <c r="H34" i="29"/>
  <c r="H33" i="29"/>
  <c r="H29" i="29"/>
  <c r="H25" i="29"/>
  <c r="P15" i="29"/>
  <c r="D5" i="29"/>
  <c r="P20" i="28"/>
  <c r="P16" i="28"/>
  <c r="D12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B38" i="34"/>
  <c r="P34" i="32"/>
  <c r="B39" i="29"/>
  <c r="H24" i="29"/>
  <c r="H22" i="29"/>
  <c r="H13" i="29"/>
  <c r="D4" i="29"/>
  <c r="H34" i="28"/>
  <c r="H33" i="28"/>
  <c r="H29" i="28"/>
  <c r="H25" i="28"/>
  <c r="P15" i="28"/>
  <c r="D5" i="28"/>
  <c r="B22" i="26"/>
  <c r="D21" i="26"/>
  <c r="H15" i="26"/>
  <c r="B25" i="25"/>
  <c r="D24" i="25"/>
  <c r="D22" i="25"/>
  <c r="H20" i="25"/>
  <c r="H16" i="25"/>
  <c r="B13" i="25"/>
  <c r="P33" i="32"/>
  <c r="B38" i="29"/>
  <c r="D34" i="29"/>
  <c r="D33" i="29"/>
  <c r="D29" i="29"/>
  <c r="D25" i="29"/>
  <c r="H21" i="29"/>
  <c r="D13" i="29"/>
  <c r="B39" i="28"/>
  <c r="H24" i="28"/>
  <c r="H22" i="28"/>
  <c r="H13" i="28"/>
  <c r="D4" i="28"/>
  <c r="B21" i="26"/>
  <c r="D20" i="26"/>
  <c r="D16" i="26"/>
  <c r="B22" i="25"/>
  <c r="D21" i="25"/>
  <c r="H15" i="25"/>
  <c r="D34" i="34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T34" i="26"/>
  <c r="T33" i="26"/>
  <c r="T29" i="26"/>
  <c r="T25" i="26"/>
  <c r="B16" i="26"/>
  <c r="D15" i="26"/>
  <c r="T12" i="26"/>
  <c r="B21" i="25"/>
  <c r="D20" i="25"/>
  <c r="D16" i="25"/>
  <c r="B25" i="35"/>
  <c r="D33" i="34"/>
  <c r="D13" i="34"/>
  <c r="P29" i="32"/>
  <c r="B22" i="29"/>
  <c r="D21" i="29"/>
  <c r="H15" i="29"/>
  <c r="B25" i="28"/>
  <c r="D24" i="28"/>
  <c r="D22" i="28"/>
  <c r="H20" i="28"/>
  <c r="H16" i="28"/>
  <c r="B13" i="28"/>
  <c r="T24" i="26"/>
  <c r="T22" i="26"/>
  <c r="P12" i="26"/>
  <c r="T34" i="25"/>
  <c r="T33" i="25"/>
  <c r="T29" i="25"/>
  <c r="T25" i="25"/>
  <c r="B16" i="25"/>
  <c r="D15" i="25"/>
  <c r="T12" i="25"/>
  <c r="D24" i="35"/>
  <c r="B21" i="29"/>
  <c r="D20" i="29"/>
  <c r="D16" i="29"/>
  <c r="B22" i="28"/>
  <c r="D21" i="28"/>
  <c r="H15" i="28"/>
  <c r="P34" i="26"/>
  <c r="P33" i="26"/>
  <c r="P29" i="26"/>
  <c r="P25" i="26"/>
  <c r="T21" i="26"/>
  <c r="T24" i="25"/>
  <c r="T22" i="25"/>
  <c r="P12" i="25"/>
  <c r="D22" i="35"/>
  <c r="D29" i="34"/>
  <c r="P25" i="32"/>
  <c r="T34" i="29"/>
  <c r="T33" i="29"/>
  <c r="T29" i="29"/>
  <c r="T25" i="29"/>
  <c r="B16" i="29"/>
  <c r="D15" i="29"/>
  <c r="T12" i="29"/>
  <c r="B21" i="28"/>
  <c r="D20" i="28"/>
  <c r="D16" i="28"/>
  <c r="P24" i="26"/>
  <c r="P22" i="26"/>
  <c r="T20" i="26"/>
  <c r="T16" i="26"/>
  <c r="T13" i="26"/>
  <c r="P34" i="25"/>
  <c r="P33" i="25"/>
  <c r="P29" i="25"/>
  <c r="P25" i="25"/>
  <c r="T21" i="25"/>
  <c r="P12" i="31"/>
  <c r="T24" i="29"/>
  <c r="T22" i="29"/>
  <c r="P12" i="29"/>
  <c r="T34" i="28"/>
  <c r="T33" i="28"/>
  <c r="T29" i="28"/>
  <c r="T25" i="28"/>
  <c r="B16" i="28"/>
  <c r="D15" i="28"/>
  <c r="T12" i="28"/>
  <c r="P21" i="26"/>
  <c r="T15" i="26"/>
  <c r="P13" i="26"/>
  <c r="H12" i="26"/>
  <c r="P24" i="25"/>
  <c r="P22" i="25"/>
  <c r="T20" i="25"/>
  <c r="T16" i="25"/>
  <c r="T13" i="25"/>
  <c r="H20" i="35"/>
  <c r="D25" i="34"/>
  <c r="P34" i="29"/>
  <c r="P33" i="29"/>
  <c r="P29" i="29"/>
  <c r="P25" i="29"/>
  <c r="T21" i="29"/>
  <c r="T24" i="28"/>
  <c r="T22" i="28"/>
  <c r="P12" i="28"/>
  <c r="P20" i="26"/>
  <c r="P16" i="26"/>
  <c r="D12" i="26"/>
  <c r="P21" i="25"/>
  <c r="T15" i="25"/>
  <c r="P13" i="25"/>
  <c r="H12" i="25"/>
  <c r="P24" i="29"/>
  <c r="H29" i="26"/>
  <c r="P16" i="25"/>
  <c r="B22" i="23"/>
  <c r="D21" i="23"/>
  <c r="H15" i="23"/>
  <c r="B25" i="22"/>
  <c r="D24" i="22"/>
  <c r="D22" i="22"/>
  <c r="H20" i="22"/>
  <c r="H16" i="22"/>
  <c r="B13" i="22"/>
  <c r="P20" i="20"/>
  <c r="P16" i="20"/>
  <c r="D12" i="20"/>
  <c r="P21" i="19"/>
  <c r="T15" i="19"/>
  <c r="P13" i="19"/>
  <c r="H12" i="19"/>
  <c r="P34" i="17"/>
  <c r="P33" i="17"/>
  <c r="P29" i="17"/>
  <c r="P25" i="17"/>
  <c r="T21" i="17"/>
  <c r="T24" i="16"/>
  <c r="T22" i="16"/>
  <c r="P12" i="16"/>
  <c r="P22" i="29"/>
  <c r="P29" i="28"/>
  <c r="B21" i="23"/>
  <c r="D20" i="23"/>
  <c r="D16" i="23"/>
  <c r="B22" i="22"/>
  <c r="D21" i="22"/>
  <c r="H15" i="22"/>
  <c r="H34" i="20"/>
  <c r="H33" i="20"/>
  <c r="H29" i="20"/>
  <c r="H25" i="20"/>
  <c r="P15" i="20"/>
  <c r="D5" i="20"/>
  <c r="P20" i="19"/>
  <c r="P16" i="19"/>
  <c r="D12" i="19"/>
  <c r="H25" i="26"/>
  <c r="T34" i="23"/>
  <c r="T33" i="23"/>
  <c r="T29" i="23"/>
  <c r="T25" i="23"/>
  <c r="B16" i="23"/>
  <c r="D15" i="23"/>
  <c r="T12" i="23"/>
  <c r="B21" i="22"/>
  <c r="D20" i="22"/>
  <c r="D16" i="22"/>
  <c r="B39" i="20"/>
  <c r="H24" i="20"/>
  <c r="H22" i="20"/>
  <c r="H13" i="20"/>
  <c r="D4" i="20"/>
  <c r="H34" i="19"/>
  <c r="H33" i="19"/>
  <c r="H29" i="19"/>
  <c r="H25" i="19"/>
  <c r="P15" i="19"/>
  <c r="D5" i="19"/>
  <c r="P21" i="17"/>
  <c r="T15" i="17"/>
  <c r="P13" i="17"/>
  <c r="H12" i="17"/>
  <c r="P24" i="16"/>
  <c r="P22" i="16"/>
  <c r="T20" i="16"/>
  <c r="T16" i="16"/>
  <c r="T13" i="16"/>
  <c r="T20" i="29"/>
  <c r="P25" i="28"/>
  <c r="D12" i="25"/>
  <c r="T24" i="23"/>
  <c r="T22" i="23"/>
  <c r="P12" i="23"/>
  <c r="T34" i="22"/>
  <c r="T33" i="22"/>
  <c r="T29" i="22"/>
  <c r="T25" i="22"/>
  <c r="B16" i="22"/>
  <c r="D15" i="22"/>
  <c r="T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P20" i="17"/>
  <c r="P16" i="17"/>
  <c r="D12" i="17"/>
  <c r="P21" i="16"/>
  <c r="T15" i="16"/>
  <c r="P13" i="16"/>
  <c r="H12" i="16"/>
  <c r="P34" i="23"/>
  <c r="P33" i="23"/>
  <c r="P29" i="23"/>
  <c r="P25" i="23"/>
  <c r="T21" i="23"/>
  <c r="T24" i="22"/>
  <c r="T22" i="22"/>
  <c r="P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H34" i="17"/>
  <c r="H33" i="17"/>
  <c r="H29" i="17"/>
  <c r="H25" i="17"/>
  <c r="P15" i="17"/>
  <c r="D5" i="17"/>
  <c r="P20" i="16"/>
  <c r="P16" i="16"/>
  <c r="D12" i="16"/>
  <c r="T21" i="32"/>
  <c r="T16" i="29"/>
  <c r="P24" i="23"/>
  <c r="P22" i="23"/>
  <c r="T20" i="23"/>
  <c r="T16" i="23"/>
  <c r="T13" i="23"/>
  <c r="P34" i="22"/>
  <c r="P33" i="22"/>
  <c r="P29" i="22"/>
  <c r="P25" i="22"/>
  <c r="T21" i="22"/>
  <c r="B22" i="20"/>
  <c r="D21" i="20"/>
  <c r="H15" i="20"/>
  <c r="B25" i="19"/>
  <c r="D24" i="19"/>
  <c r="D22" i="19"/>
  <c r="H20" i="19"/>
  <c r="H16" i="19"/>
  <c r="B13" i="19"/>
  <c r="B39" i="17"/>
  <c r="H24" i="17"/>
  <c r="H22" i="17"/>
  <c r="H13" i="17"/>
  <c r="D4" i="17"/>
  <c r="H34" i="16"/>
  <c r="H33" i="16"/>
  <c r="H29" i="16"/>
  <c r="H25" i="16"/>
  <c r="P15" i="16"/>
  <c r="D5" i="16"/>
  <c r="T21" i="28"/>
  <c r="P21" i="23"/>
  <c r="T15" i="23"/>
  <c r="P13" i="23"/>
  <c r="H12" i="23"/>
  <c r="P24" i="22"/>
  <c r="P22" i="22"/>
  <c r="T20" i="22"/>
  <c r="T16" i="22"/>
  <c r="T13" i="22"/>
  <c r="B21" i="20"/>
  <c r="D20" i="20"/>
  <c r="D16" i="20"/>
  <c r="B22" i="19"/>
  <c r="D21" i="19"/>
  <c r="H15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T13" i="29"/>
  <c r="P20" i="23"/>
  <c r="P16" i="23"/>
  <c r="D12" i="23"/>
  <c r="P21" i="22"/>
  <c r="T15" i="22"/>
  <c r="P13" i="22"/>
  <c r="H12" i="22"/>
  <c r="T34" i="20"/>
  <c r="T33" i="20"/>
  <c r="T29" i="20"/>
  <c r="T25" i="20"/>
  <c r="B16" i="20"/>
  <c r="D15" i="20"/>
  <c r="T12" i="20"/>
  <c r="B21" i="19"/>
  <c r="D20" i="19"/>
  <c r="D16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H34" i="23"/>
  <c r="H33" i="23"/>
  <c r="H29" i="23"/>
  <c r="H25" i="23"/>
  <c r="P15" i="23"/>
  <c r="D5" i="23"/>
  <c r="P20" i="22"/>
  <c r="P16" i="22"/>
  <c r="D12" i="22"/>
  <c r="T24" i="20"/>
  <c r="T22" i="20"/>
  <c r="P12" i="20"/>
  <c r="T34" i="19"/>
  <c r="T33" i="19"/>
  <c r="T29" i="19"/>
  <c r="T25" i="19"/>
  <c r="B16" i="19"/>
  <c r="D15" i="19"/>
  <c r="T12" i="19"/>
  <c r="B22" i="17"/>
  <c r="D21" i="17"/>
  <c r="H15" i="17"/>
  <c r="B25" i="16"/>
  <c r="D24" i="16"/>
  <c r="D22" i="16"/>
  <c r="H20" i="16"/>
  <c r="H16" i="16"/>
  <c r="B13" i="16"/>
  <c r="H34" i="26"/>
  <c r="P15" i="26"/>
  <c r="B39" i="23"/>
  <c r="H24" i="23"/>
  <c r="H22" i="23"/>
  <c r="H13" i="23"/>
  <c r="D4" i="23"/>
  <c r="H34" i="22"/>
  <c r="H33" i="22"/>
  <c r="H29" i="22"/>
  <c r="H25" i="22"/>
  <c r="P15" i="22"/>
  <c r="D5" i="22"/>
  <c r="P34" i="20"/>
  <c r="P33" i="20"/>
  <c r="P29" i="20"/>
  <c r="P25" i="20"/>
  <c r="T21" i="20"/>
  <c r="T24" i="19"/>
  <c r="T22" i="19"/>
  <c r="P12" i="19"/>
  <c r="B21" i="17"/>
  <c r="D20" i="17"/>
  <c r="D16" i="17"/>
  <c r="B22" i="16"/>
  <c r="D21" i="16"/>
  <c r="H15" i="16"/>
  <c r="P34" i="28"/>
  <c r="H33" i="26"/>
  <c r="P20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24" i="20"/>
  <c r="P22" i="20"/>
  <c r="T20" i="20"/>
  <c r="T16" i="20"/>
  <c r="T13" i="20"/>
  <c r="P34" i="19"/>
  <c r="P33" i="19"/>
  <c r="P29" i="19"/>
  <c r="P25" i="19"/>
  <c r="T21" i="19"/>
  <c r="T34" i="17"/>
  <c r="T33" i="17"/>
  <c r="T29" i="17"/>
  <c r="T25" i="17"/>
  <c r="B16" i="17"/>
  <c r="D15" i="17"/>
  <c r="T12" i="17"/>
  <c r="B21" i="16"/>
  <c r="D20" i="16"/>
  <c r="D16" i="16"/>
  <c r="H20" i="23"/>
  <c r="D25" i="22"/>
  <c r="T15" i="20"/>
  <c r="T16" i="17"/>
  <c r="P33" i="16"/>
  <c r="P34" i="14"/>
  <c r="P33" i="14"/>
  <c r="P29" i="14"/>
  <c r="P25" i="14"/>
  <c r="T21" i="14"/>
  <c r="T24" i="13"/>
  <c r="T22" i="13"/>
  <c r="P1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13" i="20"/>
  <c r="T20" i="19"/>
  <c r="T24" i="17"/>
  <c r="T12" i="16"/>
  <c r="P24" i="14"/>
  <c r="P22" i="14"/>
  <c r="T20" i="14"/>
  <c r="T16" i="14"/>
  <c r="T13" i="14"/>
  <c r="P34" i="13"/>
  <c r="P33" i="13"/>
  <c r="P29" i="13"/>
  <c r="P25" i="13"/>
  <c r="T21" i="13"/>
  <c r="B22" i="11"/>
  <c r="D21" i="11"/>
  <c r="H15" i="11"/>
  <c r="B25" i="10"/>
  <c r="D24" i="10"/>
  <c r="D22" i="10"/>
  <c r="H20" i="10"/>
  <c r="H16" i="10"/>
  <c r="B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P33" i="28"/>
  <c r="H16" i="23"/>
  <c r="H12" i="20"/>
  <c r="P24" i="17"/>
  <c r="T21" i="16"/>
  <c r="P21" i="14"/>
  <c r="T15" i="14"/>
  <c r="P13" i="14"/>
  <c r="H12" i="14"/>
  <c r="P24" i="13"/>
  <c r="P22" i="13"/>
  <c r="T20" i="13"/>
  <c r="T16" i="13"/>
  <c r="T13" i="13"/>
  <c r="B21" i="11"/>
  <c r="D20" i="11"/>
  <c r="D16" i="11"/>
  <c r="B22" i="10"/>
  <c r="D21" i="10"/>
  <c r="H15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H21" i="22"/>
  <c r="T16" i="19"/>
  <c r="T22" i="17"/>
  <c r="T29" i="16"/>
  <c r="P20" i="14"/>
  <c r="P16" i="14"/>
  <c r="D12" i="14"/>
  <c r="P21" i="13"/>
  <c r="T15" i="13"/>
  <c r="P13" i="13"/>
  <c r="H12" i="13"/>
  <c r="T34" i="11"/>
  <c r="T33" i="11"/>
  <c r="T29" i="11"/>
  <c r="T25" i="11"/>
  <c r="B16" i="11"/>
  <c r="D15" i="11"/>
  <c r="T12" i="11"/>
  <c r="B21" i="10"/>
  <c r="D20" i="10"/>
  <c r="D16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B13" i="23"/>
  <c r="P22" i="17"/>
  <c r="T13" i="17"/>
  <c r="P29" i="16"/>
  <c r="H34" i="14"/>
  <c r="H33" i="14"/>
  <c r="H29" i="14"/>
  <c r="H25" i="14"/>
  <c r="P15" i="14"/>
  <c r="D5" i="14"/>
  <c r="P20" i="13"/>
  <c r="P16" i="13"/>
  <c r="D12" i="13"/>
  <c r="T24" i="11"/>
  <c r="T22" i="11"/>
  <c r="P12" i="11"/>
  <c r="T34" i="10"/>
  <c r="T33" i="10"/>
  <c r="T29" i="10"/>
  <c r="T25" i="10"/>
  <c r="B16" i="10"/>
  <c r="D15" i="10"/>
  <c r="T12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B38" i="22"/>
  <c r="T13" i="19"/>
  <c r="P12" i="17"/>
  <c r="B39" i="14"/>
  <c r="H24" i="14"/>
  <c r="H22" i="14"/>
  <c r="H13" i="14"/>
  <c r="D4" i="14"/>
  <c r="H34" i="13"/>
  <c r="H33" i="13"/>
  <c r="H29" i="13"/>
  <c r="H25" i="13"/>
  <c r="P15" i="13"/>
  <c r="D5" i="13"/>
  <c r="P34" i="11"/>
  <c r="P33" i="11"/>
  <c r="P29" i="11"/>
  <c r="P25" i="11"/>
  <c r="T21" i="11"/>
  <c r="T24" i="10"/>
  <c r="T22" i="10"/>
  <c r="P12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B38" i="14"/>
  <c r="D34" i="14"/>
  <c r="D33" i="14"/>
  <c r="D29" i="14"/>
  <c r="D25" i="14"/>
  <c r="H21" i="14"/>
  <c r="D13" i="14"/>
  <c r="B39" i="13"/>
  <c r="H24" i="13"/>
  <c r="H22" i="13"/>
  <c r="H13" i="13"/>
  <c r="D4" i="13"/>
  <c r="P24" i="11"/>
  <c r="P22" i="11"/>
  <c r="T20" i="11"/>
  <c r="T16" i="11"/>
  <c r="T13" i="11"/>
  <c r="P34" i="10"/>
  <c r="P33" i="10"/>
  <c r="P29" i="10"/>
  <c r="P25" i="10"/>
  <c r="T21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D34" i="22"/>
  <c r="T25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1" i="11"/>
  <c r="T15" i="11"/>
  <c r="P13" i="11"/>
  <c r="H12" i="11"/>
  <c r="P24" i="10"/>
  <c r="P22" i="10"/>
  <c r="T20" i="10"/>
  <c r="T16" i="10"/>
  <c r="T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B25" i="23"/>
  <c r="D33" i="22"/>
  <c r="D13" i="22"/>
  <c r="P21" i="20"/>
  <c r="T20" i="17"/>
  <c r="P25" i="16"/>
  <c r="B22" i="14"/>
  <c r="D21" i="14"/>
  <c r="H15" i="14"/>
  <c r="B25" i="13"/>
  <c r="D24" i="13"/>
  <c r="D22" i="13"/>
  <c r="H20" i="13"/>
  <c r="H16" i="13"/>
  <c r="B13" i="13"/>
  <c r="P20" i="11"/>
  <c r="P16" i="11"/>
  <c r="D12" i="11"/>
  <c r="P21" i="10"/>
  <c r="T15" i="10"/>
  <c r="P13" i="10"/>
  <c r="H12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D24" i="23"/>
  <c r="T34" i="16"/>
  <c r="B16" i="16"/>
  <c r="B21" i="14"/>
  <c r="D20" i="14"/>
  <c r="D16" i="14"/>
  <c r="B22" i="13"/>
  <c r="D21" i="13"/>
  <c r="H15" i="13"/>
  <c r="H34" i="11"/>
  <c r="H33" i="11"/>
  <c r="H29" i="11"/>
  <c r="H25" i="11"/>
  <c r="P15" i="11"/>
  <c r="D5" i="11"/>
  <c r="P20" i="10"/>
  <c r="P16" i="10"/>
  <c r="D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22" i="23"/>
  <c r="D29" i="22"/>
  <c r="P24" i="19"/>
  <c r="P34" i="16"/>
  <c r="T34" i="14"/>
  <c r="T33" i="14"/>
  <c r="T29" i="14"/>
  <c r="T25" i="14"/>
  <c r="B16" i="14"/>
  <c r="D15" i="14"/>
  <c r="T12" i="14"/>
  <c r="B21" i="13"/>
  <c r="D20" i="13"/>
  <c r="D16" i="13"/>
  <c r="B39" i="11"/>
  <c r="H24" i="11"/>
  <c r="H22" i="11"/>
  <c r="H13" i="11"/>
  <c r="D4" i="11"/>
  <c r="H34" i="10"/>
  <c r="H33" i="10"/>
  <c r="H29" i="10"/>
  <c r="H25" i="10"/>
  <c r="P15" i="10"/>
  <c r="D5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13" i="7"/>
  <c r="B25" i="5"/>
  <c r="D33" i="4"/>
  <c r="D13" i="4"/>
  <c r="P12" i="14"/>
  <c r="H21" i="11"/>
  <c r="D24" i="5"/>
  <c r="D34" i="4"/>
  <c r="D22" i="5"/>
  <c r="D29" i="4"/>
  <c r="D15" i="16"/>
  <c r="T34" i="13"/>
  <c r="B16" i="13"/>
  <c r="B38" i="11"/>
  <c r="H24" i="10"/>
  <c r="P21" i="8"/>
  <c r="D5" i="26"/>
  <c r="T33" i="13"/>
  <c r="D15" i="13"/>
  <c r="H22" i="10"/>
  <c r="H20" i="5"/>
  <c r="D25" i="4"/>
  <c r="T24" i="14"/>
  <c r="T12" i="13"/>
  <c r="D34" i="11"/>
  <c r="P24" i="7"/>
  <c r="T22" i="14"/>
  <c r="T29" i="13"/>
  <c r="D33" i="11"/>
  <c r="D13" i="11"/>
  <c r="P22" i="7"/>
  <c r="H16" i="5"/>
  <c r="P22" i="19"/>
  <c r="B39" i="10"/>
  <c r="T15" i="8"/>
  <c r="H21" i="4"/>
  <c r="T25" i="13"/>
  <c r="D29" i="11"/>
  <c r="P13" i="8"/>
  <c r="T20" i="7"/>
  <c r="B13" i="5"/>
  <c r="D4" i="10"/>
  <c r="T33" i="16"/>
  <c r="H12" i="8"/>
  <c r="B38" i="4"/>
  <c r="D25" i="11"/>
  <c r="H13" i="10"/>
  <c r="T16" i="7"/>
  <c r="Z16" i="7" l="1"/>
  <c r="N13" i="10"/>
  <c r="L25" i="11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N12" i="8"/>
  <c r="Z33" i="16"/>
  <c r="Z20" i="7"/>
  <c r="X13" i="8"/>
  <c r="L29" i="11"/>
  <c r="Z25" i="13"/>
  <c r="N21" i="4"/>
  <c r="Z15" i="8"/>
  <c r="X22" i="19"/>
  <c r="N16" i="5"/>
  <c r="X22" i="7"/>
  <c r="L13" i="11"/>
  <c r="L33" i="11"/>
  <c r="Z29" i="13"/>
  <c r="Z22" i="14"/>
  <c r="X24" i="7"/>
  <c r="L34" i="11"/>
  <c r="V21" i="13"/>
  <c r="V20" i="13"/>
  <c r="V18" i="13"/>
  <c r="V16" i="13"/>
  <c r="T18" i="13"/>
  <c r="V15" i="13"/>
  <c r="Z12" i="13"/>
  <c r="V36" i="13"/>
  <c r="V34" i="13"/>
  <c r="V33" i="13"/>
  <c r="V31" i="13"/>
  <c r="V29" i="13"/>
  <c r="V27" i="13"/>
  <c r="V25" i="13"/>
  <c r="V24" i="13"/>
  <c r="V22" i="13"/>
  <c r="Z24" i="14"/>
  <c r="L25" i="4"/>
  <c r="N20" i="5"/>
  <c r="N22" i="10"/>
  <c r="L15" i="13"/>
  <c r="Z33" i="13"/>
  <c r="X21" i="8"/>
  <c r="N24" i="10"/>
  <c r="Z34" i="13"/>
  <c r="L15" i="16"/>
  <c r="L29" i="4"/>
  <c r="L22" i="5"/>
  <c r="L34" i="4"/>
  <c r="L24" i="5"/>
  <c r="N21" i="11"/>
  <c r="R24" i="14"/>
  <c r="R22" i="14"/>
  <c r="R21" i="14"/>
  <c r="R20" i="14"/>
  <c r="R18" i="14"/>
  <c r="R16" i="14"/>
  <c r="P18" i="14"/>
  <c r="R15" i="14"/>
  <c r="X12" i="14"/>
  <c r="R33" i="14"/>
  <c r="R31" i="14"/>
  <c r="R29" i="14"/>
  <c r="R27" i="14"/>
  <c r="R25" i="14"/>
  <c r="R34" i="14"/>
  <c r="R36" i="14"/>
  <c r="L13" i="4"/>
  <c r="L33" i="4"/>
  <c r="Z13" i="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5" i="10"/>
  <c r="N25" i="10"/>
  <c r="N29" i="10"/>
  <c r="N33" i="10"/>
  <c r="N34" i="10"/>
  <c r="N13" i="11"/>
  <c r="N22" i="11"/>
  <c r="N24" i="11"/>
  <c r="L16" i="13"/>
  <c r="L20" i="13"/>
  <c r="V20" i="14"/>
  <c r="V18" i="14"/>
  <c r="V16" i="14"/>
  <c r="T18" i="14"/>
  <c r="V15" i="14"/>
  <c r="Z12" i="14"/>
  <c r="V36" i="14"/>
  <c r="V34" i="14"/>
  <c r="V33" i="14"/>
  <c r="V31" i="14"/>
  <c r="V29" i="14"/>
  <c r="V27" i="14"/>
  <c r="V25" i="14"/>
  <c r="V24" i="14"/>
  <c r="V22" i="14"/>
  <c r="V21" i="14"/>
  <c r="L15" i="14"/>
  <c r="Z25" i="14"/>
  <c r="Z29" i="14"/>
  <c r="Z33" i="14"/>
  <c r="Z34" i="14"/>
  <c r="X34" i="16"/>
  <c r="X24" i="19"/>
  <c r="L29" i="22"/>
  <c r="L22" i="23"/>
  <c r="X15" i="4"/>
  <c r="N25" i="4"/>
  <c r="N29" i="4"/>
  <c r="N33" i="4"/>
  <c r="N34" i="4"/>
  <c r="N13" i="5"/>
  <c r="N22" i="5"/>
  <c r="N24" i="5"/>
  <c r="R20" i="7"/>
  <c r="R18" i="7"/>
  <c r="R16" i="7"/>
  <c r="P18" i="7"/>
  <c r="R15" i="7"/>
  <c r="X12" i="7"/>
  <c r="R36" i="7"/>
  <c r="R34" i="7"/>
  <c r="R33" i="7"/>
  <c r="R31" i="7"/>
  <c r="R29" i="7"/>
  <c r="R27" i="7"/>
  <c r="R25" i="7"/>
  <c r="R24" i="7"/>
  <c r="R22" i="7"/>
  <c r="R21" i="7"/>
  <c r="Z22" i="7"/>
  <c r="Z24" i="7"/>
  <c r="Z21" i="8"/>
  <c r="X25" i="8"/>
  <c r="X29" i="8"/>
  <c r="X33" i="8"/>
  <c r="X34" i="8"/>
  <c r="F24" i="10"/>
  <c r="F22" i="10"/>
  <c r="F21" i="10"/>
  <c r="F20" i="10"/>
  <c r="F18" i="10"/>
  <c r="F16" i="10"/>
  <c r="D18" i="10"/>
  <c r="F15" i="10"/>
  <c r="L12" i="10"/>
  <c r="F29" i="10"/>
  <c r="F27" i="10"/>
  <c r="F31" i="10"/>
  <c r="F25" i="10"/>
  <c r="F36" i="10"/>
  <c r="F34" i="10"/>
  <c r="F33" i="10"/>
  <c r="X16" i="10"/>
  <c r="X20" i="10"/>
  <c r="X15" i="11"/>
  <c r="N25" i="11"/>
  <c r="N29" i="11"/>
  <c r="N33" i="11"/>
  <c r="N34" i="11"/>
  <c r="N15" i="13"/>
  <c r="L21" i="13"/>
  <c r="L16" i="14"/>
  <c r="L20" i="14"/>
  <c r="Z34" i="16"/>
  <c r="L24" i="23"/>
  <c r="F21" i="4"/>
  <c r="F20" i="4"/>
  <c r="F18" i="4"/>
  <c r="F16" i="4"/>
  <c r="D18" i="4"/>
  <c r="F15" i="4"/>
  <c r="L12" i="4"/>
  <c r="F36" i="4"/>
  <c r="F34" i="4"/>
  <c r="F33" i="4"/>
  <c r="F31" i="4"/>
  <c r="F29" i="4"/>
  <c r="F27" i="4"/>
  <c r="F25" i="4"/>
  <c r="F24" i="4"/>
  <c r="F22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V15" i="7"/>
  <c r="T18" i="7"/>
  <c r="L15" i="7"/>
  <c r="Z25" i="7"/>
  <c r="Z29" i="7"/>
  <c r="Z33" i="7"/>
  <c r="Z34" i="7"/>
  <c r="P18" i="8"/>
  <c r="R15" i="8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Z22" i="8"/>
  <c r="Z24" i="8"/>
  <c r="J20" i="10"/>
  <c r="J18" i="10"/>
  <c r="J16" i="10"/>
  <c r="H18" i="10"/>
  <c r="J15" i="10"/>
  <c r="N12" i="10"/>
  <c r="J36" i="10"/>
  <c r="J34" i="10"/>
  <c r="J33" i="10"/>
  <c r="J31" i="10"/>
  <c r="J29" i="10"/>
  <c r="J27" i="10"/>
  <c r="J25" i="10"/>
  <c r="J24" i="10"/>
  <c r="J22" i="10"/>
  <c r="J21" i="10"/>
  <c r="X13" i="10"/>
  <c r="Z15" i="10"/>
  <c r="X21" i="10"/>
  <c r="F21" i="11"/>
  <c r="F20" i="11"/>
  <c r="F18" i="11"/>
  <c r="F16" i="11"/>
  <c r="D18" i="11"/>
  <c r="F15" i="11"/>
  <c r="L12" i="11"/>
  <c r="F36" i="11"/>
  <c r="F34" i="11"/>
  <c r="F33" i="11"/>
  <c r="F31" i="11"/>
  <c r="F29" i="11"/>
  <c r="F27" i="11"/>
  <c r="F25" i="11"/>
  <c r="F22" i="11"/>
  <c r="F24" i="11"/>
  <c r="X16" i="11"/>
  <c r="X20" i="11"/>
  <c r="N16" i="13"/>
  <c r="N20" i="13"/>
  <c r="L22" i="13"/>
  <c r="L24" i="13"/>
  <c r="N15" i="14"/>
  <c r="L21" i="14"/>
  <c r="X25" i="16"/>
  <c r="Z20" i="17"/>
  <c r="X21" i="20"/>
  <c r="L13" i="22"/>
  <c r="L33" i="22"/>
  <c r="H18" i="4"/>
  <c r="J15" i="4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X13" i="4"/>
  <c r="Z15" i="4"/>
  <c r="X21" i="4"/>
  <c r="F20" i="5"/>
  <c r="F18" i="5"/>
  <c r="F16" i="5"/>
  <c r="D18" i="5"/>
  <c r="F15" i="5"/>
  <c r="L12" i="5"/>
  <c r="F36" i="5"/>
  <c r="F34" i="5"/>
  <c r="F33" i="5"/>
  <c r="F31" i="5"/>
  <c r="F29" i="5"/>
  <c r="F27" i="5"/>
  <c r="F25" i="5"/>
  <c r="F24" i="5"/>
  <c r="F22" i="5"/>
  <c r="F21" i="5"/>
  <c r="X16" i="5"/>
  <c r="X20" i="5"/>
  <c r="L16" i="7"/>
  <c r="L20" i="7"/>
  <c r="Z12" i="8"/>
  <c r="V36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Z13" i="10"/>
  <c r="Z16" i="10"/>
  <c r="Z20" i="10"/>
  <c r="X22" i="10"/>
  <c r="X24" i="10"/>
  <c r="H18" i="11"/>
  <c r="J15" i="11"/>
  <c r="N12" i="11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X13" i="11"/>
  <c r="Z15" i="11"/>
  <c r="X21" i="11"/>
  <c r="L13" i="13"/>
  <c r="N21" i="13"/>
  <c r="L25" i="13"/>
  <c r="L29" i="13"/>
  <c r="L33" i="13"/>
  <c r="L34" i="13"/>
  <c r="N16" i="14"/>
  <c r="N20" i="14"/>
  <c r="L22" i="14"/>
  <c r="L24" i="14"/>
  <c r="Z25" i="16"/>
  <c r="L34" i="22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Z21" i="10"/>
  <c r="X25" i="10"/>
  <c r="X29" i="10"/>
  <c r="X33" i="10"/>
  <c r="X34" i="10"/>
  <c r="Z13" i="11"/>
  <c r="Z16" i="11"/>
  <c r="Z20" i="11"/>
  <c r="X22" i="11"/>
  <c r="X24" i="11"/>
  <c r="N13" i="13"/>
  <c r="N22" i="13"/>
  <c r="N24" i="13"/>
  <c r="L13" i="14"/>
  <c r="N21" i="14"/>
  <c r="L25" i="14"/>
  <c r="L29" i="14"/>
  <c r="L33" i="14"/>
  <c r="L34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X15" i="13"/>
  <c r="N25" i="13"/>
  <c r="N29" i="13"/>
  <c r="N33" i="13"/>
  <c r="N34" i="13"/>
  <c r="N13" i="14"/>
  <c r="N22" i="14"/>
  <c r="N24" i="14"/>
  <c r="R24" i="17"/>
  <c r="R22" i="17"/>
  <c r="R20" i="17"/>
  <c r="R18" i="17"/>
  <c r="R16" i="17"/>
  <c r="P18" i="17"/>
  <c r="R15" i="17"/>
  <c r="X12" i="17"/>
  <c r="R34" i="17"/>
  <c r="R33" i="17"/>
  <c r="R31" i="17"/>
  <c r="R21" i="17"/>
  <c r="R29" i="17"/>
  <c r="R27" i="17"/>
  <c r="R36" i="17"/>
  <c r="R25" i="17"/>
  <c r="Z13" i="19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L12" i="13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X16" i="13"/>
  <c r="X20" i="13"/>
  <c r="X15" i="14"/>
  <c r="N25" i="14"/>
  <c r="N29" i="14"/>
  <c r="N33" i="14"/>
  <c r="N34" i="14"/>
  <c r="X29" i="16"/>
  <c r="Z13" i="17"/>
  <c r="X22" i="17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20" i="5"/>
  <c r="R18" i="5"/>
  <c r="R16" i="5"/>
  <c r="P18" i="5"/>
  <c r="R15" i="5"/>
  <c r="Z22" i="5"/>
  <c r="Z24" i="5"/>
  <c r="N13" i="7"/>
  <c r="N22" i="7"/>
  <c r="N24" i="7"/>
  <c r="L13" i="8"/>
  <c r="N21" i="8"/>
  <c r="L25" i="8"/>
  <c r="L29" i="8"/>
  <c r="L33" i="8"/>
  <c r="L34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N12" i="13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X13" i="13"/>
  <c r="Z15" i="13"/>
  <c r="X21" i="13"/>
  <c r="L12" i="14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X16" i="14"/>
  <c r="X20" i="14"/>
  <c r="Z29" i="16"/>
  <c r="Z22" i="17"/>
  <c r="Z16" i="19"/>
  <c r="N21" i="22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N15" i="10"/>
  <c r="L21" i="10"/>
  <c r="L16" i="11"/>
  <c r="L20" i="11"/>
  <c r="Z13" i="13"/>
  <c r="Z16" i="13"/>
  <c r="Z20" i="13"/>
  <c r="X22" i="13"/>
  <c r="X24" i="13"/>
  <c r="N12" i="14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X13" i="14"/>
  <c r="Z15" i="14"/>
  <c r="X21" i="14"/>
  <c r="Z21" i="16"/>
  <c r="X24" i="17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N16" i="23"/>
  <c r="X33" i="28"/>
  <c r="N15" i="4"/>
  <c r="L21" i="4"/>
  <c r="L16" i="5"/>
  <c r="L20" i="5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L12" i="7"/>
  <c r="X16" i="7"/>
  <c r="X20" i="7"/>
  <c r="X15" i="8"/>
  <c r="N25" i="8"/>
  <c r="N29" i="8"/>
  <c r="N33" i="8"/>
  <c r="N34" i="8"/>
  <c r="N16" i="10"/>
  <c r="N20" i="10"/>
  <c r="L22" i="10"/>
  <c r="L24" i="10"/>
  <c r="N15" i="11"/>
  <c r="L21" i="11"/>
  <c r="Z21" i="13"/>
  <c r="X25" i="13"/>
  <c r="X29" i="13"/>
  <c r="X33" i="13"/>
  <c r="X34" i="13"/>
  <c r="Z13" i="14"/>
  <c r="Z16" i="14"/>
  <c r="Z20" i="14"/>
  <c r="X22" i="14"/>
  <c r="X24" i="14"/>
  <c r="V21" i="16"/>
  <c r="T18" i="16"/>
  <c r="V15" i="16"/>
  <c r="Z12" i="16"/>
  <c r="V36" i="16"/>
  <c r="V34" i="16"/>
  <c r="V33" i="16"/>
  <c r="V31" i="16"/>
  <c r="V29" i="16"/>
  <c r="V27" i="16"/>
  <c r="V25" i="16"/>
  <c r="V20" i="16"/>
  <c r="V18" i="16"/>
  <c r="V16" i="16"/>
  <c r="V24" i="16"/>
  <c r="V22" i="16"/>
  <c r="Z24" i="17"/>
  <c r="Z20" i="19"/>
  <c r="X13" i="20"/>
  <c r="N16" i="4"/>
  <c r="N20" i="4"/>
  <c r="L22" i="4"/>
  <c r="L24" i="4"/>
  <c r="N15" i="5"/>
  <c r="L21" i="5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13" i="7"/>
  <c r="Z15" i="7"/>
  <c r="X21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X16" i="8"/>
  <c r="X20" i="8"/>
  <c r="L13" i="10"/>
  <c r="N21" i="10"/>
  <c r="L25" i="10"/>
  <c r="L29" i="10"/>
  <c r="L33" i="10"/>
  <c r="L34" i="10"/>
  <c r="N16" i="11"/>
  <c r="N20" i="11"/>
  <c r="L22" i="11"/>
  <c r="L24" i="11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P18" i="13"/>
  <c r="R15" i="13"/>
  <c r="X12" i="13"/>
  <c r="Z22" i="13"/>
  <c r="Z24" i="13"/>
  <c r="Z21" i="14"/>
  <c r="X25" i="14"/>
  <c r="X29" i="14"/>
  <c r="X33" i="14"/>
  <c r="X34" i="14"/>
  <c r="X33" i="16"/>
  <c r="Z16" i="17"/>
  <c r="Z15" i="20"/>
  <c r="L25" i="22"/>
  <c r="N20" i="23"/>
  <c r="L16" i="16"/>
  <c r="L20" i="16"/>
  <c r="V20" i="17"/>
  <c r="V18" i="17"/>
  <c r="V16" i="17"/>
  <c r="Z12" i="17"/>
  <c r="V36" i="17"/>
  <c r="V34" i="17"/>
  <c r="V33" i="17"/>
  <c r="V31" i="17"/>
  <c r="V29" i="17"/>
  <c r="V27" i="17"/>
  <c r="V25" i="17"/>
  <c r="V24" i="17"/>
  <c r="V22" i="17"/>
  <c r="V15" i="17"/>
  <c r="V21" i="17"/>
  <c r="T18" i="17"/>
  <c r="L15" i="17"/>
  <c r="Z25" i="17"/>
  <c r="Z29" i="17"/>
  <c r="Z33" i="17"/>
  <c r="Z34" i="17"/>
  <c r="Z21" i="19"/>
  <c r="X25" i="19"/>
  <c r="X29" i="19"/>
  <c r="X33" i="19"/>
  <c r="X34" i="19"/>
  <c r="Z13" i="20"/>
  <c r="Z16" i="20"/>
  <c r="Z20" i="20"/>
  <c r="X22" i="20"/>
  <c r="X24" i="20"/>
  <c r="N13" i="22"/>
  <c r="N22" i="22"/>
  <c r="N24" i="22"/>
  <c r="L13" i="23"/>
  <c r="N21" i="23"/>
  <c r="L25" i="23"/>
  <c r="L29" i="23"/>
  <c r="L33" i="23"/>
  <c r="L34" i="23"/>
  <c r="X20" i="25"/>
  <c r="N33" i="26"/>
  <c r="X34" i="28"/>
  <c r="N15" i="16"/>
  <c r="L21" i="16"/>
  <c r="L16" i="17"/>
  <c r="L20" i="17"/>
  <c r="R20" i="19"/>
  <c r="R18" i="19"/>
  <c r="R16" i="19"/>
  <c r="P18" i="19"/>
  <c r="R15" i="19"/>
  <c r="X12" i="19"/>
  <c r="R36" i="19"/>
  <c r="R34" i="19"/>
  <c r="R33" i="19"/>
  <c r="R31" i="19"/>
  <c r="R29" i="19"/>
  <c r="R27" i="19"/>
  <c r="R25" i="19"/>
  <c r="R24" i="19"/>
  <c r="R22" i="19"/>
  <c r="R21" i="19"/>
  <c r="Z22" i="19"/>
  <c r="Z24" i="19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X15" i="26"/>
  <c r="N34" i="26"/>
  <c r="N16" i="16"/>
  <c r="N20" i="16"/>
  <c r="L22" i="16"/>
  <c r="L24" i="16"/>
  <c r="N15" i="17"/>
  <c r="L21" i="17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P18" i="20"/>
  <c r="R15" i="20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Z22" i="20"/>
  <c r="Z24" i="20"/>
  <c r="F21" i="22"/>
  <c r="F20" i="22"/>
  <c r="F18" i="22"/>
  <c r="F16" i="22"/>
  <c r="D18" i="22"/>
  <c r="F15" i="22"/>
  <c r="L12" i="22"/>
  <c r="F36" i="22"/>
  <c r="F34" i="22"/>
  <c r="F33" i="22"/>
  <c r="F31" i="22"/>
  <c r="F29" i="22"/>
  <c r="F27" i="22"/>
  <c r="F25" i="22"/>
  <c r="F24" i="22"/>
  <c r="F22" i="22"/>
  <c r="X16" i="22"/>
  <c r="X20" i="22"/>
  <c r="X15" i="23"/>
  <c r="N25" i="23"/>
  <c r="N29" i="23"/>
  <c r="N33" i="23"/>
  <c r="N34" i="23"/>
  <c r="L13" i="16"/>
  <c r="N21" i="16"/>
  <c r="L25" i="16"/>
  <c r="L29" i="16"/>
  <c r="L33" i="16"/>
  <c r="L34" i="16"/>
  <c r="N16" i="17"/>
  <c r="N20" i="17"/>
  <c r="L22" i="17"/>
  <c r="L24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H18" i="22"/>
  <c r="J15" i="22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X13" i="22"/>
  <c r="Z15" i="22"/>
  <c r="X21" i="22"/>
  <c r="F20" i="23"/>
  <c r="F18" i="23"/>
  <c r="F16" i="23"/>
  <c r="D18" i="23"/>
  <c r="F15" i="23"/>
  <c r="L12" i="23"/>
  <c r="F36" i="23"/>
  <c r="F34" i="23"/>
  <c r="F33" i="23"/>
  <c r="F31" i="23"/>
  <c r="F29" i="23"/>
  <c r="F27" i="23"/>
  <c r="F25" i="23"/>
  <c r="F24" i="23"/>
  <c r="F22" i="23"/>
  <c r="F21" i="23"/>
  <c r="X16" i="23"/>
  <c r="X20" i="23"/>
  <c r="Z13" i="29"/>
  <c r="N13" i="16"/>
  <c r="N22" i="16"/>
  <c r="N24" i="16"/>
  <c r="L13" i="17"/>
  <c r="N21" i="17"/>
  <c r="L25" i="17"/>
  <c r="L29" i="17"/>
  <c r="L33" i="17"/>
  <c r="L34" i="17"/>
  <c r="N15" i="19"/>
  <c r="L21" i="19"/>
  <c r="L16" i="20"/>
  <c r="L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Z21" i="28"/>
  <c r="X15" i="16"/>
  <c r="N25" i="16"/>
  <c r="N29" i="16"/>
  <c r="N33" i="16"/>
  <c r="N34" i="16"/>
  <c r="N13" i="17"/>
  <c r="N22" i="17"/>
  <c r="N24" i="17"/>
  <c r="N16" i="19"/>
  <c r="N20" i="19"/>
  <c r="L22" i="19"/>
  <c r="L24" i="19"/>
  <c r="N15" i="20"/>
  <c r="L21" i="20"/>
  <c r="Z21" i="22"/>
  <c r="X25" i="22"/>
  <c r="X29" i="22"/>
  <c r="X33" i="22"/>
  <c r="X34" i="22"/>
  <c r="Z13" i="23"/>
  <c r="Z16" i="23"/>
  <c r="Z20" i="23"/>
  <c r="X22" i="23"/>
  <c r="X24" i="23"/>
  <c r="Z16" i="29"/>
  <c r="Z21" i="32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X16" i="16"/>
  <c r="X20" i="16"/>
  <c r="X15" i="17"/>
  <c r="N25" i="17"/>
  <c r="N29" i="17"/>
  <c r="N33" i="17"/>
  <c r="N34" i="17"/>
  <c r="L13" i="19"/>
  <c r="N21" i="19"/>
  <c r="L25" i="19"/>
  <c r="L29" i="19"/>
  <c r="L33" i="19"/>
  <c r="L34" i="19"/>
  <c r="N16" i="20"/>
  <c r="N20" i="20"/>
  <c r="L22" i="20"/>
  <c r="L24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N12" i="16"/>
  <c r="X13" i="16"/>
  <c r="Z15" i="16"/>
  <c r="X21" i="16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X16" i="17"/>
  <c r="X20" i="17"/>
  <c r="N13" i="19"/>
  <c r="N22" i="19"/>
  <c r="N24" i="19"/>
  <c r="L13" i="20"/>
  <c r="N21" i="20"/>
  <c r="L25" i="20"/>
  <c r="L29" i="20"/>
  <c r="L33" i="20"/>
  <c r="L34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L12" i="25"/>
  <c r="X25" i="28"/>
  <c r="Z20" i="29"/>
  <c r="Z13" i="16"/>
  <c r="Z16" i="16"/>
  <c r="Z20" i="16"/>
  <c r="X22" i="16"/>
  <c r="X24" i="16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13" i="17"/>
  <c r="Z15" i="17"/>
  <c r="X21" i="17"/>
  <c r="X15" i="19"/>
  <c r="N25" i="19"/>
  <c r="N29" i="19"/>
  <c r="N33" i="19"/>
  <c r="N34" i="19"/>
  <c r="N13" i="20"/>
  <c r="N22" i="20"/>
  <c r="N2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L15" i="23"/>
  <c r="Z25" i="23"/>
  <c r="Z29" i="23"/>
  <c r="Z33" i="23"/>
  <c r="Z34" i="23"/>
  <c r="N25" i="26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6" i="19"/>
  <c r="X20" i="19"/>
  <c r="X15" i="20"/>
  <c r="N25" i="20"/>
  <c r="N29" i="20"/>
  <c r="N33" i="20"/>
  <c r="N34" i="20"/>
  <c r="N15" i="22"/>
  <c r="L21" i="22"/>
  <c r="L16" i="23"/>
  <c r="L20" i="23"/>
  <c r="X29" i="28"/>
  <c r="X22" i="29"/>
  <c r="R36" i="16"/>
  <c r="R34" i="16"/>
  <c r="R33" i="16"/>
  <c r="R31" i="16"/>
  <c r="R29" i="16"/>
  <c r="R27" i="16"/>
  <c r="R25" i="16"/>
  <c r="R21" i="16"/>
  <c r="R20" i="16"/>
  <c r="R18" i="16"/>
  <c r="R16" i="16"/>
  <c r="P18" i="16"/>
  <c r="R15" i="16"/>
  <c r="X12" i="16"/>
  <c r="R22" i="16"/>
  <c r="R24" i="16"/>
  <c r="Z22" i="16"/>
  <c r="Z24" i="16"/>
  <c r="Z21" i="17"/>
  <c r="X25" i="17"/>
  <c r="X29" i="17"/>
  <c r="X33" i="17"/>
  <c r="X34" i="17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N16" i="22"/>
  <c r="N20" i="22"/>
  <c r="L22" i="22"/>
  <c r="L24" i="22"/>
  <c r="N15" i="23"/>
  <c r="L21" i="23"/>
  <c r="X16" i="25"/>
  <c r="N29" i="26"/>
  <c r="X24" i="29"/>
  <c r="J24" i="25"/>
  <c r="J22" i="25"/>
  <c r="J21" i="25"/>
  <c r="J20" i="25"/>
  <c r="J18" i="25"/>
  <c r="J16" i="25"/>
  <c r="H18" i="25"/>
  <c r="J15" i="25"/>
  <c r="N12" i="25"/>
  <c r="J36" i="25"/>
  <c r="J34" i="25"/>
  <c r="J33" i="25"/>
  <c r="J31" i="25"/>
  <c r="J29" i="25"/>
  <c r="J27" i="25"/>
  <c r="J25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R21" i="28"/>
  <c r="R20" i="28"/>
  <c r="R18" i="28"/>
  <c r="R16" i="28"/>
  <c r="P18" i="28"/>
  <c r="R15" i="28"/>
  <c r="X12" i="28"/>
  <c r="R36" i="28"/>
  <c r="R34" i="28"/>
  <c r="R33" i="28"/>
  <c r="R31" i="28"/>
  <c r="R29" i="28"/>
  <c r="R27" i="28"/>
  <c r="R25" i="28"/>
  <c r="R24" i="28"/>
  <c r="R22" i="28"/>
  <c r="Z22" i="28"/>
  <c r="Z24" i="28"/>
  <c r="Z21" i="29"/>
  <c r="X25" i="29"/>
  <c r="X29" i="29"/>
  <c r="X33" i="29"/>
  <c r="X34" i="29"/>
  <c r="L25" i="34"/>
  <c r="N20" i="35"/>
  <c r="Z13" i="25"/>
  <c r="Z16" i="25"/>
  <c r="Z20" i="25"/>
  <c r="X22" i="25"/>
  <c r="X24" i="25"/>
  <c r="J21" i="26"/>
  <c r="J20" i="26"/>
  <c r="J18" i="26"/>
  <c r="J16" i="26"/>
  <c r="H18" i="26"/>
  <c r="J15" i="26"/>
  <c r="N12" i="26"/>
  <c r="J36" i="26"/>
  <c r="J34" i="26"/>
  <c r="J33" i="26"/>
  <c r="J31" i="26"/>
  <c r="J29" i="26"/>
  <c r="J27" i="26"/>
  <c r="J25" i="26"/>
  <c r="J24" i="26"/>
  <c r="J22" i="26"/>
  <c r="X13" i="26"/>
  <c r="Z15" i="26"/>
  <c r="X21" i="26"/>
  <c r="T18" i="28"/>
  <c r="V15" i="28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L15" i="28"/>
  <c r="Z25" i="28"/>
  <c r="Z29" i="28"/>
  <c r="Z33" i="28"/>
  <c r="Z34" i="28"/>
  <c r="R20" i="29"/>
  <c r="R18" i="29"/>
  <c r="R16" i="29"/>
  <c r="P18" i="29"/>
  <c r="R15" i="29"/>
  <c r="X12" i="29"/>
  <c r="R36" i="29"/>
  <c r="R34" i="29"/>
  <c r="R33" i="29"/>
  <c r="R31" i="29"/>
  <c r="R29" i="29"/>
  <c r="R27" i="29"/>
  <c r="R25" i="29"/>
  <c r="R24" i="29"/>
  <c r="R22" i="29"/>
  <c r="R21" i="29"/>
  <c r="Z22" i="29"/>
  <c r="Z24" i="29"/>
  <c r="R24" i="31"/>
  <c r="R22" i="31"/>
  <c r="R21" i="31"/>
  <c r="R20" i="31"/>
  <c r="R18" i="31"/>
  <c r="R16" i="31"/>
  <c r="P18" i="31"/>
  <c r="R15" i="31"/>
  <c r="X12" i="31"/>
  <c r="R25" i="31"/>
  <c r="R36" i="31"/>
  <c r="R34" i="31"/>
  <c r="R33" i="31"/>
  <c r="R31" i="31"/>
  <c r="R29" i="31"/>
  <c r="R27" i="31"/>
  <c r="Z21" i="25"/>
  <c r="X25" i="25"/>
  <c r="X29" i="25"/>
  <c r="X33" i="25"/>
  <c r="X34" i="25"/>
  <c r="Z13" i="26"/>
  <c r="Z16" i="26"/>
  <c r="Z20" i="26"/>
  <c r="X22" i="26"/>
  <c r="X24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X25" i="32"/>
  <c r="L29" i="34"/>
  <c r="L22" i="35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R15" i="25"/>
  <c r="P18" i="25"/>
  <c r="Z22" i="25"/>
  <c r="Z24" i="25"/>
  <c r="Z21" i="26"/>
  <c r="X25" i="26"/>
  <c r="X29" i="26"/>
  <c r="X33" i="26"/>
  <c r="X34" i="26"/>
  <c r="N15" i="28"/>
  <c r="L21" i="28"/>
  <c r="L16" i="29"/>
  <c r="L20" i="29"/>
  <c r="L24" i="35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N16" i="28"/>
  <c r="N20" i="28"/>
  <c r="L22" i="28"/>
  <c r="L24" i="28"/>
  <c r="N15" i="29"/>
  <c r="L21" i="29"/>
  <c r="X29" i="32"/>
  <c r="L13" i="34"/>
  <c r="L33" i="34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L13" i="28"/>
  <c r="N21" i="28"/>
  <c r="L25" i="28"/>
  <c r="L29" i="28"/>
  <c r="L33" i="28"/>
  <c r="L34" i="28"/>
  <c r="N16" i="29"/>
  <c r="N20" i="29"/>
  <c r="L22" i="29"/>
  <c r="L24" i="29"/>
  <c r="L34" i="34"/>
  <c r="N15" i="25"/>
  <c r="L21" i="25"/>
  <c r="L16" i="26"/>
  <c r="L20" i="26"/>
  <c r="N13" i="28"/>
  <c r="N22" i="28"/>
  <c r="N24" i="28"/>
  <c r="L13" i="29"/>
  <c r="N21" i="29"/>
  <c r="L25" i="29"/>
  <c r="L29" i="29"/>
  <c r="L33" i="29"/>
  <c r="L34" i="29"/>
  <c r="X33" i="32"/>
  <c r="N16" i="25"/>
  <c r="N20" i="25"/>
  <c r="L22" i="25"/>
  <c r="L24" i="25"/>
  <c r="N15" i="26"/>
  <c r="L21" i="26"/>
  <c r="X15" i="28"/>
  <c r="N25" i="28"/>
  <c r="N29" i="28"/>
  <c r="N33" i="28"/>
  <c r="N34" i="28"/>
  <c r="N13" i="29"/>
  <c r="N22" i="29"/>
  <c r="N24" i="29"/>
  <c r="X34" i="32"/>
  <c r="L13" i="25"/>
  <c r="N21" i="25"/>
  <c r="L25" i="25"/>
  <c r="L29" i="25"/>
  <c r="L33" i="25"/>
  <c r="L34" i="25"/>
  <c r="N16" i="26"/>
  <c r="N20" i="26"/>
  <c r="L22" i="26"/>
  <c r="L24" i="26"/>
  <c r="L12" i="28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X16" i="28"/>
  <c r="X20" i="28"/>
  <c r="X15" i="29"/>
  <c r="N25" i="29"/>
  <c r="N29" i="29"/>
  <c r="N33" i="29"/>
  <c r="N34" i="29"/>
  <c r="Z22" i="31"/>
  <c r="N13" i="25"/>
  <c r="N22" i="25"/>
  <c r="N24" i="25"/>
  <c r="L13" i="26"/>
  <c r="N21" i="26"/>
  <c r="L25" i="26"/>
  <c r="L29" i="26"/>
  <c r="L33" i="26"/>
  <c r="L34" i="26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H18" i="28"/>
  <c r="J15" i="28"/>
  <c r="N12" i="28"/>
  <c r="X13" i="28"/>
  <c r="Z15" i="28"/>
  <c r="X21" i="28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D18" i="29"/>
  <c r="F15" i="29"/>
  <c r="L12" i="29"/>
  <c r="X16" i="29"/>
  <c r="X20" i="29"/>
  <c r="Z24" i="31"/>
  <c r="N21" i="34"/>
  <c r="X15" i="25"/>
  <c r="N25" i="25"/>
  <c r="N29" i="25"/>
  <c r="N33" i="25"/>
  <c r="N34" i="25"/>
  <c r="N13" i="26"/>
  <c r="N22" i="26"/>
  <c r="N24" i="26"/>
  <c r="Z13" i="28"/>
  <c r="Z16" i="28"/>
  <c r="Z20" i="28"/>
  <c r="X22" i="28"/>
  <c r="X24" i="28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N12" i="29"/>
  <c r="X13" i="29"/>
  <c r="Z15" i="29"/>
  <c r="X21" i="29"/>
  <c r="N16" i="35"/>
  <c r="V20" i="31"/>
  <c r="V18" i="31"/>
  <c r="V16" i="31"/>
  <c r="T18" i="31"/>
  <c r="V15" i="31"/>
  <c r="Z12" i="31"/>
  <c r="V36" i="31"/>
  <c r="V34" i="31"/>
  <c r="V33" i="31"/>
  <c r="V31" i="31"/>
  <c r="V29" i="31"/>
  <c r="V27" i="31"/>
  <c r="V25" i="31"/>
  <c r="V24" i="31"/>
  <c r="V22" i="31"/>
  <c r="V21" i="31"/>
  <c r="L15" i="31"/>
  <c r="Z25" i="31"/>
  <c r="Z29" i="31"/>
  <c r="Z33" i="31"/>
  <c r="Z34" i="31"/>
  <c r="R21" i="32"/>
  <c r="R20" i="32"/>
  <c r="R18" i="32"/>
  <c r="R16" i="32"/>
  <c r="P18" i="32"/>
  <c r="R15" i="32"/>
  <c r="X12" i="32"/>
  <c r="R36" i="32"/>
  <c r="R34" i="32"/>
  <c r="R33" i="32"/>
  <c r="R31" i="32"/>
  <c r="R29" i="32"/>
  <c r="R27" i="32"/>
  <c r="R25" i="32"/>
  <c r="R24" i="32"/>
  <c r="R22" i="32"/>
  <c r="Z22" i="32"/>
  <c r="Z24" i="32"/>
  <c r="N13" i="34"/>
  <c r="N22" i="34"/>
  <c r="N24" i="34"/>
  <c r="L13" i="35"/>
  <c r="N21" i="35"/>
  <c r="L25" i="35"/>
  <c r="L29" i="35"/>
  <c r="L33" i="35"/>
  <c r="L34" i="35"/>
  <c r="L16" i="31"/>
  <c r="L20" i="31"/>
  <c r="T18" i="32"/>
  <c r="V15" i="32"/>
  <c r="Z12" i="32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L15" i="32"/>
  <c r="Z25" i="32"/>
  <c r="Z29" i="32"/>
  <c r="Z33" i="32"/>
  <c r="Z34" i="32"/>
  <c r="X15" i="34"/>
  <c r="N25" i="34"/>
  <c r="N29" i="34"/>
  <c r="N33" i="34"/>
  <c r="N34" i="34"/>
  <c r="N13" i="35"/>
  <c r="N22" i="35"/>
  <c r="N24" i="35"/>
  <c r="N15" i="31"/>
  <c r="L21" i="31"/>
  <c r="L16" i="32"/>
  <c r="L20" i="32"/>
  <c r="F21" i="34"/>
  <c r="F20" i="34"/>
  <c r="F18" i="34"/>
  <c r="F16" i="34"/>
  <c r="D18" i="34"/>
  <c r="F15" i="34"/>
  <c r="L12" i="34"/>
  <c r="F36" i="34"/>
  <c r="F34" i="34"/>
  <c r="F33" i="34"/>
  <c r="F31" i="34"/>
  <c r="F29" i="34"/>
  <c r="F27" i="34"/>
  <c r="F25" i="34"/>
  <c r="F22" i="34"/>
  <c r="F24" i="34"/>
  <c r="X16" i="34"/>
  <c r="X20" i="34"/>
  <c r="X15" i="35"/>
  <c r="N25" i="35"/>
  <c r="N29" i="35"/>
  <c r="N33" i="35"/>
  <c r="N34" i="35"/>
  <c r="N16" i="31"/>
  <c r="N20" i="31"/>
  <c r="L22" i="31"/>
  <c r="L24" i="31"/>
  <c r="N15" i="32"/>
  <c r="L21" i="32"/>
  <c r="H18" i="34"/>
  <c r="J15" i="34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X13" i="34"/>
  <c r="Z15" i="34"/>
  <c r="X21" i="34"/>
  <c r="F20" i="35"/>
  <c r="F18" i="35"/>
  <c r="F16" i="35"/>
  <c r="D18" i="35"/>
  <c r="F15" i="35"/>
  <c r="L12" i="35"/>
  <c r="F36" i="35"/>
  <c r="F34" i="35"/>
  <c r="F33" i="35"/>
  <c r="F31" i="35"/>
  <c r="F29" i="35"/>
  <c r="F27" i="35"/>
  <c r="F25" i="35"/>
  <c r="F24" i="35"/>
  <c r="F22" i="35"/>
  <c r="F21" i="35"/>
  <c r="X16" i="35"/>
  <c r="X20" i="35"/>
  <c r="L13" i="31"/>
  <c r="N21" i="31"/>
  <c r="L25" i="31"/>
  <c r="L29" i="31"/>
  <c r="L33" i="31"/>
  <c r="L34" i="31"/>
  <c r="N16" i="32"/>
  <c r="N20" i="32"/>
  <c r="L22" i="32"/>
  <c r="L24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J15" i="35"/>
  <c r="H18" i="35"/>
  <c r="X13" i="35"/>
  <c r="Z15" i="35"/>
  <c r="X21" i="35"/>
  <c r="N13" i="31"/>
  <c r="N22" i="31"/>
  <c r="N24" i="31"/>
  <c r="L13" i="32"/>
  <c r="N21" i="32"/>
  <c r="L25" i="32"/>
  <c r="L29" i="32"/>
  <c r="L33" i="32"/>
  <c r="L34" i="32"/>
  <c r="Z21" i="34"/>
  <c r="X25" i="34"/>
  <c r="X29" i="34"/>
  <c r="X33" i="34"/>
  <c r="X34" i="34"/>
  <c r="Z13" i="35"/>
  <c r="Z16" i="35"/>
  <c r="Z20" i="35"/>
  <c r="X22" i="35"/>
  <c r="X24" i="35"/>
  <c r="X15" i="31"/>
  <c r="N25" i="31"/>
  <c r="N29" i="31"/>
  <c r="N33" i="31"/>
  <c r="N34" i="31"/>
  <c r="N13" i="32"/>
  <c r="N22" i="32"/>
  <c r="N24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X16" i="31"/>
  <c r="X20" i="31"/>
  <c r="X15" i="32"/>
  <c r="N25" i="32"/>
  <c r="N29" i="32"/>
  <c r="N33" i="32"/>
  <c r="N34" i="32"/>
  <c r="Z12" i="3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L15" i="34"/>
  <c r="Z25" i="34"/>
  <c r="Z29" i="34"/>
  <c r="Z33" i="34"/>
  <c r="Z34" i="34"/>
  <c r="X12" i="35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Z22" i="35"/>
  <c r="Z24" i="35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L16" i="34"/>
  <c r="L20" i="34"/>
  <c r="Z12" i="35"/>
  <c r="V36" i="35"/>
  <c r="V34" i="35"/>
  <c r="V33" i="35"/>
  <c r="V31" i="35"/>
  <c r="V29" i="35"/>
  <c r="V27" i="35"/>
  <c r="V25" i="35"/>
  <c r="V24" i="35"/>
  <c r="V22" i="35"/>
  <c r="V21" i="35"/>
  <c r="V20" i="35"/>
  <c r="V18" i="35"/>
  <c r="V16" i="35"/>
  <c r="T18" i="35"/>
  <c r="V15" i="35"/>
  <c r="L15" i="35"/>
  <c r="Z25" i="35"/>
  <c r="Z29" i="35"/>
  <c r="Z33" i="35"/>
  <c r="Z34" i="35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N15" i="34"/>
  <c r="L21" i="34"/>
  <c r="L16" i="35"/>
  <c r="L20" i="35"/>
  <c r="Z21" i="31"/>
  <c r="X25" i="31"/>
  <c r="X29" i="31"/>
  <c r="X33" i="31"/>
  <c r="X34" i="31"/>
  <c r="Z13" i="32"/>
  <c r="Z16" i="32"/>
  <c r="Z20" i="32"/>
  <c r="X22" i="32"/>
  <c r="X24" i="32"/>
  <c r="N16" i="34"/>
  <c r="N20" i="34"/>
  <c r="L22" i="34"/>
  <c r="L24" i="34"/>
  <c r="N15" i="35"/>
  <c r="L21" i="35"/>
  <c r="L16" i="37"/>
  <c r="L20" i="37"/>
  <c r="V21" i="38"/>
  <c r="V20" i="38"/>
  <c r="V18" i="38"/>
  <c r="V16" i="38"/>
  <c r="T18" i="38"/>
  <c r="V15" i="38"/>
  <c r="Z12" i="38"/>
  <c r="V36" i="38"/>
  <c r="V34" i="38"/>
  <c r="V33" i="38"/>
  <c r="V31" i="38"/>
  <c r="V29" i="38"/>
  <c r="V27" i="38"/>
  <c r="V25" i="38"/>
  <c r="V24" i="38"/>
  <c r="V22" i="38"/>
  <c r="L15" i="38"/>
  <c r="Z25" i="38"/>
  <c r="Z29" i="38"/>
  <c r="Z33" i="38"/>
  <c r="Z34" i="38"/>
  <c r="Z16" i="40"/>
  <c r="X22" i="40"/>
  <c r="L29" i="44"/>
  <c r="X15" i="46"/>
  <c r="N15" i="37"/>
  <c r="L21" i="37"/>
  <c r="L16" i="38"/>
  <c r="L20" i="38"/>
  <c r="Z29" i="41"/>
  <c r="Z16" i="43"/>
  <c r="N16" i="37"/>
  <c r="N20" i="37"/>
  <c r="L22" i="37"/>
  <c r="L24" i="37"/>
  <c r="N15" i="38"/>
  <c r="L21" i="38"/>
  <c r="N24" i="41"/>
  <c r="N21" i="44"/>
  <c r="L13" i="37"/>
  <c r="N21" i="37"/>
  <c r="L25" i="37"/>
  <c r="L29" i="37"/>
  <c r="L33" i="37"/>
  <c r="L34" i="37"/>
  <c r="N16" i="38"/>
  <c r="N20" i="38"/>
  <c r="L22" i="38"/>
  <c r="L24" i="38"/>
  <c r="X24" i="40"/>
  <c r="J36" i="41"/>
  <c r="J34" i="41"/>
  <c r="J33" i="41"/>
  <c r="J31" i="41"/>
  <c r="J29" i="41"/>
  <c r="J27" i="41"/>
  <c r="J25" i="41"/>
  <c r="J24" i="41"/>
  <c r="J22" i="41"/>
  <c r="J20" i="41"/>
  <c r="J18" i="41"/>
  <c r="J16" i="41"/>
  <c r="H18" i="41"/>
  <c r="J15" i="41"/>
  <c r="N12" i="41"/>
  <c r="J21" i="41"/>
  <c r="H18" i="44"/>
  <c r="J15" i="44"/>
  <c r="N12" i="44"/>
  <c r="J36" i="44"/>
  <c r="J34" i="44"/>
  <c r="J33" i="44"/>
  <c r="J31" i="44"/>
  <c r="J29" i="44"/>
  <c r="J27" i="44"/>
  <c r="J25" i="44"/>
  <c r="J24" i="44"/>
  <c r="J22" i="44"/>
  <c r="J21" i="44"/>
  <c r="J18" i="44"/>
  <c r="J16" i="44"/>
  <c r="J20" i="44"/>
  <c r="X21" i="44"/>
  <c r="N13" i="37"/>
  <c r="N22" i="37"/>
  <c r="N24" i="37"/>
  <c r="L13" i="38"/>
  <c r="N21" i="38"/>
  <c r="L25" i="38"/>
  <c r="L29" i="38"/>
  <c r="L33" i="38"/>
  <c r="L34" i="38"/>
  <c r="L20" i="40"/>
  <c r="Z12" i="41"/>
  <c r="V36" i="41"/>
  <c r="V34" i="41"/>
  <c r="V33" i="41"/>
  <c r="V31" i="41"/>
  <c r="V29" i="41"/>
  <c r="V27" i="41"/>
  <c r="V25" i="41"/>
  <c r="V21" i="41"/>
  <c r="V20" i="41"/>
  <c r="V18" i="41"/>
  <c r="V16" i="41"/>
  <c r="T18" i="41"/>
  <c r="V15" i="41"/>
  <c r="V24" i="41"/>
  <c r="V22" i="41"/>
  <c r="L13" i="44"/>
  <c r="L33" i="44"/>
  <c r="N34" i="46"/>
  <c r="X15" i="37"/>
  <c r="N25" i="37"/>
  <c r="N29" i="37"/>
  <c r="N33" i="37"/>
  <c r="N34" i="37"/>
  <c r="N13" i="38"/>
  <c r="N22" i="38"/>
  <c r="N24" i="38"/>
  <c r="N25" i="40"/>
  <c r="N33" i="40"/>
  <c r="N13" i="41"/>
  <c r="Z20" i="43"/>
  <c r="X13" i="44"/>
  <c r="L12" i="37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X16" i="37"/>
  <c r="X20" i="37"/>
  <c r="X15" i="38"/>
  <c r="N25" i="38"/>
  <c r="N29" i="38"/>
  <c r="N33" i="38"/>
  <c r="N34" i="38"/>
  <c r="Z13" i="40"/>
  <c r="Z20" i="40"/>
  <c r="X13" i="41"/>
  <c r="L34" i="44"/>
  <c r="N13" i="49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X16" i="38"/>
  <c r="X20" i="38"/>
  <c r="L15" i="41"/>
  <c r="Z25" i="41"/>
  <c r="Z33" i="41"/>
  <c r="Z15" i="44"/>
  <c r="N24" i="47"/>
  <c r="N22" i="49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X13" i="38"/>
  <c r="Z15" i="38"/>
  <c r="X21" i="38"/>
  <c r="X15" i="40"/>
  <c r="N34" i="40"/>
  <c r="N13" i="43"/>
  <c r="N22" i="43"/>
  <c r="L25" i="44"/>
  <c r="Z21" i="37"/>
  <c r="X25" i="37"/>
  <c r="X29" i="37"/>
  <c r="X33" i="37"/>
  <c r="X34" i="37"/>
  <c r="Z13" i="38"/>
  <c r="Z16" i="38"/>
  <c r="Z20" i="38"/>
  <c r="X22" i="38"/>
  <c r="X24" i="38"/>
  <c r="Z15" i="41"/>
  <c r="X21" i="41"/>
  <c r="Z13" i="43"/>
  <c r="X22" i="43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X12" i="37"/>
  <c r="Z22" i="37"/>
  <c r="Z24" i="37"/>
  <c r="Z21" i="38"/>
  <c r="X25" i="38"/>
  <c r="X29" i="38"/>
  <c r="X33" i="38"/>
  <c r="X34" i="38"/>
  <c r="L16" i="40"/>
  <c r="Z34" i="41"/>
  <c r="N24" i="43"/>
  <c r="L25" i="50"/>
  <c r="V24" i="37"/>
  <c r="V22" i="37"/>
  <c r="V21" i="37"/>
  <c r="V20" i="37"/>
  <c r="V18" i="37"/>
  <c r="V16" i="37"/>
  <c r="T18" i="37"/>
  <c r="V15" i="37"/>
  <c r="Z12" i="37"/>
  <c r="V36" i="37"/>
  <c r="V34" i="37"/>
  <c r="V33" i="37"/>
  <c r="V31" i="37"/>
  <c r="V29" i="37"/>
  <c r="V27" i="37"/>
  <c r="V25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Z22" i="38"/>
  <c r="Z24" i="38"/>
  <c r="N29" i="40"/>
  <c r="N22" i="41"/>
  <c r="X24" i="43"/>
  <c r="Z21" i="40"/>
  <c r="X25" i="40"/>
  <c r="X29" i="40"/>
  <c r="X33" i="40"/>
  <c r="X34" i="40"/>
  <c r="Z13" i="41"/>
  <c r="Z16" i="41"/>
  <c r="Z20" i="41"/>
  <c r="X22" i="41"/>
  <c r="X24" i="41"/>
  <c r="X15" i="43"/>
  <c r="N25" i="43"/>
  <c r="N29" i="43"/>
  <c r="N33" i="43"/>
  <c r="N34" i="43"/>
  <c r="N13" i="44"/>
  <c r="N22" i="44"/>
  <c r="N24" i="44"/>
  <c r="L13" i="46"/>
  <c r="L33" i="46"/>
  <c r="N16" i="47"/>
  <c r="N25" i="50"/>
  <c r="R20" i="40"/>
  <c r="R18" i="40"/>
  <c r="R16" i="40"/>
  <c r="P18" i="40"/>
  <c r="R15" i="40"/>
  <c r="R36" i="40"/>
  <c r="R34" i="40"/>
  <c r="R33" i="40"/>
  <c r="R31" i="40"/>
  <c r="R29" i="40"/>
  <c r="R27" i="40"/>
  <c r="R25" i="40"/>
  <c r="R24" i="40"/>
  <c r="R22" i="40"/>
  <c r="R21" i="40"/>
  <c r="X12" i="40"/>
  <c r="Z22" i="40"/>
  <c r="Z24" i="40"/>
  <c r="Z21" i="41"/>
  <c r="X25" i="41"/>
  <c r="X29" i="41"/>
  <c r="X33" i="41"/>
  <c r="X34" i="41"/>
  <c r="F24" i="43"/>
  <c r="F22" i="43"/>
  <c r="F21" i="43"/>
  <c r="F20" i="43"/>
  <c r="F18" i="43"/>
  <c r="F16" i="43"/>
  <c r="D18" i="43"/>
  <c r="F15" i="43"/>
  <c r="F34" i="43"/>
  <c r="F33" i="43"/>
  <c r="L12" i="43"/>
  <c r="F31" i="43"/>
  <c r="F29" i="43"/>
  <c r="F27" i="43"/>
  <c r="F36" i="43"/>
  <c r="F25" i="43"/>
  <c r="X16" i="43"/>
  <c r="X20" i="43"/>
  <c r="X15" i="44"/>
  <c r="N25" i="44"/>
  <c r="N29" i="44"/>
  <c r="N33" i="44"/>
  <c r="N34" i="44"/>
  <c r="N33" i="46"/>
  <c r="N24" i="49"/>
  <c r="Z12" i="40"/>
  <c r="V24" i="40"/>
  <c r="V22" i="40"/>
  <c r="V21" i="40"/>
  <c r="V20" i="40"/>
  <c r="V18" i="40"/>
  <c r="V16" i="40"/>
  <c r="V34" i="40"/>
  <c r="V27" i="40"/>
  <c r="V15" i="40"/>
  <c r="V33" i="40"/>
  <c r="V25" i="40"/>
  <c r="V31" i="40"/>
  <c r="T18" i="40"/>
  <c r="V36" i="40"/>
  <c r="V29" i="40"/>
  <c r="L15" i="40"/>
  <c r="Z25" i="40"/>
  <c r="Z29" i="40"/>
  <c r="Z33" i="40"/>
  <c r="Z34" i="40"/>
  <c r="P18" i="41"/>
  <c r="R15" i="41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Z22" i="41"/>
  <c r="Z24" i="41"/>
  <c r="J20" i="43"/>
  <c r="J18" i="43"/>
  <c r="J16" i="43"/>
  <c r="H18" i="43"/>
  <c r="J15" i="43"/>
  <c r="N12" i="43"/>
  <c r="J36" i="43"/>
  <c r="J34" i="43"/>
  <c r="J33" i="43"/>
  <c r="J31" i="43"/>
  <c r="J29" i="43"/>
  <c r="J27" i="43"/>
  <c r="J25" i="43"/>
  <c r="J24" i="43"/>
  <c r="J22" i="43"/>
  <c r="J21" i="43"/>
  <c r="X13" i="43"/>
  <c r="Z15" i="43"/>
  <c r="X21" i="43"/>
  <c r="F21" i="44"/>
  <c r="F20" i="44"/>
  <c r="F18" i="44"/>
  <c r="F16" i="44"/>
  <c r="D18" i="44"/>
  <c r="F15" i="44"/>
  <c r="L12" i="44"/>
  <c r="F36" i="44"/>
  <c r="F34" i="44"/>
  <c r="F33" i="44"/>
  <c r="F31" i="44"/>
  <c r="F29" i="44"/>
  <c r="F27" i="44"/>
  <c r="F25" i="44"/>
  <c r="F24" i="44"/>
  <c r="F22" i="44"/>
  <c r="X16" i="44"/>
  <c r="X20" i="44"/>
  <c r="L34" i="46"/>
  <c r="L29" i="50"/>
  <c r="N15" i="40"/>
  <c r="L21" i="40"/>
  <c r="L16" i="41"/>
  <c r="L20" i="41"/>
  <c r="Z21" i="43"/>
  <c r="X25" i="43"/>
  <c r="X29" i="43"/>
  <c r="X33" i="43"/>
  <c r="X34" i="43"/>
  <c r="Z13" i="44"/>
  <c r="Z16" i="44"/>
  <c r="Z20" i="44"/>
  <c r="X22" i="44"/>
  <c r="X24" i="44"/>
  <c r="L25" i="46"/>
  <c r="N20" i="47"/>
  <c r="X16" i="49"/>
  <c r="N29" i="50"/>
  <c r="N16" i="40"/>
  <c r="N20" i="40"/>
  <c r="L22" i="40"/>
  <c r="L24" i="40"/>
  <c r="N15" i="41"/>
  <c r="L21" i="41"/>
  <c r="X12" i="43"/>
  <c r="R36" i="43"/>
  <c r="R34" i="43"/>
  <c r="R33" i="43"/>
  <c r="R31" i="43"/>
  <c r="R29" i="43"/>
  <c r="R27" i="43"/>
  <c r="R25" i="43"/>
  <c r="R24" i="43"/>
  <c r="R22" i="43"/>
  <c r="R20" i="43"/>
  <c r="R18" i="43"/>
  <c r="R16" i="43"/>
  <c r="P18" i="43"/>
  <c r="R15" i="43"/>
  <c r="R21" i="43"/>
  <c r="Z22" i="43"/>
  <c r="Z24" i="43"/>
  <c r="Z21" i="44"/>
  <c r="X25" i="44"/>
  <c r="X29" i="44"/>
  <c r="X33" i="44"/>
  <c r="X34" i="44"/>
  <c r="N25" i="46"/>
  <c r="N21" i="50"/>
  <c r="L21" i="52"/>
  <c r="L13" i="40"/>
  <c r="N21" i="40"/>
  <c r="L25" i="40"/>
  <c r="L29" i="40"/>
  <c r="L33" i="40"/>
  <c r="L34" i="40"/>
  <c r="N16" i="41"/>
  <c r="N20" i="41"/>
  <c r="L22" i="41"/>
  <c r="L24" i="41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V15" i="43"/>
  <c r="T18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P18" i="44"/>
  <c r="R15" i="44"/>
  <c r="R18" i="44"/>
  <c r="R16" i="44"/>
  <c r="R20" i="44"/>
  <c r="Z22" i="44"/>
  <c r="Z24" i="44"/>
  <c r="L16" i="53"/>
  <c r="N13" i="40"/>
  <c r="N22" i="40"/>
  <c r="N24" i="40"/>
  <c r="L13" i="41"/>
  <c r="N21" i="41"/>
  <c r="L25" i="41"/>
  <c r="L29" i="41"/>
  <c r="L33" i="41"/>
  <c r="L34" i="41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L13" i="50"/>
  <c r="L33" i="50"/>
  <c r="X16" i="53"/>
  <c r="N15" i="43"/>
  <c r="L21" i="43"/>
  <c r="L16" i="44"/>
  <c r="L20" i="44"/>
  <c r="L29" i="46"/>
  <c r="L22" i="47"/>
  <c r="X20" i="49"/>
  <c r="N33" i="50"/>
  <c r="L20" i="53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F15" i="40"/>
  <c r="L12" i="40"/>
  <c r="D18" i="40"/>
  <c r="X16" i="40"/>
  <c r="X20" i="40"/>
  <c r="X15" i="41"/>
  <c r="N25" i="41"/>
  <c r="N29" i="41"/>
  <c r="N33" i="41"/>
  <c r="N34" i="41"/>
  <c r="N16" i="43"/>
  <c r="N20" i="43"/>
  <c r="L22" i="43"/>
  <c r="L24" i="43"/>
  <c r="N15" i="44"/>
  <c r="L21" i="44"/>
  <c r="N29" i="46"/>
  <c r="N13" i="47"/>
  <c r="N22" i="47"/>
  <c r="L34" i="50"/>
  <c r="X20" i="53"/>
  <c r="J36" i="40"/>
  <c r="J34" i="40"/>
  <c r="J33" i="40"/>
  <c r="J31" i="40"/>
  <c r="J29" i="40"/>
  <c r="J27" i="40"/>
  <c r="J25" i="40"/>
  <c r="J21" i="40"/>
  <c r="J20" i="40"/>
  <c r="J18" i="40"/>
  <c r="J16" i="40"/>
  <c r="H18" i="40"/>
  <c r="J15" i="40"/>
  <c r="N12" i="40"/>
  <c r="J22" i="40"/>
  <c r="J24" i="40"/>
  <c r="X13" i="40"/>
  <c r="Z15" i="40"/>
  <c r="X21" i="40"/>
  <c r="F24" i="41"/>
  <c r="F22" i="41"/>
  <c r="F21" i="41"/>
  <c r="F20" i="41"/>
  <c r="F18" i="41"/>
  <c r="F16" i="41"/>
  <c r="D18" i="41"/>
  <c r="F15" i="41"/>
  <c r="L12" i="41"/>
  <c r="F36" i="41"/>
  <c r="F29" i="41"/>
  <c r="F34" i="41"/>
  <c r="F27" i="41"/>
  <c r="F33" i="41"/>
  <c r="F25" i="41"/>
  <c r="F31" i="41"/>
  <c r="X16" i="41"/>
  <c r="X20" i="41"/>
  <c r="L13" i="43"/>
  <c r="N21" i="43"/>
  <c r="L25" i="43"/>
  <c r="L29" i="43"/>
  <c r="L33" i="43"/>
  <c r="L34" i="43"/>
  <c r="N16" i="44"/>
  <c r="N20" i="44"/>
  <c r="L22" i="44"/>
  <c r="L24" i="44"/>
  <c r="N21" i="46"/>
  <c r="L24" i="47"/>
  <c r="F24" i="49"/>
  <c r="F22" i="49"/>
  <c r="F21" i="49"/>
  <c r="F20" i="49"/>
  <c r="F18" i="49"/>
  <c r="F16" i="49"/>
  <c r="D18" i="49"/>
  <c r="F15" i="49"/>
  <c r="L12" i="49"/>
  <c r="F31" i="49"/>
  <c r="F29" i="49"/>
  <c r="F27" i="49"/>
  <c r="F36" i="49"/>
  <c r="F25" i="49"/>
  <c r="F34" i="49"/>
  <c r="F33" i="49"/>
  <c r="X15" i="50"/>
  <c r="N34" i="50"/>
  <c r="R24" i="52"/>
  <c r="R22" i="52"/>
  <c r="R21" i="52"/>
  <c r="R20" i="52"/>
  <c r="R34" i="52"/>
  <c r="R31" i="52"/>
  <c r="R27" i="52"/>
  <c r="R16" i="52"/>
  <c r="R36" i="52"/>
  <c r="R33" i="52"/>
  <c r="R29" i="52"/>
  <c r="R25" i="52"/>
  <c r="R18" i="52"/>
  <c r="P18" i="52"/>
  <c r="R15" i="52"/>
  <c r="X12" i="52"/>
  <c r="N13" i="46"/>
  <c r="N22" i="46"/>
  <c r="N24" i="46"/>
  <c r="L13" i="47"/>
  <c r="N21" i="47"/>
  <c r="L25" i="47"/>
  <c r="L29" i="47"/>
  <c r="L33" i="47"/>
  <c r="L34" i="47"/>
  <c r="X15" i="49"/>
  <c r="N25" i="49"/>
  <c r="N29" i="49"/>
  <c r="N33" i="49"/>
  <c r="N34" i="49"/>
  <c r="N13" i="50"/>
  <c r="N22" i="50"/>
  <c r="N24" i="50"/>
  <c r="V20" i="52"/>
  <c r="V18" i="52"/>
  <c r="V16" i="52"/>
  <c r="T18" i="52"/>
  <c r="V15" i="52"/>
  <c r="V34" i="52"/>
  <c r="V31" i="52"/>
  <c r="V27" i="52"/>
  <c r="V24" i="52"/>
  <c r="V21" i="52"/>
  <c r="V36" i="52"/>
  <c r="V33" i="52"/>
  <c r="V29" i="52"/>
  <c r="V25" i="52"/>
  <c r="Z12" i="52"/>
  <c r="V22" i="52"/>
  <c r="Z15" i="52"/>
  <c r="Z22" i="52"/>
  <c r="L13" i="53"/>
  <c r="L25" i="53"/>
  <c r="L29" i="53"/>
  <c r="L33" i="53"/>
  <c r="F21" i="46"/>
  <c r="F20" i="46"/>
  <c r="F18" i="46"/>
  <c r="F16" i="46"/>
  <c r="D18" i="46"/>
  <c r="F15" i="46"/>
  <c r="L12" i="46"/>
  <c r="F36" i="46"/>
  <c r="F34" i="46"/>
  <c r="F33" i="46"/>
  <c r="F31" i="46"/>
  <c r="F29" i="46"/>
  <c r="F27" i="46"/>
  <c r="F25" i="46"/>
  <c r="F24" i="46"/>
  <c r="F22" i="46"/>
  <c r="X16" i="46"/>
  <c r="X20" i="46"/>
  <c r="X15" i="47"/>
  <c r="N25" i="47"/>
  <c r="N29" i="47"/>
  <c r="N33" i="47"/>
  <c r="N34" i="47"/>
  <c r="J20" i="49"/>
  <c r="J18" i="49"/>
  <c r="J16" i="49"/>
  <c r="H18" i="49"/>
  <c r="J15" i="49"/>
  <c r="N12" i="49"/>
  <c r="J24" i="49"/>
  <c r="J22" i="49"/>
  <c r="J31" i="49"/>
  <c r="J21" i="49"/>
  <c r="J29" i="49"/>
  <c r="J27" i="49"/>
  <c r="J36" i="49"/>
  <c r="J25" i="49"/>
  <c r="J34" i="49"/>
  <c r="J33" i="49"/>
  <c r="X13" i="49"/>
  <c r="Z15" i="49"/>
  <c r="X21" i="49"/>
  <c r="F21" i="50"/>
  <c r="F20" i="50"/>
  <c r="F18" i="50"/>
  <c r="F16" i="50"/>
  <c r="D18" i="50"/>
  <c r="F15" i="50"/>
  <c r="L12" i="50"/>
  <c r="F34" i="50"/>
  <c r="F33" i="50"/>
  <c r="F31" i="50"/>
  <c r="F29" i="50"/>
  <c r="F27" i="50"/>
  <c r="F25" i="50"/>
  <c r="F24" i="50"/>
  <c r="F22" i="50"/>
  <c r="F36" i="50"/>
  <c r="X16" i="50"/>
  <c r="X20" i="50"/>
  <c r="X25" i="53"/>
  <c r="X29" i="53"/>
  <c r="X33" i="53"/>
  <c r="H18" i="46"/>
  <c r="J15" i="46"/>
  <c r="N12" i="46"/>
  <c r="J36" i="46"/>
  <c r="J34" i="46"/>
  <c r="J33" i="46"/>
  <c r="J31" i="46"/>
  <c r="J29" i="46"/>
  <c r="J27" i="46"/>
  <c r="J25" i="46"/>
  <c r="J21" i="46"/>
  <c r="J20" i="46"/>
  <c r="J18" i="46"/>
  <c r="J16" i="46"/>
  <c r="J22" i="46"/>
  <c r="J24" i="46"/>
  <c r="X13" i="46"/>
  <c r="Z15" i="46"/>
  <c r="X21" i="46"/>
  <c r="F20" i="47"/>
  <c r="F18" i="47"/>
  <c r="F16" i="47"/>
  <c r="D18" i="47"/>
  <c r="F15" i="47"/>
  <c r="L12" i="47"/>
  <c r="F24" i="47"/>
  <c r="F22" i="47"/>
  <c r="F33" i="47"/>
  <c r="F31" i="47"/>
  <c r="F21" i="47"/>
  <c r="F29" i="47"/>
  <c r="F36" i="47"/>
  <c r="F25" i="47"/>
  <c r="F34" i="47"/>
  <c r="F27" i="47"/>
  <c r="X16" i="47"/>
  <c r="X20" i="47"/>
  <c r="Z13" i="49"/>
  <c r="Z16" i="49"/>
  <c r="Z20" i="49"/>
  <c r="X22" i="49"/>
  <c r="X24" i="49"/>
  <c r="H18" i="50"/>
  <c r="J15" i="50"/>
  <c r="N12" i="50"/>
  <c r="J34" i="50"/>
  <c r="J33" i="50"/>
  <c r="J31" i="50"/>
  <c r="J29" i="50"/>
  <c r="J27" i="50"/>
  <c r="J25" i="50"/>
  <c r="J21" i="50"/>
  <c r="J24" i="50"/>
  <c r="J22" i="50"/>
  <c r="J20" i="50"/>
  <c r="J18" i="50"/>
  <c r="J36" i="50"/>
  <c r="J16" i="50"/>
  <c r="X13" i="50"/>
  <c r="Z15" i="50"/>
  <c r="X21" i="50"/>
  <c r="N13" i="52"/>
  <c r="L16" i="52"/>
  <c r="Z25" i="52"/>
  <c r="Z29" i="52"/>
  <c r="Z33" i="52"/>
  <c r="Z22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0" i="47"/>
  <c r="J18" i="47"/>
  <c r="J16" i="47"/>
  <c r="J15" i="47"/>
  <c r="J21" i="47"/>
  <c r="H18" i="47"/>
  <c r="X13" i="47"/>
  <c r="Z15" i="47"/>
  <c r="X21" i="47"/>
  <c r="Z21" i="49"/>
  <c r="X25" i="49"/>
  <c r="X29" i="49"/>
  <c r="X33" i="49"/>
  <c r="X34" i="49"/>
  <c r="Z13" i="50"/>
  <c r="Z16" i="50"/>
  <c r="Z20" i="50"/>
  <c r="X22" i="50"/>
  <c r="X24" i="50"/>
  <c r="X21" i="52"/>
  <c r="N24" i="52"/>
  <c r="L15" i="53"/>
  <c r="Z25" i="53"/>
  <c r="Z29" i="53"/>
  <c r="Z33" i="53"/>
  <c r="Z21" i="46"/>
  <c r="X25" i="46"/>
  <c r="X29" i="46"/>
  <c r="X33" i="46"/>
  <c r="X34" i="46"/>
  <c r="Z13" i="47"/>
  <c r="Z16" i="47"/>
  <c r="Z20" i="47"/>
  <c r="X22" i="47"/>
  <c r="X24" i="47"/>
  <c r="X12" i="49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Z22" i="49"/>
  <c r="Z24" i="49"/>
  <c r="Z21" i="50"/>
  <c r="X25" i="50"/>
  <c r="X29" i="50"/>
  <c r="X33" i="50"/>
  <c r="X34" i="50"/>
  <c r="X13" i="52"/>
  <c r="L20" i="52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Z12" i="49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X12" i="50"/>
  <c r="R34" i="50"/>
  <c r="R33" i="50"/>
  <c r="R31" i="50"/>
  <c r="R29" i="50"/>
  <c r="R27" i="50"/>
  <c r="R25" i="50"/>
  <c r="R24" i="50"/>
  <c r="R22" i="50"/>
  <c r="R36" i="50"/>
  <c r="R21" i="50"/>
  <c r="R20" i="50"/>
  <c r="R18" i="50"/>
  <c r="R16" i="50"/>
  <c r="P18" i="50"/>
  <c r="R15" i="50"/>
  <c r="Z22" i="50"/>
  <c r="Z24" i="50"/>
  <c r="X16" i="52"/>
  <c r="N21" i="53"/>
  <c r="L34" i="53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Z22" i="47"/>
  <c r="Z24" i="47"/>
  <c r="L16" i="49"/>
  <c r="L20" i="49"/>
  <c r="Z12" i="50"/>
  <c r="V34" i="50"/>
  <c r="V33" i="50"/>
  <c r="V31" i="50"/>
  <c r="V29" i="50"/>
  <c r="V27" i="50"/>
  <c r="V25" i="50"/>
  <c r="V24" i="50"/>
  <c r="V22" i="50"/>
  <c r="V36" i="50"/>
  <c r="V21" i="50"/>
  <c r="V20" i="50"/>
  <c r="V18" i="50"/>
  <c r="V16" i="50"/>
  <c r="T18" i="50"/>
  <c r="V15" i="50"/>
  <c r="L15" i="50"/>
  <c r="Z25" i="50"/>
  <c r="Z29" i="50"/>
  <c r="Z33" i="50"/>
  <c r="Z34" i="50"/>
  <c r="L15" i="52"/>
  <c r="Z24" i="52"/>
  <c r="L12" i="53"/>
  <c r="F36" i="53"/>
  <c r="F34" i="53"/>
  <c r="F33" i="53"/>
  <c r="F31" i="53"/>
  <c r="F29" i="53"/>
  <c r="F27" i="53"/>
  <c r="F25" i="53"/>
  <c r="F21" i="53"/>
  <c r="F20" i="53"/>
  <c r="F18" i="53"/>
  <c r="F16" i="53"/>
  <c r="F24" i="53"/>
  <c r="D18" i="53"/>
  <c r="F15" i="53"/>
  <c r="F22" i="53"/>
  <c r="L16" i="46"/>
  <c r="L20" i="46"/>
  <c r="Z12" i="47"/>
  <c r="V36" i="47"/>
  <c r="V34" i="47"/>
  <c r="V33" i="47"/>
  <c r="V31" i="47"/>
  <c r="V29" i="47"/>
  <c r="V27" i="47"/>
  <c r="V25" i="47"/>
  <c r="V24" i="47"/>
  <c r="V22" i="47"/>
  <c r="V21" i="47"/>
  <c r="V20" i="47"/>
  <c r="V18" i="47"/>
  <c r="V16" i="47"/>
  <c r="T18" i="47"/>
  <c r="V15" i="47"/>
  <c r="L15" i="47"/>
  <c r="Z25" i="47"/>
  <c r="Z29" i="47"/>
  <c r="Z33" i="47"/>
  <c r="Z34" i="47"/>
  <c r="N15" i="49"/>
  <c r="L21" i="49"/>
  <c r="L16" i="50"/>
  <c r="L20" i="50"/>
  <c r="X20" i="52"/>
  <c r="Z21" i="53"/>
  <c r="X34" i="53"/>
  <c r="N15" i="46"/>
  <c r="L21" i="46"/>
  <c r="L16" i="47"/>
  <c r="L20" i="47"/>
  <c r="N16" i="49"/>
  <c r="N20" i="49"/>
  <c r="L22" i="49"/>
  <c r="L24" i="49"/>
  <c r="N15" i="50"/>
  <c r="L21" i="50"/>
  <c r="L12" i="52"/>
  <c r="F24" i="52"/>
  <c r="F22" i="52"/>
  <c r="F21" i="52"/>
  <c r="D18" i="52"/>
  <c r="F15" i="52"/>
  <c r="F34" i="52"/>
  <c r="F31" i="52"/>
  <c r="F27" i="52"/>
  <c r="F20" i="52"/>
  <c r="F16" i="52"/>
  <c r="F36" i="52"/>
  <c r="F33" i="52"/>
  <c r="F29" i="52"/>
  <c r="F25" i="52"/>
  <c r="F18" i="52"/>
  <c r="N15" i="52"/>
  <c r="N22" i="52"/>
  <c r="Z34" i="52"/>
  <c r="R21" i="53"/>
  <c r="R20" i="53"/>
  <c r="R18" i="53"/>
  <c r="R16" i="53"/>
  <c r="R34" i="53"/>
  <c r="R31" i="53"/>
  <c r="R27" i="53"/>
  <c r="R24" i="53"/>
  <c r="P18" i="53"/>
  <c r="R15" i="53"/>
  <c r="R36" i="53"/>
  <c r="R33" i="53"/>
  <c r="R29" i="53"/>
  <c r="R25" i="53"/>
  <c r="R22" i="53"/>
  <c r="X12" i="53"/>
  <c r="Z24" i="53"/>
  <c r="N16" i="46"/>
  <c r="N20" i="46"/>
  <c r="L22" i="46"/>
  <c r="L24" i="46"/>
  <c r="N15" i="47"/>
  <c r="L21" i="47"/>
  <c r="L13" i="49"/>
  <c r="N21" i="49"/>
  <c r="L25" i="49"/>
  <c r="L29" i="49"/>
  <c r="L33" i="49"/>
  <c r="L34" i="49"/>
  <c r="N16" i="50"/>
  <c r="N20" i="50"/>
  <c r="L22" i="50"/>
  <c r="L24" i="50"/>
  <c r="N12" i="52"/>
  <c r="J36" i="52"/>
  <c r="J34" i="52"/>
  <c r="J33" i="52"/>
  <c r="J31" i="52"/>
  <c r="J29" i="52"/>
  <c r="J27" i="52"/>
  <c r="J24" i="52"/>
  <c r="J22" i="52"/>
  <c r="J20" i="52"/>
  <c r="J18" i="52"/>
  <c r="J16" i="52"/>
  <c r="H18" i="52"/>
  <c r="J15" i="52"/>
  <c r="J21" i="52"/>
  <c r="J25" i="52"/>
  <c r="T18" i="53"/>
  <c r="V15" i="53"/>
  <c r="Z12" i="53"/>
  <c r="V24" i="53"/>
  <c r="V21" i="53"/>
  <c r="V18" i="53"/>
  <c r="V36" i="53"/>
  <c r="V33" i="53"/>
  <c r="V29" i="53"/>
  <c r="V25" i="53"/>
  <c r="V22" i="53"/>
  <c r="V20" i="53"/>
  <c r="V16" i="53"/>
  <c r="V34" i="53"/>
  <c r="V31" i="53"/>
  <c r="V27" i="53"/>
  <c r="Z34" i="53"/>
  <c r="N16" i="52"/>
  <c r="N20" i="52"/>
  <c r="L22" i="52"/>
  <c r="L24" i="52"/>
  <c r="N15" i="53"/>
  <c r="L21" i="53"/>
  <c r="L13" i="52"/>
  <c r="N21" i="52"/>
  <c r="L25" i="52"/>
  <c r="L29" i="52"/>
  <c r="L33" i="52"/>
  <c r="L34" i="52"/>
  <c r="N16" i="53"/>
  <c r="N20" i="53"/>
  <c r="L22" i="53"/>
  <c r="L24" i="53"/>
  <c r="X15" i="52"/>
  <c r="N25" i="52"/>
  <c r="N29" i="52"/>
  <c r="N33" i="52"/>
  <c r="N34" i="52"/>
  <c r="N13" i="53"/>
  <c r="N22" i="53"/>
  <c r="N24" i="53"/>
  <c r="X15" i="53"/>
  <c r="N25" i="53"/>
  <c r="N29" i="53"/>
  <c r="N33" i="53"/>
  <c r="N34" i="53"/>
  <c r="Z13" i="52"/>
  <c r="Z16" i="52"/>
  <c r="Z20" i="52"/>
  <c r="X22" i="52"/>
  <c r="X24" i="52"/>
  <c r="J24" i="53"/>
  <c r="J22" i="53"/>
  <c r="J21" i="53"/>
  <c r="H18" i="53"/>
  <c r="J15" i="53"/>
  <c r="N12" i="53"/>
  <c r="J34" i="53"/>
  <c r="J31" i="53"/>
  <c r="J27" i="53"/>
  <c r="J18" i="53"/>
  <c r="J20" i="53"/>
  <c r="J16" i="53"/>
  <c r="J36" i="53"/>
  <c r="J33" i="53"/>
  <c r="J29" i="53"/>
  <c r="J25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Z34" i="111"/>
  <c r="X29" i="112"/>
  <c r="X21" i="113"/>
  <c r="T18" i="111"/>
  <c r="V15" i="111"/>
  <c r="Z12" i="111"/>
  <c r="V36" i="111"/>
  <c r="V34" i="111"/>
  <c r="V33" i="111"/>
  <c r="V31" i="111"/>
  <c r="V29" i="111"/>
  <c r="V27" i="111"/>
  <c r="V25" i="111"/>
  <c r="V21" i="111"/>
  <c r="V20" i="111"/>
  <c r="V18" i="111"/>
  <c r="V16" i="111"/>
  <c r="V24" i="111"/>
  <c r="V22" i="111"/>
  <c r="L15" i="111"/>
  <c r="Z33" i="111"/>
  <c r="X25" i="112"/>
  <c r="X33" i="112"/>
  <c r="X34" i="112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Z25" i="111"/>
  <c r="X13" i="113"/>
  <c r="Z21" i="112"/>
  <c r="Z15" i="113"/>
  <c r="Z29" i="111"/>
  <c r="Z21" i="111"/>
  <c r="X25" i="111"/>
  <c r="X29" i="111"/>
  <c r="X33" i="111"/>
  <c r="X34" i="111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H18" i="112"/>
  <c r="J15" i="112"/>
  <c r="N12" i="112"/>
  <c r="X13" i="112"/>
  <c r="Z15" i="112"/>
  <c r="X21" i="112"/>
  <c r="X15" i="113"/>
  <c r="N25" i="113"/>
  <c r="N29" i="113"/>
  <c r="N33" i="113"/>
  <c r="N34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D18" i="113"/>
  <c r="F15" i="113"/>
  <c r="L12" i="113"/>
  <c r="X16" i="113"/>
  <c r="X20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1" i="112"/>
  <c r="R20" i="112"/>
  <c r="R18" i="112"/>
  <c r="R16" i="112"/>
  <c r="R22" i="112"/>
  <c r="R24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T18" i="112"/>
  <c r="V15" i="112"/>
  <c r="V20" i="112"/>
  <c r="V18" i="112"/>
  <c r="V16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P18" i="113"/>
  <c r="R15" i="113"/>
  <c r="R16" i="113"/>
  <c r="R20" i="113"/>
  <c r="R18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N13" i="113"/>
  <c r="N22" i="113"/>
  <c r="N24" i="113"/>
  <c r="N132" i="3"/>
  <c r="N243" i="3"/>
  <c r="Z217" i="3"/>
  <c r="N258" i="3"/>
  <c r="N238" i="3"/>
  <c r="Z132" i="3"/>
  <c r="Z243" i="3"/>
  <c r="N246" i="3"/>
  <c r="Z252" i="3"/>
  <c r="R302" i="3"/>
  <c r="R301" i="3"/>
  <c r="R286" i="3"/>
  <c r="R282" i="3"/>
  <c r="R303" i="3"/>
  <c r="R294" i="3"/>
  <c r="R293" i="3"/>
  <c r="R278" i="3"/>
  <c r="R277" i="3"/>
  <c r="R316" i="3"/>
  <c r="R304" i="3"/>
  <c r="R321" i="3"/>
  <c r="R320" i="3"/>
  <c r="R305" i="3"/>
  <c r="R295" i="3"/>
  <c r="R287" i="3"/>
  <c r="R283" i="3"/>
  <c r="R279" i="3"/>
  <c r="R306" i="3"/>
  <c r="R307" i="3"/>
  <c r="R308" i="3"/>
  <c r="R296" i="3"/>
  <c r="R289" i="3"/>
  <c r="R288" i="3"/>
  <c r="R284" i="3"/>
  <c r="R280" i="3"/>
  <c r="R309" i="3"/>
  <c r="R310" i="3"/>
  <c r="R311" i="3"/>
  <c r="R298" i="3"/>
  <c r="R297" i="3"/>
  <c r="R285" i="3"/>
  <c r="R281" i="3"/>
  <c r="R312" i="3"/>
  <c r="R276" i="3"/>
  <c r="R271" i="3"/>
  <c r="R252" i="3"/>
  <c r="R251" i="3"/>
  <c r="R227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139" i="3"/>
  <c r="R135" i="3"/>
  <c r="R266" i="3"/>
  <c r="R243" i="3"/>
  <c r="R242" i="3"/>
  <c r="R234" i="3"/>
  <c r="R214" i="3"/>
  <c r="R210" i="3"/>
  <c r="P192" i="3"/>
  <c r="R192" i="3" s="1"/>
  <c r="R291" i="3"/>
  <c r="R261" i="3"/>
  <c r="R254" i="3"/>
  <c r="R253" i="3"/>
  <c r="R222" i="3"/>
  <c r="R221" i="3"/>
  <c r="R206" i="3"/>
  <c r="R205" i="3"/>
  <c r="R201" i="3"/>
  <c r="R197" i="3"/>
  <c r="R272" i="3"/>
  <c r="R244" i="3"/>
  <c r="R229" i="3"/>
  <c r="R228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68" i="3"/>
  <c r="R267" i="3"/>
  <c r="R256" i="3"/>
  <c r="R255" i="3"/>
  <c r="R236" i="3"/>
  <c r="R235" i="3"/>
  <c r="R224" i="3"/>
  <c r="R223" i="3"/>
  <c r="R215" i="3"/>
  <c r="R211" i="3"/>
  <c r="R207" i="3"/>
  <c r="R132" i="3"/>
  <c r="R220" i="3"/>
  <c r="R263" i="3"/>
  <c r="R262" i="3"/>
  <c r="R230" i="3"/>
  <c r="R202" i="3"/>
  <c r="R198" i="3"/>
  <c r="R273" i="3"/>
  <c r="R269" i="3"/>
  <c r="R258" i="3"/>
  <c r="R257" i="3"/>
  <c r="R246" i="3"/>
  <c r="R245" i="3"/>
  <c r="R238" i="3"/>
  <c r="R237" i="3"/>
  <c r="R225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X12" i="3"/>
  <c r="Z12" i="3" s="1"/>
  <c r="R292" i="3"/>
  <c r="R290" i="3"/>
  <c r="R264" i="3"/>
  <c r="R217" i="3"/>
  <c r="R216" i="3"/>
  <c r="R212" i="3"/>
  <c r="R208" i="3"/>
  <c r="R259" i="3"/>
  <c r="R248" i="3"/>
  <c r="R247" i="3"/>
  <c r="R240" i="3"/>
  <c r="R239" i="3"/>
  <c r="R232" i="3"/>
  <c r="R231" i="3"/>
  <c r="R203" i="3"/>
  <c r="R199" i="3"/>
  <c r="R260" i="3"/>
  <c r="R299" i="3"/>
  <c r="R275" i="3"/>
  <c r="R274" i="3"/>
  <c r="R270" i="3"/>
  <c r="R226" i="3"/>
  <c r="R219" i="3"/>
  <c r="R218" i="3"/>
  <c r="R195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96" i="3"/>
  <c r="R265" i="3"/>
  <c r="R250" i="3"/>
  <c r="R249" i="3"/>
  <c r="R241" i="3"/>
  <c r="R233" i="3"/>
  <c r="R213" i="3"/>
  <c r="R209" i="3"/>
  <c r="R194" i="3"/>
  <c r="R204" i="3"/>
  <c r="R200" i="3"/>
  <c r="N194" i="3"/>
  <c r="N206" i="3"/>
  <c r="N222" i="3"/>
  <c r="V196" i="3"/>
  <c r="V200" i="3"/>
  <c r="V204" i="3"/>
  <c r="J208" i="3"/>
  <c r="J212" i="3"/>
  <c r="J216" i="3"/>
  <c r="V220" i="3"/>
  <c r="J238" i="3"/>
  <c r="J246" i="3"/>
  <c r="V252" i="3"/>
  <c r="J258" i="3"/>
  <c r="V260" i="3"/>
  <c r="J264" i="3"/>
  <c r="N294" i="3"/>
  <c r="Z61" i="9"/>
  <c r="N83" i="9"/>
  <c r="N93" i="9"/>
  <c r="D12" i="12"/>
  <c r="L13" i="12"/>
  <c r="N13" i="12" s="1"/>
  <c r="N210" i="12"/>
  <c r="Z212" i="12"/>
  <c r="Z216" i="12"/>
  <c r="L243" i="12"/>
  <c r="R116" i="15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T192" i="3"/>
  <c r="V209" i="3"/>
  <c r="V213" i="3"/>
  <c r="J225" i="3"/>
  <c r="V233" i="3"/>
  <c r="J237" i="3"/>
  <c r="V241" i="3"/>
  <c r="J245" i="3"/>
  <c r="V249" i="3"/>
  <c r="J257" i="3"/>
  <c r="J263" i="3"/>
  <c r="V265" i="3"/>
  <c r="J269" i="3"/>
  <c r="J273" i="3"/>
  <c r="J290" i="3"/>
  <c r="N46" i="9"/>
  <c r="X83" i="9"/>
  <c r="J86" i="9"/>
  <c r="R266" i="12"/>
  <c r="R257" i="12"/>
  <c r="R256" i="12"/>
  <c r="R188" i="12"/>
  <c r="R172" i="12"/>
  <c r="R168" i="12"/>
  <c r="R164" i="12"/>
  <c r="P160" i="12"/>
  <c r="R267" i="12"/>
  <c r="R240" i="12"/>
  <c r="R239" i="12"/>
  <c r="R235" i="12"/>
  <c r="R224" i="12"/>
  <c r="R223" i="12"/>
  <c r="R212" i="12"/>
  <c r="R211" i="12"/>
  <c r="R195" i="12"/>
  <c r="R155" i="12"/>
  <c r="R151" i="12"/>
  <c r="R147" i="12"/>
  <c r="R143" i="12"/>
  <c r="R139" i="12"/>
  <c r="R135" i="12"/>
  <c r="R131" i="12"/>
  <c r="R127" i="12"/>
  <c r="R123" i="12"/>
  <c r="R119" i="12"/>
  <c r="R115" i="12"/>
  <c r="R111" i="12"/>
  <c r="R268" i="12"/>
  <c r="R258" i="12"/>
  <c r="R250" i="12"/>
  <c r="R246" i="12"/>
  <c r="R230" i="12"/>
  <c r="R203" i="12"/>
  <c r="R202" i="12"/>
  <c r="R182" i="12"/>
  <c r="R178" i="12"/>
  <c r="R107" i="12"/>
  <c r="X12" i="12"/>
  <c r="Z12" i="12" s="1"/>
  <c r="R269" i="12"/>
  <c r="R241" i="12"/>
  <c r="R225" i="12"/>
  <c r="R214" i="12"/>
  <c r="R213" i="12"/>
  <c r="R190" i="12"/>
  <c r="R189" i="12"/>
  <c r="R174" i="12"/>
  <c r="R173" i="12"/>
  <c r="R169" i="12"/>
  <c r="R165" i="12"/>
  <c r="R270" i="12"/>
  <c r="R236" i="12"/>
  <c r="R205" i="12"/>
  <c r="R204" i="12"/>
  <c r="R197" i="12"/>
  <c r="R196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108" i="12"/>
  <c r="R271" i="12"/>
  <c r="R259" i="12"/>
  <c r="R252" i="12"/>
  <c r="R251" i="12"/>
  <c r="R247" i="12"/>
  <c r="R231" i="12"/>
  <c r="R216" i="12"/>
  <c r="R215" i="12"/>
  <c r="R192" i="12"/>
  <c r="R191" i="12"/>
  <c r="R183" i="12"/>
  <c r="R179" i="12"/>
  <c r="R175" i="12"/>
  <c r="R272" i="12"/>
  <c r="R243" i="12"/>
  <c r="R242" i="12"/>
  <c r="R226" i="12"/>
  <c r="R207" i="12"/>
  <c r="R206" i="12"/>
  <c r="R198" i="12"/>
  <c r="R170" i="12"/>
  <c r="R166" i="12"/>
  <c r="R253" i="12"/>
  <c r="R237" i="12"/>
  <c r="R218" i="12"/>
  <c r="R217" i="12"/>
  <c r="R193" i="12"/>
  <c r="R157" i="12"/>
  <c r="R153" i="12"/>
  <c r="R149" i="12"/>
  <c r="R145" i="12"/>
  <c r="R141" i="12"/>
  <c r="R137" i="12"/>
  <c r="R133" i="12"/>
  <c r="R129" i="12"/>
  <c r="R125" i="12"/>
  <c r="R121" i="12"/>
  <c r="R117" i="12"/>
  <c r="R113" i="12"/>
  <c r="R109" i="12"/>
  <c r="R261" i="12"/>
  <c r="R260" i="12"/>
  <c r="R248" i="12"/>
  <c r="R244" i="12"/>
  <c r="R233" i="12"/>
  <c r="R232" i="12"/>
  <c r="R208" i="12"/>
  <c r="R185" i="12"/>
  <c r="R184" i="12"/>
  <c r="R180" i="12"/>
  <c r="R176" i="12"/>
  <c r="R228" i="12"/>
  <c r="R227" i="12"/>
  <c r="R220" i="12"/>
  <c r="R219" i="12"/>
  <c r="R200" i="12"/>
  <c r="R199" i="12"/>
  <c r="R171" i="12"/>
  <c r="R167" i="12"/>
  <c r="R276" i="12"/>
  <c r="R262" i="12"/>
  <c r="R255" i="12"/>
  <c r="R254" i="12"/>
  <c r="R238" i="12"/>
  <c r="R234" i="12"/>
  <c r="R194" i="12"/>
  <c r="R187" i="12"/>
  <c r="R186" i="12"/>
  <c r="R163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R160" i="12"/>
  <c r="N243" i="12"/>
  <c r="J132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2" i="3"/>
  <c r="V194" i="3"/>
  <c r="J198" i="3"/>
  <c r="J202" i="3"/>
  <c r="V218" i="3"/>
  <c r="J224" i="3"/>
  <c r="V226" i="3"/>
  <c r="J230" i="3"/>
  <c r="J236" i="3"/>
  <c r="V250" i="3"/>
  <c r="J256" i="3"/>
  <c r="J262" i="3"/>
  <c r="J268" i="3"/>
  <c r="V270" i="3"/>
  <c r="V274" i="3"/>
  <c r="V279" i="3"/>
  <c r="V282" i="3"/>
  <c r="V297" i="3"/>
  <c r="J62" i="9"/>
  <c r="Z83" i="9"/>
  <c r="R177" i="12"/>
  <c r="R210" i="12"/>
  <c r="D264" i="12"/>
  <c r="L264" i="12" s="1"/>
  <c r="L271" i="12"/>
  <c r="N271" i="12" s="1"/>
  <c r="V195" i="3"/>
  <c r="V199" i="3"/>
  <c r="V203" i="3"/>
  <c r="J207" i="3"/>
  <c r="J211" i="3"/>
  <c r="J215" i="3"/>
  <c r="V219" i="3"/>
  <c r="J223" i="3"/>
  <c r="J229" i="3"/>
  <c r="V231" i="3"/>
  <c r="J235" i="3"/>
  <c r="V239" i="3"/>
  <c r="V247" i="3"/>
  <c r="J255" i="3"/>
  <c r="V259" i="3"/>
  <c r="J267" i="3"/>
  <c r="V275" i="3"/>
  <c r="V285" i="3"/>
  <c r="V294" i="3"/>
  <c r="Z46" i="9"/>
  <c r="N57" i="9"/>
  <c r="J74" i="9"/>
  <c r="R201" i="12"/>
  <c r="Z210" i="12"/>
  <c r="R221" i="12"/>
  <c r="R265" i="12"/>
  <c r="R253" i="15"/>
  <c r="R244" i="15"/>
  <c r="R243" i="15"/>
  <c r="R215" i="15"/>
  <c r="R204" i="15"/>
  <c r="R203" i="15"/>
  <c r="R195" i="15"/>
  <c r="R175" i="15"/>
  <c r="R171" i="15"/>
  <c r="R156" i="15"/>
  <c r="R154" i="15"/>
  <c r="R255" i="15"/>
  <c r="R245" i="15"/>
  <c r="R237" i="15"/>
  <c r="R233" i="15"/>
  <c r="R221" i="15"/>
  <c r="R206" i="15"/>
  <c r="R205" i="15"/>
  <c r="R189" i="15"/>
  <c r="R149" i="15"/>
  <c r="R145" i="15"/>
  <c r="R141" i="15"/>
  <c r="R137" i="15"/>
  <c r="R133" i="15"/>
  <c r="R129" i="15"/>
  <c r="R125" i="15"/>
  <c r="R121" i="15"/>
  <c r="R117" i="15"/>
  <c r="R113" i="15"/>
  <c r="R109" i="15"/>
  <c r="R105" i="15"/>
  <c r="R256" i="15"/>
  <c r="R216" i="15"/>
  <c r="R197" i="15"/>
  <c r="R196" i="15"/>
  <c r="R176" i="15"/>
  <c r="R172" i="15"/>
  <c r="R257" i="15"/>
  <c r="R228" i="15"/>
  <c r="R227" i="15"/>
  <c r="R208" i="15"/>
  <c r="R207" i="15"/>
  <c r="R184" i="15"/>
  <c r="R183" i="15"/>
  <c r="R168" i="15"/>
  <c r="R167" i="15"/>
  <c r="R163" i="15"/>
  <c r="R159" i="15"/>
  <c r="R258" i="15"/>
  <c r="R246" i="15"/>
  <c r="R239" i="15"/>
  <c r="R238" i="15"/>
  <c r="R234" i="15"/>
  <c r="R223" i="15"/>
  <c r="R222" i="15"/>
  <c r="R199" i="15"/>
  <c r="R198" i="15"/>
  <c r="R191" i="15"/>
  <c r="R190" i="15"/>
  <c r="R150" i="15"/>
  <c r="R146" i="15"/>
  <c r="R142" i="15"/>
  <c r="R138" i="15"/>
  <c r="R259" i="15"/>
  <c r="R229" i="15"/>
  <c r="R218" i="15"/>
  <c r="R217" i="15"/>
  <c r="R210" i="15"/>
  <c r="R209" i="15"/>
  <c r="R186" i="15"/>
  <c r="R185" i="15"/>
  <c r="R177" i="15"/>
  <c r="R173" i="15"/>
  <c r="R169" i="15"/>
  <c r="R240" i="15"/>
  <c r="R224" i="15"/>
  <c r="R201" i="15"/>
  <c r="R200" i="15"/>
  <c r="R192" i="15"/>
  <c r="R164" i="15"/>
  <c r="R160" i="15"/>
  <c r="R248" i="15"/>
  <c r="R247" i="15"/>
  <c r="R235" i="15"/>
  <c r="R219" i="15"/>
  <c r="R212" i="15"/>
  <c r="R211" i="15"/>
  <c r="R187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R231" i="15"/>
  <c r="R230" i="15"/>
  <c r="R202" i="15"/>
  <c r="R179" i="15"/>
  <c r="R178" i="15"/>
  <c r="R174" i="15"/>
  <c r="R170" i="15"/>
  <c r="R103" i="15"/>
  <c r="R263" i="15"/>
  <c r="R249" i="15"/>
  <c r="R242" i="15"/>
  <c r="R241" i="15"/>
  <c r="R225" i="15"/>
  <c r="R214" i="15"/>
  <c r="R213" i="15"/>
  <c r="R194" i="15"/>
  <c r="R193" i="15"/>
  <c r="R165" i="15"/>
  <c r="R161" i="15"/>
  <c r="R232" i="15"/>
  <c r="R128" i="15"/>
  <c r="R114" i="15"/>
  <c r="R104" i="15"/>
  <c r="R181" i="15"/>
  <c r="P154" i="15"/>
  <c r="R126" i="15"/>
  <c r="R157" i="15"/>
  <c r="R162" i="15"/>
  <c r="R124" i="15"/>
  <c r="R112" i="15"/>
  <c r="R236" i="15"/>
  <c r="R122" i="15"/>
  <c r="R254" i="15"/>
  <c r="R252" i="15"/>
  <c r="R220" i="15"/>
  <c r="R188" i="15"/>
  <c r="R166" i="15"/>
  <c r="R152" i="15"/>
  <c r="R148" i="15"/>
  <c r="R144" i="15"/>
  <c r="R140" i="15"/>
  <c r="R110" i="15"/>
  <c r="R136" i="15"/>
  <c r="R120" i="15"/>
  <c r="R226" i="15"/>
  <c r="R134" i="15"/>
  <c r="R118" i="15"/>
  <c r="R182" i="15"/>
  <c r="R180" i="15"/>
  <c r="R108" i="15"/>
  <c r="X12" i="15"/>
  <c r="R132" i="15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206" i="3"/>
  <c r="V208" i="3"/>
  <c r="V212" i="3"/>
  <c r="V216" i="3"/>
  <c r="J222" i="3"/>
  <c r="J228" i="3"/>
  <c r="V232" i="3"/>
  <c r="V240" i="3"/>
  <c r="J244" i="3"/>
  <c r="V248" i="3"/>
  <c r="J254" i="3"/>
  <c r="V264" i="3"/>
  <c r="J272" i="3"/>
  <c r="V277" i="3"/>
  <c r="R249" i="12"/>
  <c r="D12" i="3"/>
  <c r="V133" i="3"/>
  <c r="V137" i="3"/>
  <c r="V141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J197" i="3"/>
  <c r="J201" i="3"/>
  <c r="J205" i="3"/>
  <c r="V217" i="3"/>
  <c r="J221" i="3"/>
  <c r="V225" i="3"/>
  <c r="V237" i="3"/>
  <c r="J243" i="3"/>
  <c r="V245" i="3"/>
  <c r="J253" i="3"/>
  <c r="V257" i="3"/>
  <c r="J261" i="3"/>
  <c r="V269" i="3"/>
  <c r="V273" i="3"/>
  <c r="Z29" i="6"/>
  <c r="R162" i="12"/>
  <c r="J310" i="3"/>
  <c r="J297" i="3"/>
  <c r="J285" i="3"/>
  <c r="J281" i="3"/>
  <c r="J311" i="3"/>
  <c r="J298" i="3"/>
  <c r="J276" i="3"/>
  <c r="J312" i="3"/>
  <c r="J299" i="3"/>
  <c r="J291" i="3"/>
  <c r="J292" i="3"/>
  <c r="J286" i="3"/>
  <c r="J282" i="3"/>
  <c r="J302" i="3"/>
  <c r="J301" i="3"/>
  <c r="J293" i="3"/>
  <c r="J277" i="3"/>
  <c r="J316" i="3"/>
  <c r="J303" i="3"/>
  <c r="J294" i="3"/>
  <c r="J278" i="3"/>
  <c r="J304" i="3"/>
  <c r="J295" i="3"/>
  <c r="J287" i="3"/>
  <c r="J283" i="3"/>
  <c r="J279" i="3"/>
  <c r="J321" i="3"/>
  <c r="J320" i="3"/>
  <c r="J305" i="3"/>
  <c r="J306" i="3"/>
  <c r="J307" i="3"/>
  <c r="J296" i="3"/>
  <c r="J288" i="3"/>
  <c r="J284" i="3"/>
  <c r="J280" i="3"/>
  <c r="J308" i="3"/>
  <c r="J289" i="3"/>
  <c r="X13" i="3"/>
  <c r="Z13" i="3" s="1"/>
  <c r="V198" i="3"/>
  <c r="V202" i="3"/>
  <c r="J210" i="3"/>
  <c r="J214" i="3"/>
  <c r="V230" i="3"/>
  <c r="J234" i="3"/>
  <c r="V238" i="3"/>
  <c r="J242" i="3"/>
  <c r="V246" i="3"/>
  <c r="J252" i="3"/>
  <c r="V258" i="3"/>
  <c r="V262" i="3"/>
  <c r="J266" i="3"/>
  <c r="N19" i="9"/>
  <c r="Z55" i="9"/>
  <c r="Z162" i="12"/>
  <c r="Z233" i="12"/>
  <c r="D12" i="15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H192" i="3"/>
  <c r="J192" i="3" s="1"/>
  <c r="V207" i="3"/>
  <c r="V211" i="3"/>
  <c r="V215" i="3"/>
  <c r="V223" i="3"/>
  <c r="J227" i="3"/>
  <c r="V235" i="3"/>
  <c r="J251" i="3"/>
  <c r="V255" i="3"/>
  <c r="X258" i="3"/>
  <c r="Z258" i="3" s="1"/>
  <c r="V263" i="3"/>
  <c r="V267" i="3"/>
  <c r="J271" i="3"/>
  <c r="V283" i="3"/>
  <c r="L289" i="3"/>
  <c r="N289" i="3" s="1"/>
  <c r="X301" i="3"/>
  <c r="Z301" i="3" s="1"/>
  <c r="J81" i="9"/>
  <c r="J69" i="9"/>
  <c r="J63" i="9"/>
  <c r="J41" i="9"/>
  <c r="J37" i="9"/>
  <c r="J33" i="9"/>
  <c r="J19" i="9"/>
  <c r="J64" i="9"/>
  <c r="J52" i="9"/>
  <c r="J42" i="9"/>
  <c r="J28" i="9"/>
  <c r="J24" i="9"/>
  <c r="J20" i="9"/>
  <c r="J18" i="9"/>
  <c r="J16" i="9"/>
  <c r="J14" i="9"/>
  <c r="J95" i="9"/>
  <c r="J87" i="9"/>
  <c r="J75" i="9"/>
  <c r="J53" i="9"/>
  <c r="J43" i="9"/>
  <c r="H16" i="9"/>
  <c r="J88" i="9"/>
  <c r="J82" i="9"/>
  <c r="J70" i="9"/>
  <c r="J54" i="9"/>
  <c r="J44" i="9"/>
  <c r="J38" i="9"/>
  <c r="J34" i="9"/>
  <c r="J99" i="9"/>
  <c r="J97" i="9"/>
  <c r="J89" i="9"/>
  <c r="J83" i="9"/>
  <c r="J65" i="9"/>
  <c r="J55" i="9"/>
  <c r="J45" i="9"/>
  <c r="J29" i="9"/>
  <c r="J25" i="9"/>
  <c r="J21" i="9"/>
  <c r="J84" i="9"/>
  <c r="J76" i="9"/>
  <c r="J56" i="9"/>
  <c r="J46" i="9"/>
  <c r="J101" i="9"/>
  <c r="J77" i="9"/>
  <c r="J71" i="9"/>
  <c r="J57" i="9"/>
  <c r="J47" i="9"/>
  <c r="J39" i="9"/>
  <c r="J35" i="9"/>
  <c r="J90" i="9"/>
  <c r="J78" i="9"/>
  <c r="J72" i="9"/>
  <c r="J66" i="9"/>
  <c r="J58" i="9"/>
  <c r="J48" i="9"/>
  <c r="J30" i="9"/>
  <c r="J26" i="9"/>
  <c r="J22" i="9"/>
  <c r="J106" i="9"/>
  <c r="J103" i="9"/>
  <c r="J91" i="9"/>
  <c r="J85" i="9"/>
  <c r="J73" i="9"/>
  <c r="J67" i="9"/>
  <c r="J59" i="9"/>
  <c r="J49" i="9"/>
  <c r="J31" i="9"/>
  <c r="J92" i="9"/>
  <c r="J68" i="9"/>
  <c r="J60" i="9"/>
  <c r="J50" i="9"/>
  <c r="J40" i="9"/>
  <c r="J36" i="9"/>
  <c r="J32" i="9"/>
  <c r="N12" i="9"/>
  <c r="J93" i="9"/>
  <c r="J79" i="9"/>
  <c r="J61" i="9"/>
  <c r="J51" i="9"/>
  <c r="J27" i="9"/>
  <c r="J23" i="9"/>
  <c r="L12" i="9"/>
  <c r="Z107" i="12"/>
  <c r="R209" i="12"/>
  <c r="X257" i="12"/>
  <c r="Z257" i="12" s="1"/>
  <c r="V132" i="3"/>
  <c r="V136" i="3"/>
  <c r="V140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J194" i="3"/>
  <c r="J196" i="3"/>
  <c r="J200" i="3"/>
  <c r="J204" i="3"/>
  <c r="J220" i="3"/>
  <c r="V224" i="3"/>
  <c r="V228" i="3"/>
  <c r="V236" i="3"/>
  <c r="V244" i="3"/>
  <c r="J250" i="3"/>
  <c r="V256" i="3"/>
  <c r="J260" i="3"/>
  <c r="V268" i="3"/>
  <c r="V272" i="3"/>
  <c r="N278" i="3"/>
  <c r="N28" i="6"/>
  <c r="N80" i="9"/>
  <c r="N264" i="12"/>
  <c r="R106" i="15"/>
  <c r="R158" i="15"/>
  <c r="J195" i="3"/>
  <c r="V197" i="3"/>
  <c r="V201" i="3"/>
  <c r="V205" i="3"/>
  <c r="J209" i="3"/>
  <c r="J213" i="3"/>
  <c r="J219" i="3"/>
  <c r="V221" i="3"/>
  <c r="V229" i="3"/>
  <c r="J233" i="3"/>
  <c r="J241" i="3"/>
  <c r="J249" i="3"/>
  <c r="V253" i="3"/>
  <c r="V261" i="3"/>
  <c r="J265" i="3"/>
  <c r="J275" i="3"/>
  <c r="V281" i="3"/>
  <c r="X298" i="3"/>
  <c r="Z298" i="3" s="1"/>
  <c r="L61" i="9"/>
  <c r="N61" i="9" s="1"/>
  <c r="Z77" i="9"/>
  <c r="J80" i="9"/>
  <c r="N207" i="12"/>
  <c r="N218" i="12"/>
  <c r="R229" i="12"/>
  <c r="R264" i="12"/>
  <c r="V303" i="3"/>
  <c r="V293" i="3"/>
  <c r="V321" i="3"/>
  <c r="V320" i="3"/>
  <c r="V316" i="3"/>
  <c r="V304" i="3"/>
  <c r="V305" i="3"/>
  <c r="V295" i="3"/>
  <c r="V287" i="3"/>
  <c r="V306" i="3"/>
  <c r="V307" i="3"/>
  <c r="V289" i="3"/>
  <c r="V308" i="3"/>
  <c r="V296" i="3"/>
  <c r="V288" i="3"/>
  <c r="V284" i="3"/>
  <c r="V280" i="3"/>
  <c r="V309" i="3"/>
  <c r="V310" i="3"/>
  <c r="V298" i="3"/>
  <c r="V290" i="3"/>
  <c r="V311" i="3"/>
  <c r="V312" i="3"/>
  <c r="V292" i="3"/>
  <c r="V276" i="3"/>
  <c r="V301" i="3"/>
  <c r="V299" i="3"/>
  <c r="V291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V206" i="3"/>
  <c r="V210" i="3"/>
  <c r="V214" i="3"/>
  <c r="J218" i="3"/>
  <c r="V222" i="3"/>
  <c r="J226" i="3"/>
  <c r="J232" i="3"/>
  <c r="V234" i="3"/>
  <c r="J240" i="3"/>
  <c r="V242" i="3"/>
  <c r="J248" i="3"/>
  <c r="V254" i="3"/>
  <c r="V266" i="3"/>
  <c r="J270" i="3"/>
  <c r="J274" i="3"/>
  <c r="L304" i="3"/>
  <c r="D301" i="3"/>
  <c r="L301" i="3" s="1"/>
  <c r="N301" i="3" s="1"/>
  <c r="D22" i="6"/>
  <c r="R181" i="12"/>
  <c r="N212" i="12"/>
  <c r="N216" i="12"/>
  <c r="R222" i="12"/>
  <c r="R245" i="12"/>
  <c r="Z264" i="12"/>
  <c r="F14" i="6"/>
  <c r="F16" i="6"/>
  <c r="F18" i="6"/>
  <c r="F20" i="6"/>
  <c r="F22" i="6"/>
  <c r="J24" i="6"/>
  <c r="P16" i="9"/>
  <c r="R20" i="9"/>
  <c r="R24" i="9"/>
  <c r="R28" i="9"/>
  <c r="F31" i="9"/>
  <c r="F32" i="9"/>
  <c r="F36" i="9"/>
  <c r="F40" i="9"/>
  <c r="V43" i="9"/>
  <c r="R52" i="9"/>
  <c r="R53" i="9"/>
  <c r="V55" i="9"/>
  <c r="F59" i="9"/>
  <c r="F60" i="9"/>
  <c r="R64" i="9"/>
  <c r="F67" i="9"/>
  <c r="F68" i="9"/>
  <c r="V75" i="9"/>
  <c r="V83" i="9"/>
  <c r="V87" i="9"/>
  <c r="F91" i="9"/>
  <c r="F92" i="9"/>
  <c r="V95" i="9"/>
  <c r="V97" i="9"/>
  <c r="V99" i="9"/>
  <c r="F103" i="9"/>
  <c r="F106" i="9"/>
  <c r="J109" i="12"/>
  <c r="J113" i="12"/>
  <c r="J117" i="12"/>
  <c r="J121" i="12"/>
  <c r="J125" i="12"/>
  <c r="J129" i="12"/>
  <c r="J133" i="12"/>
  <c r="J137" i="12"/>
  <c r="J141" i="12"/>
  <c r="J145" i="12"/>
  <c r="J149" i="12"/>
  <c r="J153" i="12"/>
  <c r="J157" i="12"/>
  <c r="T160" i="12"/>
  <c r="V177" i="12"/>
  <c r="V181" i="12"/>
  <c r="J193" i="12"/>
  <c r="V201" i="12"/>
  <c r="J207" i="12"/>
  <c r="V209" i="12"/>
  <c r="J217" i="12"/>
  <c r="V221" i="12"/>
  <c r="V229" i="12"/>
  <c r="J237" i="12"/>
  <c r="J243" i="12"/>
  <c r="V245" i="12"/>
  <c r="V249" i="12"/>
  <c r="J253" i="12"/>
  <c r="V257" i="12"/>
  <c r="V265" i="12"/>
  <c r="J272" i="12"/>
  <c r="V254" i="15"/>
  <c r="V226" i="15"/>
  <c r="V206" i="15"/>
  <c r="V182" i="15"/>
  <c r="V166" i="15"/>
  <c r="V162" i="15"/>
  <c r="V158" i="15"/>
  <c r="V256" i="15"/>
  <c r="V228" i="15"/>
  <c r="V216" i="15"/>
  <c r="V208" i="15"/>
  <c r="V196" i="15"/>
  <c r="V184" i="15"/>
  <c r="V176" i="15"/>
  <c r="V172" i="15"/>
  <c r="V168" i="15"/>
  <c r="V257" i="15"/>
  <c r="V239" i="15"/>
  <c r="V227" i="15"/>
  <c r="V223" i="15"/>
  <c r="V207" i="15"/>
  <c r="V199" i="15"/>
  <c r="V191" i="15"/>
  <c r="V183" i="15"/>
  <c r="V167" i="15"/>
  <c r="V163" i="15"/>
  <c r="V159" i="15"/>
  <c r="V258" i="15"/>
  <c r="V246" i="15"/>
  <c r="V238" i="15"/>
  <c r="V234" i="15"/>
  <c r="V222" i="15"/>
  <c r="V218" i="15"/>
  <c r="V210" i="15"/>
  <c r="V198" i="15"/>
  <c r="V190" i="15"/>
  <c r="V186" i="15"/>
  <c r="V150" i="15"/>
  <c r="V146" i="15"/>
  <c r="V142" i="15"/>
  <c r="V138" i="15"/>
  <c r="V134" i="15"/>
  <c r="V130" i="15"/>
  <c r="V126" i="15"/>
  <c r="V122" i="15"/>
  <c r="V118" i="15"/>
  <c r="V259" i="15"/>
  <c r="V229" i="15"/>
  <c r="V217" i="15"/>
  <c r="V209" i="15"/>
  <c r="V201" i="15"/>
  <c r="V185" i="15"/>
  <c r="V177" i="15"/>
  <c r="V173" i="15"/>
  <c r="V169" i="15"/>
  <c r="V248" i="15"/>
  <c r="V240" i="15"/>
  <c r="V224" i="15"/>
  <c r="V212" i="15"/>
  <c r="V200" i="15"/>
  <c r="V192" i="15"/>
  <c r="V164" i="15"/>
  <c r="V160" i="15"/>
  <c r="V247" i="15"/>
  <c r="V235" i="15"/>
  <c r="V231" i="15"/>
  <c r="V219" i="15"/>
  <c r="V211" i="15"/>
  <c r="V187" i="15"/>
  <c r="V179" i="15"/>
  <c r="V151" i="15"/>
  <c r="V147" i="15"/>
  <c r="V143" i="15"/>
  <c r="V242" i="15"/>
  <c r="V230" i="15"/>
  <c r="V214" i="15"/>
  <c r="V202" i="15"/>
  <c r="V194" i="15"/>
  <c r="V178" i="15"/>
  <c r="V174" i="15"/>
  <c r="V170" i="15"/>
  <c r="V263" i="15"/>
  <c r="V251" i="15"/>
  <c r="V249" i="15"/>
  <c r="V241" i="15"/>
  <c r="V225" i="15"/>
  <c r="V213" i="15"/>
  <c r="V193" i="15"/>
  <c r="V181" i="15"/>
  <c r="V165" i="15"/>
  <c r="V161" i="15"/>
  <c r="V157" i="15"/>
  <c r="V252" i="15"/>
  <c r="V244" i="15"/>
  <c r="V236" i="15"/>
  <c r="V232" i="15"/>
  <c r="V220" i="15"/>
  <c r="V204" i="15"/>
  <c r="V188" i="15"/>
  <c r="V180" i="15"/>
  <c r="V156" i="15"/>
  <c r="V152" i="15"/>
  <c r="V148" i="15"/>
  <c r="V144" i="15"/>
  <c r="V140" i="15"/>
  <c r="V136" i="15"/>
  <c r="V132" i="15"/>
  <c r="V128" i="15"/>
  <c r="V124" i="15"/>
  <c r="V120" i="15"/>
  <c r="V106" i="15"/>
  <c r="V111" i="15"/>
  <c r="J113" i="15"/>
  <c r="V116" i="15"/>
  <c r="V123" i="15"/>
  <c r="J127" i="15"/>
  <c r="X156" i="15"/>
  <c r="Z156" i="15" s="1"/>
  <c r="N212" i="15"/>
  <c r="J235" i="15"/>
  <c r="J263" i="15"/>
  <c r="L206" i="18"/>
  <c r="Z269" i="18"/>
  <c r="Z31" i="21"/>
  <c r="Z65" i="21"/>
  <c r="H16" i="6"/>
  <c r="R14" i="9"/>
  <c r="R16" i="9"/>
  <c r="R18" i="9"/>
  <c r="V28" i="9"/>
  <c r="R33" i="9"/>
  <c r="R37" i="9"/>
  <c r="R41" i="9"/>
  <c r="R42" i="9"/>
  <c r="V44" i="9"/>
  <c r="F48" i="9"/>
  <c r="F49" i="9"/>
  <c r="V52" i="9"/>
  <c r="V64" i="9"/>
  <c r="R69" i="9"/>
  <c r="F72" i="9"/>
  <c r="F73" i="9"/>
  <c r="R81" i="9"/>
  <c r="F85" i="9"/>
  <c r="V88" i="9"/>
  <c r="V110" i="12"/>
  <c r="V114" i="12"/>
  <c r="V118" i="12"/>
  <c r="V122" i="12"/>
  <c r="V126" i="12"/>
  <c r="V130" i="12"/>
  <c r="V134" i="12"/>
  <c r="V138" i="12"/>
  <c r="V142" i="12"/>
  <c r="V146" i="12"/>
  <c r="V150" i="12"/>
  <c r="V154" i="12"/>
  <c r="V158" i="12"/>
  <c r="V160" i="12"/>
  <c r="V162" i="12"/>
  <c r="J166" i="12"/>
  <c r="J170" i="12"/>
  <c r="V186" i="12"/>
  <c r="J192" i="12"/>
  <c r="V194" i="12"/>
  <c r="J198" i="12"/>
  <c r="J206" i="12"/>
  <c r="V210" i="12"/>
  <c r="J216" i="12"/>
  <c r="V222" i="12"/>
  <c r="J226" i="12"/>
  <c r="V234" i="12"/>
  <c r="V238" i="12"/>
  <c r="J242" i="12"/>
  <c r="J252" i="12"/>
  <c r="V254" i="12"/>
  <c r="V262" i="12"/>
  <c r="V264" i="12"/>
  <c r="J271" i="12"/>
  <c r="V276" i="12"/>
  <c r="Z248" i="15"/>
  <c r="N182" i="18"/>
  <c r="N206" i="18"/>
  <c r="J111" i="21"/>
  <c r="J79" i="21"/>
  <c r="J67" i="21"/>
  <c r="J59" i="21"/>
  <c r="J41" i="21"/>
  <c r="J37" i="21"/>
  <c r="J33" i="21"/>
  <c r="J31" i="21"/>
  <c r="J29" i="21"/>
  <c r="J112" i="21"/>
  <c r="J92" i="21"/>
  <c r="J80" i="21"/>
  <c r="J68" i="21"/>
  <c r="J60" i="21"/>
  <c r="J42" i="21"/>
  <c r="H29" i="21"/>
  <c r="J103" i="21"/>
  <c r="J99" i="21"/>
  <c r="J87" i="21"/>
  <c r="J81" i="21"/>
  <c r="J69" i="21"/>
  <c r="J51" i="21"/>
  <c r="J47" i="21"/>
  <c r="J43" i="21"/>
  <c r="J114" i="21"/>
  <c r="J88" i="21"/>
  <c r="J82" i="21"/>
  <c r="J70" i="21"/>
  <c r="J38" i="21"/>
  <c r="J34" i="21"/>
  <c r="J24" i="21"/>
  <c r="J93" i="21"/>
  <c r="J89" i="21"/>
  <c r="J71" i="21"/>
  <c r="J61" i="21"/>
  <c r="J25" i="21"/>
  <c r="J118" i="21"/>
  <c r="J104" i="21"/>
  <c r="J100" i="21"/>
  <c r="J94" i="21"/>
  <c r="J72" i="21"/>
  <c r="J52" i="21"/>
  <c r="J48" i="21"/>
  <c r="J44" i="21"/>
  <c r="J105" i="21"/>
  <c r="J95" i="21"/>
  <c r="J83" i="21"/>
  <c r="J73" i="21"/>
  <c r="J53" i="21"/>
  <c r="J39" i="21"/>
  <c r="J35" i="21"/>
  <c r="J106" i="21"/>
  <c r="J96" i="21"/>
  <c r="J90" i="21"/>
  <c r="J74" i="21"/>
  <c r="J62" i="21"/>
  <c r="J54" i="21"/>
  <c r="J26" i="21"/>
  <c r="J107" i="21"/>
  <c r="J101" i="21"/>
  <c r="J97" i="21"/>
  <c r="J75" i="21"/>
  <c r="J63" i="21"/>
  <c r="J55" i="21"/>
  <c r="J49" i="21"/>
  <c r="J45" i="21"/>
  <c r="J108" i="21"/>
  <c r="J84" i="21"/>
  <c r="J76" i="21"/>
  <c r="J64" i="21"/>
  <c r="J56" i="21"/>
  <c r="J40" i="21"/>
  <c r="J36" i="21"/>
  <c r="J109" i="21"/>
  <c r="J91" i="21"/>
  <c r="J85" i="21"/>
  <c r="J77" i="21"/>
  <c r="J65" i="21"/>
  <c r="J57" i="21"/>
  <c r="J27" i="21"/>
  <c r="Z85" i="21"/>
  <c r="J102" i="21"/>
  <c r="J14" i="6"/>
  <c r="J16" i="6"/>
  <c r="J18" i="6"/>
  <c r="J20" i="6"/>
  <c r="J22" i="6"/>
  <c r="R26" i="6"/>
  <c r="R28" i="6"/>
  <c r="R29" i="6"/>
  <c r="R31" i="6"/>
  <c r="T16" i="9"/>
  <c r="R19" i="9"/>
  <c r="F22" i="9"/>
  <c r="F26" i="9"/>
  <c r="F30" i="9"/>
  <c r="V33" i="9"/>
  <c r="V37" i="9"/>
  <c r="V41" i="9"/>
  <c r="V53" i="9"/>
  <c r="F57" i="9"/>
  <c r="F58" i="9"/>
  <c r="R62" i="9"/>
  <c r="R63" i="9"/>
  <c r="F66" i="9"/>
  <c r="V69" i="9"/>
  <c r="R74" i="9"/>
  <c r="F77" i="9"/>
  <c r="F78" i="9"/>
  <c r="V81" i="9"/>
  <c r="R86" i="9"/>
  <c r="F90" i="9"/>
  <c r="R94" i="9"/>
  <c r="V163" i="12"/>
  <c r="V167" i="12"/>
  <c r="V171" i="12"/>
  <c r="J175" i="12"/>
  <c r="J179" i="12"/>
  <c r="J183" i="12"/>
  <c r="V187" i="12"/>
  <c r="J191" i="12"/>
  <c r="J197" i="12"/>
  <c r="V199" i="12"/>
  <c r="J205" i="12"/>
  <c r="X210" i="12"/>
  <c r="J215" i="12"/>
  <c r="V219" i="12"/>
  <c r="V227" i="12"/>
  <c r="J231" i="12"/>
  <c r="J247" i="12"/>
  <c r="J251" i="12"/>
  <c r="V255" i="12"/>
  <c r="J259" i="12"/>
  <c r="J270" i="12"/>
  <c r="Z12" i="15"/>
  <c r="J105" i="15"/>
  <c r="V108" i="15"/>
  <c r="J115" i="15"/>
  <c r="V125" i="15"/>
  <c r="J129" i="15"/>
  <c r="Z168" i="15"/>
  <c r="V205" i="15"/>
  <c r="J231" i="15"/>
  <c r="X244" i="15"/>
  <c r="D251" i="15"/>
  <c r="L251" i="15" s="1"/>
  <c r="N251" i="15" s="1"/>
  <c r="L258" i="15"/>
  <c r="N258" i="15" s="1"/>
  <c r="J66" i="21"/>
  <c r="R24" i="6"/>
  <c r="V14" i="9"/>
  <c r="V16" i="9"/>
  <c r="V18" i="9"/>
  <c r="R23" i="9"/>
  <c r="R27" i="9"/>
  <c r="F35" i="9"/>
  <c r="F39" i="9"/>
  <c r="V42" i="9"/>
  <c r="F46" i="9"/>
  <c r="F47" i="9"/>
  <c r="R51" i="9"/>
  <c r="V62" i="9"/>
  <c r="F71" i="9"/>
  <c r="V74" i="9"/>
  <c r="R79" i="9"/>
  <c r="R80" i="9"/>
  <c r="V86" i="9"/>
  <c r="V94" i="9"/>
  <c r="F101" i="9"/>
  <c r="X13" i="12"/>
  <c r="Z13" i="12" s="1"/>
  <c r="J108" i="12"/>
  <c r="J112" i="12"/>
  <c r="J116" i="12"/>
  <c r="J120" i="12"/>
  <c r="J124" i="12"/>
  <c r="J128" i="12"/>
  <c r="J132" i="12"/>
  <c r="J136" i="12"/>
  <c r="J140" i="12"/>
  <c r="J144" i="12"/>
  <c r="J148" i="12"/>
  <c r="J152" i="12"/>
  <c r="J156" i="12"/>
  <c r="J174" i="12"/>
  <c r="V176" i="12"/>
  <c r="V180" i="12"/>
  <c r="V184" i="12"/>
  <c r="J190" i="12"/>
  <c r="J196" i="12"/>
  <c r="V200" i="12"/>
  <c r="J204" i="12"/>
  <c r="V208" i="12"/>
  <c r="J214" i="12"/>
  <c r="V220" i="12"/>
  <c r="V228" i="12"/>
  <c r="V232" i="12"/>
  <c r="J236" i="12"/>
  <c r="V244" i="12"/>
  <c r="V248" i="12"/>
  <c r="V260" i="12"/>
  <c r="J269" i="12"/>
  <c r="V113" i="15"/>
  <c r="V127" i="15"/>
  <c r="J131" i="15"/>
  <c r="N210" i="15"/>
  <c r="Z244" i="15"/>
  <c r="J249" i="15"/>
  <c r="P12" i="18"/>
  <c r="Z182" i="18"/>
  <c r="N204" i="18"/>
  <c r="Z206" i="18"/>
  <c r="N222" i="18"/>
  <c r="Z226" i="18"/>
  <c r="X248" i="18"/>
  <c r="Z248" i="18" s="1"/>
  <c r="J50" i="21"/>
  <c r="L77" i="21"/>
  <c r="N79" i="21"/>
  <c r="J86" i="21"/>
  <c r="L109" i="21"/>
  <c r="P12" i="24"/>
  <c r="R60" i="9"/>
  <c r="R61" i="9"/>
  <c r="R68" i="9"/>
  <c r="F76" i="9"/>
  <c r="V79" i="9"/>
  <c r="F83" i="9"/>
  <c r="F84" i="9"/>
  <c r="R92" i="9"/>
  <c r="R93" i="9"/>
  <c r="F97" i="9"/>
  <c r="F99" i="9"/>
  <c r="V117" i="12"/>
  <c r="V121" i="12"/>
  <c r="V125" i="12"/>
  <c r="V129" i="12"/>
  <c r="V133" i="12"/>
  <c r="V137" i="12"/>
  <c r="V141" i="12"/>
  <c r="V145" i="12"/>
  <c r="V149" i="12"/>
  <c r="V153" i="12"/>
  <c r="V157" i="12"/>
  <c r="J165" i="12"/>
  <c r="J169" i="12"/>
  <c r="J173" i="12"/>
  <c r="V185" i="12"/>
  <c r="J189" i="12"/>
  <c r="V193" i="12"/>
  <c r="J203" i="12"/>
  <c r="J213" i="12"/>
  <c r="V217" i="12"/>
  <c r="J225" i="12"/>
  <c r="V233" i="12"/>
  <c r="V237" i="12"/>
  <c r="J241" i="12"/>
  <c r="V253" i="12"/>
  <c r="V261" i="12"/>
  <c r="J268" i="12"/>
  <c r="V103" i="15"/>
  <c r="J107" i="15"/>
  <c r="V171" i="15"/>
  <c r="J193" i="15"/>
  <c r="V203" i="15"/>
  <c r="V233" i="15"/>
  <c r="J247" i="15"/>
  <c r="F110" i="21"/>
  <c r="F109" i="21"/>
  <c r="F102" i="21"/>
  <c r="F98" i="21"/>
  <c r="F86" i="21"/>
  <c r="F85" i="21"/>
  <c r="F78" i="21"/>
  <c r="F77" i="21"/>
  <c r="F66" i="21"/>
  <c r="F65" i="21"/>
  <c r="F58" i="21"/>
  <c r="F57" i="21"/>
  <c r="F50" i="21"/>
  <c r="F46" i="21"/>
  <c r="F41" i="21"/>
  <c r="F37" i="21"/>
  <c r="F33" i="21"/>
  <c r="F32" i="21"/>
  <c r="F112" i="21"/>
  <c r="F111" i="21"/>
  <c r="F92" i="21"/>
  <c r="F80" i="21"/>
  <c r="F79" i="21"/>
  <c r="F68" i="21"/>
  <c r="F67" i="21"/>
  <c r="F60" i="21"/>
  <c r="F59" i="21"/>
  <c r="F31" i="21"/>
  <c r="F29" i="21"/>
  <c r="F103" i="21"/>
  <c r="F99" i="21"/>
  <c r="F87" i="21"/>
  <c r="F51" i="21"/>
  <c r="F47" i="21"/>
  <c r="F43" i="21"/>
  <c r="F42" i="21"/>
  <c r="D29" i="21"/>
  <c r="F82" i="21"/>
  <c r="F81" i="21"/>
  <c r="F70" i="21"/>
  <c r="F69" i="21"/>
  <c r="F38" i="21"/>
  <c r="F34" i="21"/>
  <c r="F114" i="21"/>
  <c r="F93" i="21"/>
  <c r="F89" i="21"/>
  <c r="F88" i="21"/>
  <c r="F61" i="21"/>
  <c r="F25" i="21"/>
  <c r="F24" i="21"/>
  <c r="F118" i="21"/>
  <c r="F104" i="21"/>
  <c r="F100" i="21"/>
  <c r="F72" i="21"/>
  <c r="F71" i="21"/>
  <c r="F52" i="21"/>
  <c r="F48" i="21"/>
  <c r="F44" i="21"/>
  <c r="F95" i="21"/>
  <c r="F94" i="21"/>
  <c r="F83" i="21"/>
  <c r="F39" i="21"/>
  <c r="F35" i="21"/>
  <c r="F106" i="21"/>
  <c r="F105" i="21"/>
  <c r="F90" i="21"/>
  <c r="F74" i="21"/>
  <c r="F73" i="21"/>
  <c r="F62" i="21"/>
  <c r="F54" i="21"/>
  <c r="F53" i="21"/>
  <c r="F26" i="21"/>
  <c r="F101" i="21"/>
  <c r="F97" i="21"/>
  <c r="F96" i="21"/>
  <c r="F49" i="21"/>
  <c r="F45" i="21"/>
  <c r="F108" i="21"/>
  <c r="F107" i="21"/>
  <c r="F84" i="21"/>
  <c r="F76" i="21"/>
  <c r="F75" i="21"/>
  <c r="F64" i="21"/>
  <c r="F63" i="21"/>
  <c r="F56" i="21"/>
  <c r="F55" i="21"/>
  <c r="F40" i="21"/>
  <c r="F36" i="21"/>
  <c r="L12" i="21"/>
  <c r="N12" i="21" s="1"/>
  <c r="F91" i="21"/>
  <c r="N109" i="21"/>
  <c r="L12" i="6"/>
  <c r="P16" i="6"/>
  <c r="F21" i="9"/>
  <c r="F25" i="9"/>
  <c r="F29" i="9"/>
  <c r="V32" i="9"/>
  <c r="V36" i="9"/>
  <c r="V40" i="9"/>
  <c r="F44" i="9"/>
  <c r="F45" i="9"/>
  <c r="R49" i="9"/>
  <c r="R50" i="9"/>
  <c r="V60" i="9"/>
  <c r="F65" i="9"/>
  <c r="V68" i="9"/>
  <c r="R73" i="9"/>
  <c r="V80" i="9"/>
  <c r="R85" i="9"/>
  <c r="F88" i="9"/>
  <c r="F89" i="9"/>
  <c r="V92" i="9"/>
  <c r="V166" i="12"/>
  <c r="V170" i="12"/>
  <c r="J178" i="12"/>
  <c r="J182" i="12"/>
  <c r="V198" i="12"/>
  <c r="J202" i="12"/>
  <c r="V206" i="12"/>
  <c r="J212" i="12"/>
  <c r="V218" i="12"/>
  <c r="J224" i="12"/>
  <c r="V226" i="12"/>
  <c r="J230" i="12"/>
  <c r="J240" i="12"/>
  <c r="V242" i="12"/>
  <c r="J246" i="12"/>
  <c r="J250" i="12"/>
  <c r="J258" i="12"/>
  <c r="J267" i="12"/>
  <c r="V272" i="12"/>
  <c r="L13" i="15"/>
  <c r="N13" i="15" s="1"/>
  <c r="V105" i="15"/>
  <c r="V110" i="15"/>
  <c r="V115" i="15"/>
  <c r="J117" i="15"/>
  <c r="V129" i="15"/>
  <c r="J133" i="15"/>
  <c r="J201" i="15"/>
  <c r="Z210" i="15"/>
  <c r="J213" i="15"/>
  <c r="Z204" i="18"/>
  <c r="N211" i="18"/>
  <c r="Z224" i="18"/>
  <c r="N237" i="18"/>
  <c r="N276" i="18"/>
  <c r="J98" i="21"/>
  <c r="Z111" i="21"/>
  <c r="N12" i="6"/>
  <c r="R14" i="6"/>
  <c r="R16" i="6"/>
  <c r="R18" i="6"/>
  <c r="R20" i="6"/>
  <c r="D16" i="9"/>
  <c r="R22" i="9"/>
  <c r="R26" i="9"/>
  <c r="R30" i="9"/>
  <c r="R31" i="9"/>
  <c r="F34" i="9"/>
  <c r="F38" i="9"/>
  <c r="V49" i="9"/>
  <c r="F53" i="9"/>
  <c r="F54" i="9"/>
  <c r="R58" i="9"/>
  <c r="R59" i="9"/>
  <c r="V61" i="9"/>
  <c r="R66" i="9"/>
  <c r="R67" i="9"/>
  <c r="F70" i="9"/>
  <c r="V73" i="9"/>
  <c r="R78" i="9"/>
  <c r="F82" i="9"/>
  <c r="V85" i="9"/>
  <c r="R90" i="9"/>
  <c r="R91" i="9"/>
  <c r="V93" i="9"/>
  <c r="R103" i="9"/>
  <c r="R106" i="9"/>
  <c r="J111" i="12"/>
  <c r="J115" i="12"/>
  <c r="J119" i="12"/>
  <c r="J123" i="12"/>
  <c r="J127" i="12"/>
  <c r="J131" i="12"/>
  <c r="J135" i="12"/>
  <c r="J139" i="12"/>
  <c r="J143" i="12"/>
  <c r="J147" i="12"/>
  <c r="J151" i="12"/>
  <c r="J155" i="12"/>
  <c r="H160" i="12"/>
  <c r="V175" i="12"/>
  <c r="V179" i="12"/>
  <c r="V183" i="12"/>
  <c r="V191" i="12"/>
  <c r="J195" i="12"/>
  <c r="V207" i="12"/>
  <c r="J211" i="12"/>
  <c r="V215" i="12"/>
  <c r="X218" i="12"/>
  <c r="Z218" i="12" s="1"/>
  <c r="J223" i="12"/>
  <c r="L224" i="12"/>
  <c r="N224" i="12" s="1"/>
  <c r="V231" i="12"/>
  <c r="J235" i="12"/>
  <c r="J239" i="12"/>
  <c r="L240" i="12"/>
  <c r="N240" i="12" s="1"/>
  <c r="V243" i="12"/>
  <c r="V247" i="12"/>
  <c r="V251" i="12"/>
  <c r="J257" i="12"/>
  <c r="V259" i="12"/>
  <c r="J266" i="12"/>
  <c r="V271" i="12"/>
  <c r="J119" i="15"/>
  <c r="V131" i="15"/>
  <c r="J135" i="15"/>
  <c r="J179" i="15"/>
  <c r="V195" i="15"/>
  <c r="J225" i="15"/>
  <c r="D12" i="18"/>
  <c r="Z222" i="18"/>
  <c r="N57" i="21"/>
  <c r="Z79" i="21"/>
  <c r="N105" i="21"/>
  <c r="Z109" i="21"/>
  <c r="X307" i="3"/>
  <c r="Z307" i="3" s="1"/>
  <c r="T16" i="6"/>
  <c r="V22" i="9"/>
  <c r="V26" i="9"/>
  <c r="V30" i="9"/>
  <c r="R35" i="9"/>
  <c r="R39" i="9"/>
  <c r="F42" i="9"/>
  <c r="F43" i="9"/>
  <c r="R47" i="9"/>
  <c r="R48" i="9"/>
  <c r="V50" i="9"/>
  <c r="V58" i="9"/>
  <c r="V66" i="9"/>
  <c r="R71" i="9"/>
  <c r="R72" i="9"/>
  <c r="F75" i="9"/>
  <c r="V78" i="9"/>
  <c r="F87" i="9"/>
  <c r="V90" i="9"/>
  <c r="F95" i="9"/>
  <c r="R101" i="9"/>
  <c r="V108" i="12"/>
  <c r="V112" i="12"/>
  <c r="V116" i="12"/>
  <c r="V120" i="12"/>
  <c r="V124" i="12"/>
  <c r="V128" i="12"/>
  <c r="V132" i="12"/>
  <c r="V136" i="12"/>
  <c r="V140" i="12"/>
  <c r="V144" i="12"/>
  <c r="V148" i="12"/>
  <c r="V152" i="12"/>
  <c r="V156" i="12"/>
  <c r="J160" i="12"/>
  <c r="J162" i="12"/>
  <c r="J164" i="12"/>
  <c r="J168" i="12"/>
  <c r="J172" i="12"/>
  <c r="J188" i="12"/>
  <c r="V192" i="12"/>
  <c r="V196" i="12"/>
  <c r="V204" i="12"/>
  <c r="J210" i="12"/>
  <c r="V216" i="12"/>
  <c r="J222" i="12"/>
  <c r="V236" i="12"/>
  <c r="V252" i="12"/>
  <c r="J256" i="12"/>
  <c r="J264" i="12"/>
  <c r="J265" i="12"/>
  <c r="V270" i="12"/>
  <c r="X271" i="12"/>
  <c r="Z271" i="12" s="1"/>
  <c r="V107" i="15"/>
  <c r="J109" i="15"/>
  <c r="V112" i="15"/>
  <c r="J139" i="15"/>
  <c r="N186" i="15"/>
  <c r="V197" i="15"/>
  <c r="Z208" i="15"/>
  <c r="J211" i="15"/>
  <c r="V215" i="15"/>
  <c r="N218" i="15"/>
  <c r="V245" i="15"/>
  <c r="Z121" i="18"/>
  <c r="X216" i="18"/>
  <c r="N256" i="18"/>
  <c r="N55" i="21"/>
  <c r="V14" i="6"/>
  <c r="V16" i="6"/>
  <c r="V18" i="6"/>
  <c r="V20" i="6"/>
  <c r="F26" i="6"/>
  <c r="F28" i="6"/>
  <c r="F29" i="6"/>
  <c r="F19" i="9"/>
  <c r="F20" i="9"/>
  <c r="F24" i="9"/>
  <c r="F28" i="9"/>
  <c r="V31" i="9"/>
  <c r="V35" i="9"/>
  <c r="V39" i="9"/>
  <c r="V47" i="9"/>
  <c r="F52" i="9"/>
  <c r="R56" i="9"/>
  <c r="R57" i="9"/>
  <c r="V59" i="9"/>
  <c r="F63" i="9"/>
  <c r="F64" i="9"/>
  <c r="V67" i="9"/>
  <c r="V71" i="9"/>
  <c r="R76" i="9"/>
  <c r="R77" i="9"/>
  <c r="R84" i="9"/>
  <c r="V91" i="9"/>
  <c r="V101" i="9"/>
  <c r="V103" i="9"/>
  <c r="V106" i="9"/>
  <c r="J163" i="12"/>
  <c r="V165" i="12"/>
  <c r="V169" i="12"/>
  <c r="V173" i="12"/>
  <c r="J177" i="12"/>
  <c r="J181" i="12"/>
  <c r="J187" i="12"/>
  <c r="V189" i="12"/>
  <c r="V197" i="12"/>
  <c r="J201" i="12"/>
  <c r="V205" i="12"/>
  <c r="J209" i="12"/>
  <c r="V213" i="12"/>
  <c r="J221" i="12"/>
  <c r="V225" i="12"/>
  <c r="J229" i="12"/>
  <c r="V241" i="12"/>
  <c r="J245" i="12"/>
  <c r="J249" i="12"/>
  <c r="J255" i="12"/>
  <c r="V269" i="12"/>
  <c r="J248" i="15"/>
  <c r="J230" i="15"/>
  <c r="J212" i="15"/>
  <c r="J202" i="15"/>
  <c r="J178" i="15"/>
  <c r="J174" i="15"/>
  <c r="J170" i="15"/>
  <c r="J242" i="15"/>
  <c r="J236" i="15"/>
  <c r="J232" i="15"/>
  <c r="J220" i="15"/>
  <c r="J214" i="15"/>
  <c r="J194" i="15"/>
  <c r="J188" i="15"/>
  <c r="J180" i="15"/>
  <c r="J152" i="15"/>
  <c r="J148" i="15"/>
  <c r="J144" i="15"/>
  <c r="J140" i="15"/>
  <c r="J136" i="15"/>
  <c r="J132" i="15"/>
  <c r="J128" i="15"/>
  <c r="J124" i="15"/>
  <c r="J120" i="15"/>
  <c r="J116" i="15"/>
  <c r="J112" i="15"/>
  <c r="J108" i="15"/>
  <c r="J104" i="15"/>
  <c r="J252" i="15"/>
  <c r="J251" i="15"/>
  <c r="J243" i="15"/>
  <c r="J215" i="15"/>
  <c r="J203" i="15"/>
  <c r="J195" i="15"/>
  <c r="J181" i="15"/>
  <c r="J175" i="15"/>
  <c r="J171" i="15"/>
  <c r="J157" i="15"/>
  <c r="J253" i="15"/>
  <c r="J244" i="15"/>
  <c r="J226" i="15"/>
  <c r="J204" i="15"/>
  <c r="J182" i="15"/>
  <c r="J166" i="15"/>
  <c r="J162" i="15"/>
  <c r="J158" i="15"/>
  <c r="J156" i="15"/>
  <c r="J154" i="15"/>
  <c r="J254" i="15"/>
  <c r="J245" i="15"/>
  <c r="J237" i="15"/>
  <c r="J233" i="15"/>
  <c r="J221" i="15"/>
  <c r="J205" i="15"/>
  <c r="J189" i="15"/>
  <c r="H154" i="15"/>
  <c r="J149" i="15"/>
  <c r="J145" i="15"/>
  <c r="J141" i="15"/>
  <c r="J137" i="15"/>
  <c r="J255" i="15"/>
  <c r="J216" i="15"/>
  <c r="J206" i="15"/>
  <c r="J196" i="15"/>
  <c r="J176" i="15"/>
  <c r="J172" i="15"/>
  <c r="J256" i="15"/>
  <c r="J227" i="15"/>
  <c r="J207" i="15"/>
  <c r="J197" i="15"/>
  <c r="J183" i="15"/>
  <c r="J167" i="15"/>
  <c r="J163" i="15"/>
  <c r="J159" i="15"/>
  <c r="J257" i="15"/>
  <c r="J246" i="15"/>
  <c r="J238" i="15"/>
  <c r="J234" i="15"/>
  <c r="J228" i="15"/>
  <c r="J222" i="15"/>
  <c r="J208" i="15"/>
  <c r="J198" i="15"/>
  <c r="J190" i="15"/>
  <c r="J184" i="15"/>
  <c r="J168" i="15"/>
  <c r="J150" i="15"/>
  <c r="J146" i="15"/>
  <c r="J142" i="15"/>
  <c r="J138" i="15"/>
  <c r="J134" i="15"/>
  <c r="J130" i="15"/>
  <c r="J126" i="15"/>
  <c r="J122" i="15"/>
  <c r="J118" i="15"/>
  <c r="J114" i="15"/>
  <c r="J110" i="15"/>
  <c r="J106" i="15"/>
  <c r="J258" i="15"/>
  <c r="J239" i="15"/>
  <c r="J229" i="15"/>
  <c r="J223" i="15"/>
  <c r="J217" i="15"/>
  <c r="J209" i="15"/>
  <c r="J199" i="15"/>
  <c r="J191" i="15"/>
  <c r="J185" i="15"/>
  <c r="J177" i="15"/>
  <c r="J173" i="15"/>
  <c r="J169" i="15"/>
  <c r="J259" i="15"/>
  <c r="J240" i="15"/>
  <c r="J224" i="15"/>
  <c r="J218" i="15"/>
  <c r="J210" i="15"/>
  <c r="J200" i="15"/>
  <c r="J192" i="15"/>
  <c r="J186" i="15"/>
  <c r="J164" i="15"/>
  <c r="J160" i="15"/>
  <c r="V117" i="15"/>
  <c r="J121" i="15"/>
  <c r="V133" i="15"/>
  <c r="J143" i="15"/>
  <c r="J147" i="15"/>
  <c r="J151" i="15"/>
  <c r="Z157" i="15"/>
  <c r="J165" i="15"/>
  <c r="V189" i="15"/>
  <c r="Z216" i="18"/>
  <c r="X264" i="18"/>
  <c r="J46" i="21"/>
  <c r="Z57" i="21"/>
  <c r="N67" i="21"/>
  <c r="N71" i="21"/>
  <c r="J78" i="21"/>
  <c r="Z105" i="21"/>
  <c r="J110" i="21"/>
  <c r="R21" i="9"/>
  <c r="R25" i="9"/>
  <c r="R29" i="9"/>
  <c r="F33" i="9"/>
  <c r="F37" i="9"/>
  <c r="F41" i="9"/>
  <c r="R45" i="9"/>
  <c r="R46" i="9"/>
  <c r="V48" i="9"/>
  <c r="V56" i="9"/>
  <c r="X59" i="9"/>
  <c r="Z59" i="9" s="1"/>
  <c r="R65" i="9"/>
  <c r="F69" i="9"/>
  <c r="V72" i="9"/>
  <c r="V76" i="9"/>
  <c r="F80" i="9"/>
  <c r="F81" i="9"/>
  <c r="V84" i="9"/>
  <c r="R89" i="9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J158" i="12"/>
  <c r="V174" i="12"/>
  <c r="V178" i="12"/>
  <c r="V182" i="12"/>
  <c r="J186" i="12"/>
  <c r="V190" i="12"/>
  <c r="J194" i="12"/>
  <c r="J200" i="12"/>
  <c r="V202" i="12"/>
  <c r="V214" i="12"/>
  <c r="J220" i="12"/>
  <c r="J228" i="12"/>
  <c r="V230" i="12"/>
  <c r="J234" i="12"/>
  <c r="J238" i="12"/>
  <c r="V246" i="12"/>
  <c r="V250" i="12"/>
  <c r="J254" i="12"/>
  <c r="V258" i="12"/>
  <c r="J262" i="12"/>
  <c r="V268" i="12"/>
  <c r="J276" i="12"/>
  <c r="J111" i="15"/>
  <c r="V119" i="15"/>
  <c r="J123" i="15"/>
  <c r="V135" i="15"/>
  <c r="T154" i="15"/>
  <c r="V154" i="15" s="1"/>
  <c r="Z206" i="15"/>
  <c r="V221" i="15"/>
  <c r="V243" i="15"/>
  <c r="P251" i="15"/>
  <c r="X251" i="15" s="1"/>
  <c r="Z251" i="15" s="1"/>
  <c r="X253" i="15"/>
  <c r="Z264" i="18"/>
  <c r="Z68" i="30"/>
  <c r="J26" i="6"/>
  <c r="J28" i="6"/>
  <c r="J29" i="6"/>
  <c r="V25" i="9"/>
  <c r="V29" i="9"/>
  <c r="R34" i="9"/>
  <c r="R38" i="9"/>
  <c r="V45" i="9"/>
  <c r="R54" i="9"/>
  <c r="R55" i="9"/>
  <c r="V57" i="9"/>
  <c r="F61" i="9"/>
  <c r="F62" i="9"/>
  <c r="V65" i="9"/>
  <c r="R70" i="9"/>
  <c r="F74" i="9"/>
  <c r="V77" i="9"/>
  <c r="R82" i="9"/>
  <c r="R83" i="9"/>
  <c r="F86" i="9"/>
  <c r="F93" i="9"/>
  <c r="R97" i="9"/>
  <c r="V107" i="12"/>
  <c r="V111" i="12"/>
  <c r="V115" i="12"/>
  <c r="V119" i="12"/>
  <c r="V123" i="12"/>
  <c r="V127" i="12"/>
  <c r="V131" i="12"/>
  <c r="V135" i="12"/>
  <c r="V139" i="12"/>
  <c r="V143" i="12"/>
  <c r="V147" i="12"/>
  <c r="V151" i="12"/>
  <c r="V155" i="12"/>
  <c r="J167" i="12"/>
  <c r="J171" i="12"/>
  <c r="J185" i="12"/>
  <c r="V195" i="12"/>
  <c r="J199" i="12"/>
  <c r="V203" i="12"/>
  <c r="V211" i="12"/>
  <c r="J219" i="12"/>
  <c r="V223" i="12"/>
  <c r="J227" i="12"/>
  <c r="J233" i="12"/>
  <c r="V235" i="12"/>
  <c r="V239" i="12"/>
  <c r="V104" i="15"/>
  <c r="V109" i="15"/>
  <c r="V114" i="15"/>
  <c r="V137" i="15"/>
  <c r="V139" i="15"/>
  <c r="J161" i="15"/>
  <c r="X204" i="15"/>
  <c r="Z204" i="15" s="1"/>
  <c r="X206" i="15"/>
  <c r="N248" i="15"/>
  <c r="V253" i="15"/>
  <c r="V255" i="15"/>
  <c r="Z181" i="18"/>
  <c r="J58" i="21"/>
  <c r="N65" i="21"/>
  <c r="Z71" i="21"/>
  <c r="L85" i="21"/>
  <c r="N85" i="21" s="1"/>
  <c r="J182" i="18"/>
  <c r="V184" i="18"/>
  <c r="V188" i="18"/>
  <c r="V192" i="18"/>
  <c r="J196" i="18"/>
  <c r="J200" i="18"/>
  <c r="J206" i="18"/>
  <c r="V208" i="18"/>
  <c r="V216" i="18"/>
  <c r="J220" i="18"/>
  <c r="V224" i="18"/>
  <c r="J228" i="18"/>
  <c r="V232" i="18"/>
  <c r="J240" i="18"/>
  <c r="V248" i="18"/>
  <c r="V252" i="18"/>
  <c r="V264" i="18"/>
  <c r="J268" i="18"/>
  <c r="J276" i="18"/>
  <c r="J277" i="18"/>
  <c r="V282" i="18"/>
  <c r="J290" i="18"/>
  <c r="V43" i="21"/>
  <c r="V47" i="21"/>
  <c r="V51" i="21"/>
  <c r="V71" i="21"/>
  <c r="V87" i="21"/>
  <c r="V99" i="21"/>
  <c r="V103" i="21"/>
  <c r="J52" i="24"/>
  <c r="V55" i="24"/>
  <c r="Z41" i="27"/>
  <c r="Z103" i="27"/>
  <c r="F111" i="27"/>
  <c r="D12" i="30"/>
  <c r="L24" i="30"/>
  <c r="N42" i="30"/>
  <c r="J125" i="18"/>
  <c r="J129" i="18"/>
  <c r="J133" i="18"/>
  <c r="J137" i="18"/>
  <c r="J141" i="18"/>
  <c r="J145" i="18"/>
  <c r="J149" i="18"/>
  <c r="J153" i="18"/>
  <c r="J157" i="18"/>
  <c r="J161" i="18"/>
  <c r="J165" i="18"/>
  <c r="J169" i="18"/>
  <c r="J173" i="18"/>
  <c r="J177" i="18"/>
  <c r="V193" i="18"/>
  <c r="V197" i="18"/>
  <c r="V201" i="18"/>
  <c r="J205" i="18"/>
  <c r="V209" i="18"/>
  <c r="J213" i="18"/>
  <c r="J219" i="18"/>
  <c r="V221" i="18"/>
  <c r="V233" i="18"/>
  <c r="J239" i="18"/>
  <c r="V241" i="18"/>
  <c r="J245" i="18"/>
  <c r="V253" i="18"/>
  <c r="J257" i="18"/>
  <c r="J261" i="18"/>
  <c r="J267" i="18"/>
  <c r="V281" i="18"/>
  <c r="V60" i="21"/>
  <c r="V68" i="21"/>
  <c r="V80" i="21"/>
  <c r="V88" i="21"/>
  <c r="V92" i="21"/>
  <c r="V112" i="21"/>
  <c r="V114" i="21"/>
  <c r="V49" i="24"/>
  <c r="V59" i="24"/>
  <c r="L78" i="24"/>
  <c r="N78" i="24" s="1"/>
  <c r="V122" i="18"/>
  <c r="V126" i="18"/>
  <c r="V130" i="18"/>
  <c r="V134" i="18"/>
  <c r="V138" i="18"/>
  <c r="V142" i="18"/>
  <c r="V146" i="18"/>
  <c r="V150" i="18"/>
  <c r="V154" i="18"/>
  <c r="V158" i="18"/>
  <c r="V162" i="18"/>
  <c r="V166" i="18"/>
  <c r="V170" i="18"/>
  <c r="V174" i="18"/>
  <c r="J186" i="18"/>
  <c r="J190" i="18"/>
  <c r="J204" i="18"/>
  <c r="V214" i="18"/>
  <c r="J218" i="18"/>
  <c r="V222" i="18"/>
  <c r="V230" i="18"/>
  <c r="J238" i="18"/>
  <c r="V246" i="18"/>
  <c r="J250" i="18"/>
  <c r="J256" i="18"/>
  <c r="V258" i="18"/>
  <c r="V262" i="18"/>
  <c r="J266" i="18"/>
  <c r="V270" i="18"/>
  <c r="J274" i="18"/>
  <c r="V280" i="18"/>
  <c r="P12" i="21"/>
  <c r="V33" i="21"/>
  <c r="V37" i="21"/>
  <c r="V41" i="21"/>
  <c r="V69" i="21"/>
  <c r="V81" i="21"/>
  <c r="V63" i="24"/>
  <c r="V71" i="24"/>
  <c r="N88" i="24"/>
  <c r="V107" i="24"/>
  <c r="F124" i="27"/>
  <c r="F86" i="27"/>
  <c r="F70" i="27"/>
  <c r="F66" i="27"/>
  <c r="F62" i="27"/>
  <c r="F113" i="27"/>
  <c r="F112" i="27"/>
  <c r="F105" i="27"/>
  <c r="F97" i="27"/>
  <c r="F96" i="27"/>
  <c r="F53" i="27"/>
  <c r="F49" i="27"/>
  <c r="F45" i="27"/>
  <c r="F88" i="27"/>
  <c r="F87" i="27"/>
  <c r="F80" i="27"/>
  <c r="F76" i="27"/>
  <c r="F72" i="27"/>
  <c r="F71" i="27"/>
  <c r="F99" i="27"/>
  <c r="F98" i="27"/>
  <c r="F67" i="27"/>
  <c r="F63" i="27"/>
  <c r="F114" i="27"/>
  <c r="F106" i="27"/>
  <c r="F90" i="27"/>
  <c r="F89" i="27"/>
  <c r="F54" i="27"/>
  <c r="F50" i="27"/>
  <c r="F46" i="27"/>
  <c r="F42" i="27"/>
  <c r="F41" i="27"/>
  <c r="F81" i="27"/>
  <c r="F77" i="27"/>
  <c r="F73" i="27"/>
  <c r="F117" i="27"/>
  <c r="F108" i="27"/>
  <c r="F107" i="27"/>
  <c r="F100" i="27"/>
  <c r="F92" i="27"/>
  <c r="F91" i="27"/>
  <c r="F68" i="27"/>
  <c r="F64" i="27"/>
  <c r="F118" i="27"/>
  <c r="F116" i="27"/>
  <c r="F83" i="27"/>
  <c r="F82" i="27"/>
  <c r="F55" i="27"/>
  <c r="F51" i="27"/>
  <c r="F47" i="27"/>
  <c r="F43" i="27"/>
  <c r="F119" i="27"/>
  <c r="F102" i="27"/>
  <c r="F101" i="27"/>
  <c r="F78" i="27"/>
  <c r="F74" i="27"/>
  <c r="L12" i="27"/>
  <c r="F120" i="27"/>
  <c r="F109" i="27"/>
  <c r="F93" i="27"/>
  <c r="F85" i="27"/>
  <c r="F84" i="27"/>
  <c r="F69" i="27"/>
  <c r="F65" i="27"/>
  <c r="F61" i="27"/>
  <c r="F60" i="27"/>
  <c r="F104" i="27"/>
  <c r="F103" i="27"/>
  <c r="F59" i="27"/>
  <c r="F52" i="27"/>
  <c r="F48" i="27"/>
  <c r="F44" i="27"/>
  <c r="D57" i="27"/>
  <c r="F57" i="27" s="1"/>
  <c r="F79" i="27"/>
  <c r="Z42" i="30"/>
  <c r="N69" i="30"/>
  <c r="V183" i="18"/>
  <c r="V187" i="18"/>
  <c r="V191" i="18"/>
  <c r="J195" i="18"/>
  <c r="J199" i="18"/>
  <c r="J203" i="18"/>
  <c r="V207" i="18"/>
  <c r="J227" i="18"/>
  <c r="V231" i="18"/>
  <c r="J237" i="18"/>
  <c r="V251" i="18"/>
  <c r="J255" i="18"/>
  <c r="J273" i="18"/>
  <c r="P276" i="18"/>
  <c r="X276" i="18" s="1"/>
  <c r="Z276" i="18" s="1"/>
  <c r="V279" i="18"/>
  <c r="J286" i="18"/>
  <c r="T29" i="21"/>
  <c r="V29" i="21" s="1"/>
  <c r="V42" i="21"/>
  <c r="V46" i="21"/>
  <c r="V50" i="21"/>
  <c r="V58" i="21"/>
  <c r="V66" i="21"/>
  <c r="V78" i="21"/>
  <c r="V86" i="21"/>
  <c r="V98" i="21"/>
  <c r="V102" i="21"/>
  <c r="V110" i="21"/>
  <c r="D12" i="24"/>
  <c r="J51" i="24"/>
  <c r="P12" i="27"/>
  <c r="X18" i="27"/>
  <c r="Z101" i="27"/>
  <c r="J124" i="18"/>
  <c r="J128" i="18"/>
  <c r="J132" i="18"/>
  <c r="J136" i="18"/>
  <c r="J140" i="18"/>
  <c r="J144" i="18"/>
  <c r="J148" i="18"/>
  <c r="J152" i="18"/>
  <c r="J156" i="18"/>
  <c r="J160" i="18"/>
  <c r="J164" i="18"/>
  <c r="J168" i="18"/>
  <c r="J172" i="18"/>
  <c r="J176" i="18"/>
  <c r="T179" i="18"/>
  <c r="V196" i="18"/>
  <c r="V200" i="18"/>
  <c r="J212" i="18"/>
  <c r="V220" i="18"/>
  <c r="J226" i="18"/>
  <c r="V228" i="18"/>
  <c r="J236" i="18"/>
  <c r="V240" i="18"/>
  <c r="J244" i="18"/>
  <c r="J260" i="18"/>
  <c r="V268" i="18"/>
  <c r="J272" i="18"/>
  <c r="V278" i="18"/>
  <c r="J285" i="18"/>
  <c r="V290" i="18"/>
  <c r="V27" i="21"/>
  <c r="V31" i="21"/>
  <c r="V59" i="21"/>
  <c r="V67" i="21"/>
  <c r="V79" i="21"/>
  <c r="V91" i="21"/>
  <c r="V111" i="21"/>
  <c r="J122" i="24"/>
  <c r="J114" i="24"/>
  <c r="J88" i="24"/>
  <c r="H75" i="24"/>
  <c r="J70" i="24"/>
  <c r="J66" i="24"/>
  <c r="J62" i="24"/>
  <c r="J58" i="24"/>
  <c r="J123" i="24"/>
  <c r="J115" i="24"/>
  <c r="J105" i="24"/>
  <c r="J97" i="24"/>
  <c r="J93" i="24"/>
  <c r="J89" i="24"/>
  <c r="J124" i="24"/>
  <c r="J116" i="24"/>
  <c r="J106" i="24"/>
  <c r="J84" i="24"/>
  <c r="J80" i="24"/>
  <c r="J125" i="24"/>
  <c r="J107" i="24"/>
  <c r="J71" i="24"/>
  <c r="J67" i="24"/>
  <c r="J63" i="24"/>
  <c r="J59" i="24"/>
  <c r="J55" i="24"/>
  <c r="J126" i="24"/>
  <c r="J108" i="24"/>
  <c r="J98" i="24"/>
  <c r="J94" i="24"/>
  <c r="J90" i="24"/>
  <c r="J117" i="24"/>
  <c r="J109" i="24"/>
  <c r="J99" i="24"/>
  <c r="J85" i="24"/>
  <c r="J81" i="24"/>
  <c r="J128" i="24"/>
  <c r="J118" i="24"/>
  <c r="J110" i="24"/>
  <c r="J100" i="24"/>
  <c r="J119" i="24"/>
  <c r="J111" i="24"/>
  <c r="J101" i="24"/>
  <c r="J95" i="24"/>
  <c r="J91" i="24"/>
  <c r="J132" i="24"/>
  <c r="J120" i="24"/>
  <c r="J112" i="24"/>
  <c r="J102" i="24"/>
  <c r="J86" i="24"/>
  <c r="J82" i="24"/>
  <c r="J121" i="24"/>
  <c r="J113" i="24"/>
  <c r="J103" i="24"/>
  <c r="J73" i="24"/>
  <c r="J69" i="24"/>
  <c r="J65" i="24"/>
  <c r="J61" i="24"/>
  <c r="J57" i="24"/>
  <c r="J53" i="24"/>
  <c r="J104" i="24"/>
  <c r="J96" i="24"/>
  <c r="J92" i="24"/>
  <c r="J78" i="24"/>
  <c r="X13" i="24"/>
  <c r="Z13" i="24" s="1"/>
  <c r="J56" i="24"/>
  <c r="Z78" i="24"/>
  <c r="Z120" i="24"/>
  <c r="N59" i="27"/>
  <c r="N90" i="30"/>
  <c r="L90" i="30"/>
  <c r="L13" i="18"/>
  <c r="N13" i="18" s="1"/>
  <c r="V121" i="18"/>
  <c r="V125" i="18"/>
  <c r="V129" i="18"/>
  <c r="V133" i="18"/>
  <c r="V137" i="18"/>
  <c r="V141" i="18"/>
  <c r="V145" i="18"/>
  <c r="V149" i="18"/>
  <c r="V153" i="18"/>
  <c r="V157" i="18"/>
  <c r="V161" i="18"/>
  <c r="V165" i="18"/>
  <c r="V169" i="18"/>
  <c r="V173" i="18"/>
  <c r="V177" i="18"/>
  <c r="V179" i="18"/>
  <c r="V181" i="18"/>
  <c r="J185" i="18"/>
  <c r="J189" i="18"/>
  <c r="V205" i="18"/>
  <c r="J211" i="18"/>
  <c r="V213" i="18"/>
  <c r="J217" i="18"/>
  <c r="J225" i="18"/>
  <c r="V229" i="18"/>
  <c r="J235" i="18"/>
  <c r="J243" i="18"/>
  <c r="V245" i="18"/>
  <c r="J249" i="18"/>
  <c r="V257" i="18"/>
  <c r="V261" i="18"/>
  <c r="J265" i="18"/>
  <c r="V269" i="18"/>
  <c r="V277" i="18"/>
  <c r="J284" i="18"/>
  <c r="V32" i="21"/>
  <c r="V36" i="21"/>
  <c r="V40" i="21"/>
  <c r="V56" i="21"/>
  <c r="V64" i="21"/>
  <c r="V76" i="21"/>
  <c r="V84" i="21"/>
  <c r="V108" i="21"/>
  <c r="J60" i="24"/>
  <c r="J75" i="24"/>
  <c r="Z125" i="24"/>
  <c r="Z107" i="27"/>
  <c r="X201" i="15"/>
  <c r="Z201" i="15" s="1"/>
  <c r="V182" i="18"/>
  <c r="V186" i="18"/>
  <c r="V190" i="18"/>
  <c r="J194" i="18"/>
  <c r="J198" i="18"/>
  <c r="J202" i="18"/>
  <c r="V206" i="18"/>
  <c r="J210" i="18"/>
  <c r="J216" i="18"/>
  <c r="V218" i="18"/>
  <c r="J224" i="18"/>
  <c r="X229" i="18"/>
  <c r="Z229" i="18" s="1"/>
  <c r="J234" i="18"/>
  <c r="V238" i="18"/>
  <c r="J242" i="18"/>
  <c r="J248" i="18"/>
  <c r="V250" i="18"/>
  <c r="J254" i="18"/>
  <c r="J264" i="18"/>
  <c r="V266" i="18"/>
  <c r="V274" i="18"/>
  <c r="V276" i="18"/>
  <c r="J283" i="18"/>
  <c r="V45" i="21"/>
  <c r="V49" i="21"/>
  <c r="V57" i="21"/>
  <c r="V65" i="21"/>
  <c r="V77" i="21"/>
  <c r="V85" i="21"/>
  <c r="L94" i="21"/>
  <c r="N94" i="21" s="1"/>
  <c r="V97" i="21"/>
  <c r="V101" i="21"/>
  <c r="V109" i="21"/>
  <c r="J50" i="24"/>
  <c r="V54" i="24"/>
  <c r="J64" i="24"/>
  <c r="J72" i="24"/>
  <c r="T75" i="24"/>
  <c r="J79" i="24"/>
  <c r="N103" i="24"/>
  <c r="N108" i="24"/>
  <c r="Z71" i="27"/>
  <c r="N82" i="27"/>
  <c r="F110" i="27"/>
  <c r="J123" i="18"/>
  <c r="J127" i="18"/>
  <c r="J131" i="18"/>
  <c r="J135" i="18"/>
  <c r="J139" i="18"/>
  <c r="J143" i="18"/>
  <c r="J147" i="18"/>
  <c r="J151" i="18"/>
  <c r="J155" i="18"/>
  <c r="J159" i="18"/>
  <c r="J163" i="18"/>
  <c r="J167" i="18"/>
  <c r="J171" i="18"/>
  <c r="J175" i="18"/>
  <c r="J193" i="18"/>
  <c r="V195" i="18"/>
  <c r="V199" i="18"/>
  <c r="V203" i="18"/>
  <c r="J209" i="18"/>
  <c r="J215" i="18"/>
  <c r="V219" i="18"/>
  <c r="J223" i="18"/>
  <c r="V227" i="18"/>
  <c r="J233" i="18"/>
  <c r="V239" i="18"/>
  <c r="J247" i="18"/>
  <c r="J253" i="18"/>
  <c r="V255" i="18"/>
  <c r="J259" i="18"/>
  <c r="J263" i="18"/>
  <c r="V267" i="18"/>
  <c r="J271" i="18"/>
  <c r="J282" i="18"/>
  <c r="V26" i="21"/>
  <c r="V54" i="21"/>
  <c r="V62" i="21"/>
  <c r="V74" i="21"/>
  <c r="V90" i="21"/>
  <c r="V106" i="21"/>
  <c r="J49" i="24"/>
  <c r="V51" i="24"/>
  <c r="V56" i="24"/>
  <c r="J68" i="24"/>
  <c r="J87" i="24"/>
  <c r="T153" i="30"/>
  <c r="V124" i="18"/>
  <c r="V128" i="18"/>
  <c r="V132" i="18"/>
  <c r="V136" i="18"/>
  <c r="V140" i="18"/>
  <c r="V144" i="18"/>
  <c r="V148" i="18"/>
  <c r="V152" i="18"/>
  <c r="V156" i="18"/>
  <c r="V160" i="18"/>
  <c r="V164" i="18"/>
  <c r="V168" i="18"/>
  <c r="V172" i="18"/>
  <c r="V176" i="18"/>
  <c r="J184" i="18"/>
  <c r="J188" i="18"/>
  <c r="J192" i="18"/>
  <c r="V204" i="18"/>
  <c r="J208" i="18"/>
  <c r="V212" i="18"/>
  <c r="J222" i="18"/>
  <c r="J232" i="18"/>
  <c r="V236" i="18"/>
  <c r="V244" i="18"/>
  <c r="J252" i="18"/>
  <c r="V256" i="18"/>
  <c r="V260" i="18"/>
  <c r="V272" i="18"/>
  <c r="J281" i="18"/>
  <c r="V286" i="18"/>
  <c r="L13" i="21"/>
  <c r="N13" i="21" s="1"/>
  <c r="V35" i="21"/>
  <c r="V39" i="21"/>
  <c r="V55" i="21"/>
  <c r="V63" i="21"/>
  <c r="V75" i="21"/>
  <c r="V83" i="21"/>
  <c r="V95" i="21"/>
  <c r="V107" i="21"/>
  <c r="V128" i="24"/>
  <c r="V126" i="24"/>
  <c r="V118" i="24"/>
  <c r="V110" i="24"/>
  <c r="V98" i="24"/>
  <c r="V94" i="24"/>
  <c r="V90" i="24"/>
  <c r="V117" i="24"/>
  <c r="V109" i="24"/>
  <c r="V101" i="24"/>
  <c r="V85" i="24"/>
  <c r="V81" i="24"/>
  <c r="V120" i="24"/>
  <c r="V112" i="24"/>
  <c r="V100" i="24"/>
  <c r="V72" i="24"/>
  <c r="V68" i="24"/>
  <c r="V119" i="24"/>
  <c r="V111" i="24"/>
  <c r="V103" i="24"/>
  <c r="V95" i="24"/>
  <c r="V91" i="24"/>
  <c r="V132" i="24"/>
  <c r="V102" i="24"/>
  <c r="V86" i="24"/>
  <c r="V82" i="24"/>
  <c r="V78" i="24"/>
  <c r="V121" i="24"/>
  <c r="V113" i="24"/>
  <c r="V77" i="24"/>
  <c r="V73" i="24"/>
  <c r="V69" i="24"/>
  <c r="V65" i="24"/>
  <c r="V61" i="24"/>
  <c r="V57" i="24"/>
  <c r="V104" i="24"/>
  <c r="V96" i="24"/>
  <c r="V92" i="24"/>
  <c r="V88" i="24"/>
  <c r="V123" i="24"/>
  <c r="V115" i="24"/>
  <c r="V87" i="24"/>
  <c r="V83" i="24"/>
  <c r="V79" i="24"/>
  <c r="V122" i="24"/>
  <c r="V114" i="24"/>
  <c r="V106" i="24"/>
  <c r="V70" i="24"/>
  <c r="V125" i="24"/>
  <c r="V105" i="24"/>
  <c r="V97" i="24"/>
  <c r="V93" i="24"/>
  <c r="V89" i="24"/>
  <c r="V124" i="24"/>
  <c r="V116" i="24"/>
  <c r="V108" i="24"/>
  <c r="V84" i="24"/>
  <c r="V80" i="24"/>
  <c r="V60" i="24"/>
  <c r="V62" i="24"/>
  <c r="N77" i="24"/>
  <c r="N99" i="24"/>
  <c r="Z103" i="24"/>
  <c r="N106" i="24"/>
  <c r="Z108" i="24"/>
  <c r="Z91" i="27"/>
  <c r="F94" i="27"/>
  <c r="N96" i="27"/>
  <c r="J122" i="18"/>
  <c r="J126" i="18"/>
  <c r="J130" i="18"/>
  <c r="J134" i="18"/>
  <c r="J138" i="18"/>
  <c r="J142" i="18"/>
  <c r="J146" i="18"/>
  <c r="J150" i="18"/>
  <c r="J154" i="18"/>
  <c r="J158" i="18"/>
  <c r="J162" i="18"/>
  <c r="J166" i="18"/>
  <c r="J170" i="18"/>
  <c r="J174" i="18"/>
  <c r="H179" i="18"/>
  <c r="V194" i="18"/>
  <c r="V198" i="18"/>
  <c r="V202" i="18"/>
  <c r="V210" i="18"/>
  <c r="J214" i="18"/>
  <c r="V226" i="18"/>
  <c r="J230" i="18"/>
  <c r="V234" i="18"/>
  <c r="V242" i="18"/>
  <c r="J246" i="18"/>
  <c r="V254" i="18"/>
  <c r="J258" i="18"/>
  <c r="J262" i="18"/>
  <c r="J270" i="18"/>
  <c r="J279" i="18"/>
  <c r="V25" i="21"/>
  <c r="V53" i="21"/>
  <c r="V61" i="21"/>
  <c r="V73" i="21"/>
  <c r="V89" i="21"/>
  <c r="V93" i="21"/>
  <c r="V50" i="24"/>
  <c r="V53" i="24"/>
  <c r="Z106" i="24"/>
  <c r="N41" i="27"/>
  <c r="N87" i="27"/>
  <c r="Z110" i="27"/>
  <c r="X68" i="30"/>
  <c r="X99" i="24"/>
  <c r="Z99" i="24" s="1"/>
  <c r="V63" i="27"/>
  <c r="V67" i="27"/>
  <c r="J75" i="27"/>
  <c r="J79" i="27"/>
  <c r="V91" i="27"/>
  <c r="J95" i="27"/>
  <c r="V99" i="27"/>
  <c r="V107" i="27"/>
  <c r="J111" i="27"/>
  <c r="J42" i="30"/>
  <c r="V44" i="30"/>
  <c r="V48" i="30"/>
  <c r="V52" i="30"/>
  <c r="V56" i="30"/>
  <c r="V60" i="30"/>
  <c r="V64" i="30"/>
  <c r="V66" i="30"/>
  <c r="V68" i="30"/>
  <c r="J72" i="30"/>
  <c r="J76" i="30"/>
  <c r="J90" i="30"/>
  <c r="J96" i="30"/>
  <c r="L100" i="30"/>
  <c r="N100" i="30" s="1"/>
  <c r="N115" i="30"/>
  <c r="N117" i="30"/>
  <c r="Z128" i="30"/>
  <c r="V144" i="30"/>
  <c r="N33" i="36"/>
  <c r="N68" i="36"/>
  <c r="N73" i="36"/>
  <c r="X82" i="36"/>
  <c r="J44" i="27"/>
  <c r="J48" i="27"/>
  <c r="J52" i="27"/>
  <c r="H57" i="27"/>
  <c r="V72" i="27"/>
  <c r="V76" i="27"/>
  <c r="V80" i="27"/>
  <c r="V88" i="27"/>
  <c r="J94" i="27"/>
  <c r="J104" i="27"/>
  <c r="J110" i="27"/>
  <c r="P12" i="30"/>
  <c r="V69" i="30"/>
  <c r="V73" i="30"/>
  <c r="V77" i="30"/>
  <c r="J81" i="30"/>
  <c r="J85" i="30"/>
  <c r="J89" i="30"/>
  <c r="Z82" i="36"/>
  <c r="V41" i="27"/>
  <c r="V45" i="27"/>
  <c r="V49" i="27"/>
  <c r="V53" i="27"/>
  <c r="J57" i="27"/>
  <c r="J59" i="27"/>
  <c r="J61" i="27"/>
  <c r="J65" i="27"/>
  <c r="J69" i="27"/>
  <c r="J85" i="27"/>
  <c r="V89" i="27"/>
  <c r="J93" i="27"/>
  <c r="V97" i="27"/>
  <c r="J103" i="27"/>
  <c r="V105" i="27"/>
  <c r="J109" i="27"/>
  <c r="V113" i="27"/>
  <c r="J120" i="27"/>
  <c r="V119" i="30"/>
  <c r="V111" i="30"/>
  <c r="V99" i="30"/>
  <c r="V148" i="30"/>
  <c r="V146" i="30"/>
  <c r="V138" i="30"/>
  <c r="V126" i="30"/>
  <c r="V110" i="30"/>
  <c r="V102" i="30"/>
  <c r="V149" i="30"/>
  <c r="V133" i="30"/>
  <c r="V121" i="30"/>
  <c r="V113" i="30"/>
  <c r="V101" i="30"/>
  <c r="V150" i="30"/>
  <c r="V140" i="30"/>
  <c r="V128" i="30"/>
  <c r="V112" i="30"/>
  <c r="V104" i="30"/>
  <c r="V153" i="30"/>
  <c r="V151" i="30"/>
  <c r="V139" i="30"/>
  <c r="V127" i="30"/>
  <c r="V115" i="30"/>
  <c r="V103" i="30"/>
  <c r="V142" i="30"/>
  <c r="V134" i="30"/>
  <c r="V122" i="30"/>
  <c r="V114" i="30"/>
  <c r="V124" i="30"/>
  <c r="V116" i="30"/>
  <c r="V96" i="30"/>
  <c r="V155" i="30"/>
  <c r="V143" i="30"/>
  <c r="V135" i="30"/>
  <c r="V131" i="30"/>
  <c r="V123" i="30"/>
  <c r="V107" i="30"/>
  <c r="V130" i="30"/>
  <c r="V118" i="30"/>
  <c r="V106" i="30"/>
  <c r="V98" i="30"/>
  <c r="V145" i="30"/>
  <c r="V137" i="30"/>
  <c r="V125" i="30"/>
  <c r="V109" i="30"/>
  <c r="J46" i="30"/>
  <c r="J50" i="30"/>
  <c r="J54" i="30"/>
  <c r="J58" i="30"/>
  <c r="J62" i="30"/>
  <c r="V82" i="30"/>
  <c r="V86" i="30"/>
  <c r="Z100" i="30"/>
  <c r="V136" i="30"/>
  <c r="J142" i="30"/>
  <c r="D12" i="33"/>
  <c r="P12" i="33"/>
  <c r="N80" i="33"/>
  <c r="Z33" i="36"/>
  <c r="Z68" i="36"/>
  <c r="N12" i="27"/>
  <c r="J60" i="27"/>
  <c r="V62" i="27"/>
  <c r="V66" i="27"/>
  <c r="V70" i="27"/>
  <c r="J74" i="27"/>
  <c r="J78" i="27"/>
  <c r="J84" i="27"/>
  <c r="V86" i="27"/>
  <c r="V98" i="27"/>
  <c r="J102" i="27"/>
  <c r="J119" i="27"/>
  <c r="V124" i="27"/>
  <c r="V51" i="30"/>
  <c r="V55" i="30"/>
  <c r="V59" i="30"/>
  <c r="V63" i="30"/>
  <c r="J71" i="30"/>
  <c r="J75" i="30"/>
  <c r="V91" i="30"/>
  <c r="V100" i="30"/>
  <c r="L120" i="30"/>
  <c r="X142" i="30"/>
  <c r="Z142" i="30" s="1"/>
  <c r="D95" i="33"/>
  <c r="L95" i="33" s="1"/>
  <c r="N95" i="33" s="1"/>
  <c r="N58" i="36"/>
  <c r="J43" i="27"/>
  <c r="J47" i="27"/>
  <c r="J51" i="27"/>
  <c r="J55" i="27"/>
  <c r="V71" i="27"/>
  <c r="V75" i="27"/>
  <c r="V79" i="27"/>
  <c r="J83" i="27"/>
  <c r="V87" i="27"/>
  <c r="V95" i="27"/>
  <c r="J101" i="27"/>
  <c r="V111" i="27"/>
  <c r="J118" i="27"/>
  <c r="V72" i="30"/>
  <c r="V76" i="30"/>
  <c r="J80" i="30"/>
  <c r="J84" i="30"/>
  <c r="J88" i="30"/>
  <c r="V92" i="30"/>
  <c r="J111" i="30"/>
  <c r="V117" i="30"/>
  <c r="N120" i="30"/>
  <c r="N74" i="33"/>
  <c r="Z80" i="33"/>
  <c r="X58" i="36"/>
  <c r="V44" i="27"/>
  <c r="V48" i="27"/>
  <c r="V52" i="27"/>
  <c r="J64" i="27"/>
  <c r="J68" i="27"/>
  <c r="J82" i="27"/>
  <c r="X87" i="27"/>
  <c r="Z87" i="27" s="1"/>
  <c r="J92" i="27"/>
  <c r="V96" i="27"/>
  <c r="J100" i="27"/>
  <c r="V104" i="27"/>
  <c r="J108" i="27"/>
  <c r="V112" i="27"/>
  <c r="J116" i="27"/>
  <c r="J117" i="27"/>
  <c r="J45" i="30"/>
  <c r="J49" i="30"/>
  <c r="J53" i="30"/>
  <c r="J57" i="30"/>
  <c r="J61" i="30"/>
  <c r="H66" i="30"/>
  <c r="J79" i="30"/>
  <c r="V81" i="30"/>
  <c r="V85" i="30"/>
  <c r="V89" i="30"/>
  <c r="J101" i="30"/>
  <c r="V105" i="30"/>
  <c r="V129" i="30"/>
  <c r="L151" i="30"/>
  <c r="N151" i="30" s="1"/>
  <c r="D148" i="30"/>
  <c r="L148" i="30" s="1"/>
  <c r="N148" i="30" s="1"/>
  <c r="Z69" i="33"/>
  <c r="X69" i="33"/>
  <c r="R119" i="36"/>
  <c r="R127" i="36"/>
  <c r="R126" i="36"/>
  <c r="R114" i="36"/>
  <c r="R110" i="36"/>
  <c r="R99" i="36"/>
  <c r="R98" i="36"/>
  <c r="R93" i="36"/>
  <c r="R128" i="36"/>
  <c r="R121" i="36"/>
  <c r="R120" i="36"/>
  <c r="R105" i="36"/>
  <c r="R104" i="36"/>
  <c r="R100" i="36"/>
  <c r="R131" i="36"/>
  <c r="R130" i="36"/>
  <c r="R115" i="36"/>
  <c r="R111" i="36"/>
  <c r="R132" i="36"/>
  <c r="R123" i="36"/>
  <c r="R122" i="36"/>
  <c r="R107" i="36"/>
  <c r="R106" i="36"/>
  <c r="R95" i="36"/>
  <c r="R94" i="36"/>
  <c r="R133" i="36"/>
  <c r="R101" i="36"/>
  <c r="R134" i="36"/>
  <c r="R124" i="36"/>
  <c r="R116" i="36"/>
  <c r="R112" i="36"/>
  <c r="R108" i="36"/>
  <c r="R96" i="36"/>
  <c r="R91" i="36"/>
  <c r="R102" i="36"/>
  <c r="R125" i="36"/>
  <c r="R118" i="36"/>
  <c r="R117" i="36"/>
  <c r="R113" i="36"/>
  <c r="R109" i="36"/>
  <c r="R97" i="36"/>
  <c r="R138" i="36"/>
  <c r="R82" i="36"/>
  <c r="R81" i="36"/>
  <c r="R65" i="36"/>
  <c r="R58" i="36"/>
  <c r="R57" i="36"/>
  <c r="R34" i="36"/>
  <c r="R29" i="36"/>
  <c r="R73" i="36"/>
  <c r="R72" i="36"/>
  <c r="R52" i="36"/>
  <c r="R48" i="36"/>
  <c r="R33" i="36"/>
  <c r="R31" i="36"/>
  <c r="X12" i="36"/>
  <c r="Z12" i="36" s="1"/>
  <c r="R84" i="36"/>
  <c r="R83" i="36"/>
  <c r="R59" i="36"/>
  <c r="R43" i="36"/>
  <c r="R39" i="36"/>
  <c r="R35" i="36"/>
  <c r="P31" i="36"/>
  <c r="R75" i="36"/>
  <c r="R74" i="36"/>
  <c r="R66" i="36"/>
  <c r="R86" i="36"/>
  <c r="R85" i="36"/>
  <c r="R53" i="36"/>
  <c r="R49" i="36"/>
  <c r="R26" i="36"/>
  <c r="R77" i="36"/>
  <c r="R76" i="36"/>
  <c r="R61" i="36"/>
  <c r="R60" i="36"/>
  <c r="R45" i="36"/>
  <c r="R44" i="36"/>
  <c r="R40" i="36"/>
  <c r="R36" i="36"/>
  <c r="R92" i="36"/>
  <c r="R88" i="36"/>
  <c r="R87" i="36"/>
  <c r="R68" i="36"/>
  <c r="R67" i="36"/>
  <c r="R27" i="36"/>
  <c r="R78" i="36"/>
  <c r="R63" i="36"/>
  <c r="R62" i="36"/>
  <c r="R54" i="36"/>
  <c r="R50" i="36"/>
  <c r="R46" i="36"/>
  <c r="R90" i="36"/>
  <c r="R89" i="36"/>
  <c r="R69" i="36"/>
  <c r="R41" i="36"/>
  <c r="R37" i="36"/>
  <c r="R64" i="36"/>
  <c r="R28" i="36"/>
  <c r="R103" i="36"/>
  <c r="R80" i="36"/>
  <c r="R79" i="36"/>
  <c r="R56" i="36"/>
  <c r="R55" i="36"/>
  <c r="R51" i="36"/>
  <c r="R47" i="36"/>
  <c r="Z58" i="36"/>
  <c r="R71" i="36"/>
  <c r="L88" i="36"/>
  <c r="N88" i="36" s="1"/>
  <c r="V61" i="27"/>
  <c r="V65" i="27"/>
  <c r="V69" i="27"/>
  <c r="J73" i="27"/>
  <c r="J77" i="27"/>
  <c r="J81" i="27"/>
  <c r="V85" i="27"/>
  <c r="J91" i="27"/>
  <c r="V93" i="27"/>
  <c r="J107" i="27"/>
  <c r="V109" i="27"/>
  <c r="V42" i="30"/>
  <c r="V46" i="30"/>
  <c r="V50" i="30"/>
  <c r="V54" i="30"/>
  <c r="V58" i="30"/>
  <c r="V62" i="30"/>
  <c r="J66" i="30"/>
  <c r="J68" i="30"/>
  <c r="J70" i="30"/>
  <c r="J74" i="30"/>
  <c r="J78" i="30"/>
  <c r="L79" i="30"/>
  <c r="N79" i="30" s="1"/>
  <c r="V90" i="30"/>
  <c r="J94" i="30"/>
  <c r="J116" i="30"/>
  <c r="N50" i="33"/>
  <c r="N83" i="33"/>
  <c r="N34" i="36"/>
  <c r="J42" i="27"/>
  <c r="J46" i="27"/>
  <c r="J50" i="27"/>
  <c r="J54" i="27"/>
  <c r="T57" i="27"/>
  <c r="V74" i="27"/>
  <c r="V78" i="27"/>
  <c r="J90" i="27"/>
  <c r="V94" i="27"/>
  <c r="V102" i="27"/>
  <c r="J106" i="27"/>
  <c r="V110" i="27"/>
  <c r="J114" i="27"/>
  <c r="V120" i="27"/>
  <c r="J69" i="30"/>
  <c r="V71" i="30"/>
  <c r="V75" i="30"/>
  <c r="J83" i="30"/>
  <c r="J87" i="30"/>
  <c r="N97" i="30"/>
  <c r="Z109" i="30"/>
  <c r="V120" i="30"/>
  <c r="V132" i="30"/>
  <c r="Z145" i="30"/>
  <c r="Z74" i="33"/>
  <c r="J41" i="27"/>
  <c r="V43" i="27"/>
  <c r="V47" i="27"/>
  <c r="V51" i="27"/>
  <c r="V55" i="27"/>
  <c r="V57" i="27"/>
  <c r="V59" i="27"/>
  <c r="J63" i="27"/>
  <c r="J67" i="27"/>
  <c r="V83" i="27"/>
  <c r="J89" i="27"/>
  <c r="J99" i="27"/>
  <c r="V103" i="27"/>
  <c r="V119" i="27"/>
  <c r="J44" i="30"/>
  <c r="J48" i="30"/>
  <c r="J52" i="30"/>
  <c r="J56" i="30"/>
  <c r="J60" i="30"/>
  <c r="J64" i="30"/>
  <c r="V80" i="30"/>
  <c r="V84" i="30"/>
  <c r="V88" i="30"/>
  <c r="Z34" i="36"/>
  <c r="V60" i="27"/>
  <c r="V64" i="27"/>
  <c r="V68" i="27"/>
  <c r="J72" i="27"/>
  <c r="J76" i="27"/>
  <c r="J80" i="27"/>
  <c r="V84" i="27"/>
  <c r="J88" i="27"/>
  <c r="V92" i="27"/>
  <c r="J98" i="27"/>
  <c r="V100" i="27"/>
  <c r="V108" i="27"/>
  <c r="V118" i="27"/>
  <c r="V53" i="30"/>
  <c r="V57" i="30"/>
  <c r="V61" i="30"/>
  <c r="J73" i="30"/>
  <c r="J77" i="30"/>
  <c r="J93" i="30"/>
  <c r="V95" i="30"/>
  <c r="V141" i="30"/>
  <c r="Z50" i="33"/>
  <c r="J45" i="27"/>
  <c r="J49" i="27"/>
  <c r="J53" i="27"/>
  <c r="J71" i="27"/>
  <c r="V73" i="27"/>
  <c r="V77" i="27"/>
  <c r="V81" i="27"/>
  <c r="J87" i="27"/>
  <c r="J97" i="27"/>
  <c r="V101" i="27"/>
  <c r="J105" i="27"/>
  <c r="J155" i="30"/>
  <c r="J143" i="30"/>
  <c r="J135" i="30"/>
  <c r="J123" i="30"/>
  <c r="J117" i="30"/>
  <c r="J97" i="30"/>
  <c r="J130" i="30"/>
  <c r="J124" i="30"/>
  <c r="J118" i="30"/>
  <c r="J106" i="30"/>
  <c r="J98" i="30"/>
  <c r="J131" i="30"/>
  <c r="J125" i="30"/>
  <c r="J107" i="30"/>
  <c r="J144" i="30"/>
  <c r="J136" i="30"/>
  <c r="J132" i="30"/>
  <c r="J108" i="30"/>
  <c r="J145" i="30"/>
  <c r="J137" i="30"/>
  <c r="J119" i="30"/>
  <c r="J109" i="30"/>
  <c r="J99" i="30"/>
  <c r="J146" i="30"/>
  <c r="J138" i="30"/>
  <c r="J126" i="30"/>
  <c r="J120" i="30"/>
  <c r="J110" i="30"/>
  <c r="J100" i="30"/>
  <c r="J149" i="30"/>
  <c r="J148" i="30"/>
  <c r="J112" i="30"/>
  <c r="J102" i="30"/>
  <c r="J150" i="30"/>
  <c r="J139" i="30"/>
  <c r="J127" i="30"/>
  <c r="J113" i="30"/>
  <c r="J103" i="30"/>
  <c r="J151" i="30"/>
  <c r="J140" i="30"/>
  <c r="J134" i="30"/>
  <c r="J128" i="30"/>
  <c r="J122" i="30"/>
  <c r="J114" i="30"/>
  <c r="J104" i="30"/>
  <c r="J141" i="30"/>
  <c r="J129" i="30"/>
  <c r="J115" i="30"/>
  <c r="J105" i="30"/>
  <c r="J95" i="30"/>
  <c r="V70" i="30"/>
  <c r="V74" i="30"/>
  <c r="V78" i="30"/>
  <c r="J82" i="30"/>
  <c r="J86" i="30"/>
  <c r="J92" i="30"/>
  <c r="V94" i="30"/>
  <c r="X95" i="30"/>
  <c r="Z95" i="30" s="1"/>
  <c r="V108" i="30"/>
  <c r="N128" i="30"/>
  <c r="J133" i="30"/>
  <c r="X137" i="30"/>
  <c r="Z137" i="30" s="1"/>
  <c r="R42" i="36"/>
  <c r="R70" i="36"/>
  <c r="V41" i="33"/>
  <c r="V45" i="33"/>
  <c r="V49" i="33"/>
  <c r="J53" i="33"/>
  <c r="J57" i="33"/>
  <c r="J63" i="33"/>
  <c r="V69" i="33"/>
  <c r="J73" i="33"/>
  <c r="V77" i="33"/>
  <c r="J83" i="33"/>
  <c r="V85" i="33"/>
  <c r="J98" i="33"/>
  <c r="V34" i="36"/>
  <c r="V38" i="36"/>
  <c r="V42" i="36"/>
  <c r="J46" i="36"/>
  <c r="J50" i="36"/>
  <c r="J54" i="36"/>
  <c r="V58" i="36"/>
  <c r="J62" i="36"/>
  <c r="L63" i="36"/>
  <c r="N63" i="36" s="1"/>
  <c r="J68" i="36"/>
  <c r="V70" i="36"/>
  <c r="X73" i="36"/>
  <c r="Z73" i="36" s="1"/>
  <c r="J78" i="36"/>
  <c r="V82" i="36"/>
  <c r="J88" i="36"/>
  <c r="Z107" i="36"/>
  <c r="Z39" i="39"/>
  <c r="T37" i="33"/>
  <c r="V50" i="33"/>
  <c r="V54" i="33"/>
  <c r="V58" i="33"/>
  <c r="J62" i="33"/>
  <c r="V66" i="33"/>
  <c r="V78" i="33"/>
  <c r="J82" i="33"/>
  <c r="V90" i="33"/>
  <c r="J97" i="33"/>
  <c r="V102" i="33"/>
  <c r="J27" i="36"/>
  <c r="J45" i="36"/>
  <c r="V47" i="36"/>
  <c r="V51" i="36"/>
  <c r="V55" i="36"/>
  <c r="J61" i="36"/>
  <c r="J67" i="36"/>
  <c r="V71" i="36"/>
  <c r="J77" i="36"/>
  <c r="V79" i="36"/>
  <c r="J87" i="36"/>
  <c r="V103" i="36"/>
  <c r="Z127" i="36"/>
  <c r="N87" i="39"/>
  <c r="V31" i="33"/>
  <c r="V35" i="33"/>
  <c r="V37" i="33"/>
  <c r="V39" i="33"/>
  <c r="J43" i="33"/>
  <c r="J47" i="33"/>
  <c r="J61" i="33"/>
  <c r="V67" i="33"/>
  <c r="V75" i="33"/>
  <c r="J87" i="33"/>
  <c r="J95" i="33"/>
  <c r="J96" i="33"/>
  <c r="V101" i="33"/>
  <c r="J26" i="36"/>
  <c r="J36" i="36"/>
  <c r="J40" i="36"/>
  <c r="J44" i="36"/>
  <c r="V56" i="36"/>
  <c r="J60" i="36"/>
  <c r="V64" i="36"/>
  <c r="J76" i="36"/>
  <c r="V80" i="36"/>
  <c r="J86" i="36"/>
  <c r="F125" i="39"/>
  <c r="F124" i="39"/>
  <c r="F132" i="39"/>
  <c r="F120" i="39"/>
  <c r="F134" i="39"/>
  <c r="F133" i="39"/>
  <c r="F126" i="39"/>
  <c r="F121" i="39"/>
  <c r="F137" i="39"/>
  <c r="F128" i="39"/>
  <c r="F127" i="39"/>
  <c r="F138" i="39"/>
  <c r="F140" i="39"/>
  <c r="F131" i="39"/>
  <c r="F123" i="39"/>
  <c r="F108" i="39"/>
  <c r="F88" i="39"/>
  <c r="F87" i="39"/>
  <c r="F60" i="39"/>
  <c r="F56" i="39"/>
  <c r="F52" i="39"/>
  <c r="F130" i="39"/>
  <c r="F115" i="39"/>
  <c r="F103" i="39"/>
  <c r="F79" i="39"/>
  <c r="F78" i="39"/>
  <c r="F47" i="39"/>
  <c r="F43" i="39"/>
  <c r="F139" i="39"/>
  <c r="F98" i="39"/>
  <c r="F90" i="39"/>
  <c r="F89" i="39"/>
  <c r="F70" i="39"/>
  <c r="F62" i="39"/>
  <c r="F61" i="39"/>
  <c r="F34" i="39"/>
  <c r="L12" i="39"/>
  <c r="F118" i="39"/>
  <c r="F109" i="39"/>
  <c r="F105" i="39"/>
  <c r="F104" i="39"/>
  <c r="F81" i="39"/>
  <c r="F80" i="39"/>
  <c r="F57" i="39"/>
  <c r="F53" i="39"/>
  <c r="F122" i="39"/>
  <c r="F92" i="39"/>
  <c r="F91" i="39"/>
  <c r="F64" i="39"/>
  <c r="F63" i="39"/>
  <c r="F48" i="39"/>
  <c r="F44" i="39"/>
  <c r="F40" i="39"/>
  <c r="F39" i="39"/>
  <c r="F116" i="39"/>
  <c r="F99" i="39"/>
  <c r="F83" i="39"/>
  <c r="F82" i="39"/>
  <c r="F71" i="39"/>
  <c r="F38" i="39"/>
  <c r="F110" i="39"/>
  <c r="F106" i="39"/>
  <c r="F94" i="39"/>
  <c r="F93" i="39"/>
  <c r="F66" i="39"/>
  <c r="F65" i="39"/>
  <c r="F58" i="39"/>
  <c r="F54" i="39"/>
  <c r="D36" i="39"/>
  <c r="F36" i="39" s="1"/>
  <c r="F129" i="39"/>
  <c r="F101" i="39"/>
  <c r="F100" i="39"/>
  <c r="F73" i="39"/>
  <c r="F72" i="39"/>
  <c r="F49" i="39"/>
  <c r="F45" i="39"/>
  <c r="F41" i="39"/>
  <c r="F144" i="39"/>
  <c r="F112" i="39"/>
  <c r="F111" i="39"/>
  <c r="F96" i="39"/>
  <c r="F95" i="39"/>
  <c r="F84" i="39"/>
  <c r="F68" i="39"/>
  <c r="F67" i="39"/>
  <c r="F32" i="39"/>
  <c r="F31" i="39"/>
  <c r="F119" i="39"/>
  <c r="F117" i="39"/>
  <c r="F107" i="39"/>
  <c r="F75" i="39"/>
  <c r="F74" i="39"/>
  <c r="F59" i="39"/>
  <c r="F55" i="39"/>
  <c r="F51" i="39"/>
  <c r="F50" i="39"/>
  <c r="F114" i="39"/>
  <c r="F113" i="39"/>
  <c r="F102" i="39"/>
  <c r="F86" i="39"/>
  <c r="F85" i="39"/>
  <c r="F46" i="39"/>
  <c r="F42" i="39"/>
  <c r="F97" i="39"/>
  <c r="F77" i="39"/>
  <c r="F76" i="39"/>
  <c r="F69" i="39"/>
  <c r="F33" i="39"/>
  <c r="V40" i="33"/>
  <c r="V44" i="33"/>
  <c r="V48" i="33"/>
  <c r="J52" i="33"/>
  <c r="J56" i="33"/>
  <c r="J60" i="33"/>
  <c r="V64" i="33"/>
  <c r="J72" i="33"/>
  <c r="V76" i="33"/>
  <c r="V84" i="33"/>
  <c r="V88" i="33"/>
  <c r="V100" i="33"/>
  <c r="D12" i="36"/>
  <c r="V37" i="36"/>
  <c r="V41" i="36"/>
  <c r="J49" i="36"/>
  <c r="J53" i="36"/>
  <c r="V69" i="36"/>
  <c r="J75" i="36"/>
  <c r="V89" i="36"/>
  <c r="Z90" i="36"/>
  <c r="N99" i="36"/>
  <c r="N78" i="39"/>
  <c r="Z87" i="39"/>
  <c r="V65" i="33"/>
  <c r="V73" i="33"/>
  <c r="J81" i="33"/>
  <c r="V89" i="33"/>
  <c r="J93" i="33"/>
  <c r="V99" i="33"/>
  <c r="J125" i="36"/>
  <c r="J117" i="36"/>
  <c r="J113" i="36"/>
  <c r="J109" i="36"/>
  <c r="J97" i="36"/>
  <c r="J138" i="36"/>
  <c r="J118" i="36"/>
  <c r="J92" i="36"/>
  <c r="J119" i="36"/>
  <c r="J103" i="36"/>
  <c r="J126" i="36"/>
  <c r="J114" i="36"/>
  <c r="J110" i="36"/>
  <c r="J98" i="36"/>
  <c r="J127" i="36"/>
  <c r="J99" i="36"/>
  <c r="J93" i="36"/>
  <c r="J128" i="36"/>
  <c r="J120" i="36"/>
  <c r="J104" i="36"/>
  <c r="J100" i="36"/>
  <c r="J121" i="36"/>
  <c r="J115" i="36"/>
  <c r="J111" i="36"/>
  <c r="J105" i="36"/>
  <c r="J131" i="36"/>
  <c r="J130" i="36"/>
  <c r="J122" i="36"/>
  <c r="J106" i="36"/>
  <c r="J94" i="36"/>
  <c r="J132" i="36"/>
  <c r="J123" i="36"/>
  <c r="J107" i="36"/>
  <c r="J101" i="36"/>
  <c r="J95" i="36"/>
  <c r="J133" i="36"/>
  <c r="J124" i="36"/>
  <c r="J116" i="36"/>
  <c r="J112" i="36"/>
  <c r="J108" i="36"/>
  <c r="J96" i="36"/>
  <c r="J134" i="36"/>
  <c r="H31" i="36"/>
  <c r="V46" i="36"/>
  <c r="V50" i="36"/>
  <c r="V54" i="36"/>
  <c r="V62" i="36"/>
  <c r="J66" i="36"/>
  <c r="J74" i="36"/>
  <c r="V78" i="36"/>
  <c r="J84" i="36"/>
  <c r="V90" i="36"/>
  <c r="V30" i="33"/>
  <c r="V34" i="33"/>
  <c r="J42" i="33"/>
  <c r="J46" i="33"/>
  <c r="V62" i="33"/>
  <c r="J70" i="33"/>
  <c r="V74" i="33"/>
  <c r="J80" i="33"/>
  <c r="V82" i="33"/>
  <c r="J86" i="33"/>
  <c r="J92" i="33"/>
  <c r="P95" i="33"/>
  <c r="X95" i="33" s="1"/>
  <c r="Z95" i="33" s="1"/>
  <c r="V98" i="33"/>
  <c r="J106" i="33"/>
  <c r="V27" i="36"/>
  <c r="J31" i="36"/>
  <c r="J33" i="36"/>
  <c r="J35" i="36"/>
  <c r="J39" i="36"/>
  <c r="J43" i="36"/>
  <c r="J59" i="36"/>
  <c r="V63" i="36"/>
  <c r="V67" i="36"/>
  <c r="J73" i="36"/>
  <c r="J83" i="36"/>
  <c r="V87" i="36"/>
  <c r="Z99" i="36"/>
  <c r="J102" i="36"/>
  <c r="N123" i="36"/>
  <c r="N38" i="39"/>
  <c r="P148" i="30"/>
  <c r="X148" i="30" s="1"/>
  <c r="Z148" i="30" s="1"/>
  <c r="L13" i="33"/>
  <c r="N13" i="33" s="1"/>
  <c r="V43" i="33"/>
  <c r="V47" i="33"/>
  <c r="J51" i="33"/>
  <c r="J55" i="33"/>
  <c r="J59" i="33"/>
  <c r="V63" i="33"/>
  <c r="J69" i="33"/>
  <c r="J79" i="33"/>
  <c r="V83" i="33"/>
  <c r="V87" i="33"/>
  <c r="J91" i="33"/>
  <c r="V97" i="33"/>
  <c r="J34" i="36"/>
  <c r="V36" i="36"/>
  <c r="V40" i="36"/>
  <c r="V44" i="36"/>
  <c r="J48" i="36"/>
  <c r="J52" i="36"/>
  <c r="J58" i="36"/>
  <c r="V60" i="36"/>
  <c r="V68" i="36"/>
  <c r="J72" i="36"/>
  <c r="V76" i="36"/>
  <c r="J82" i="36"/>
  <c r="V88" i="36"/>
  <c r="V99" i="36"/>
  <c r="R137" i="39"/>
  <c r="R136" i="39"/>
  <c r="R138" i="39"/>
  <c r="R129" i="39"/>
  <c r="R128" i="39"/>
  <c r="R140" i="39"/>
  <c r="R130" i="39"/>
  <c r="R122" i="39"/>
  <c r="R118" i="39"/>
  <c r="R131" i="39"/>
  <c r="R124" i="39"/>
  <c r="R123" i="39"/>
  <c r="R119" i="39"/>
  <c r="R133" i="39"/>
  <c r="R132" i="39"/>
  <c r="R120" i="39"/>
  <c r="R93" i="39"/>
  <c r="R92" i="39"/>
  <c r="R65" i="39"/>
  <c r="R64" i="39"/>
  <c r="R48" i="39"/>
  <c r="R44" i="39"/>
  <c r="R40" i="39"/>
  <c r="P36" i="39"/>
  <c r="R126" i="39"/>
  <c r="R116" i="39"/>
  <c r="R100" i="39"/>
  <c r="R99" i="39"/>
  <c r="R83" i="39"/>
  <c r="R72" i="39"/>
  <c r="R71" i="39"/>
  <c r="R111" i="39"/>
  <c r="R110" i="39"/>
  <c r="R106" i="39"/>
  <c r="R95" i="39"/>
  <c r="R94" i="39"/>
  <c r="R67" i="39"/>
  <c r="R66" i="39"/>
  <c r="R58" i="39"/>
  <c r="R54" i="39"/>
  <c r="R31" i="39"/>
  <c r="R101" i="39"/>
  <c r="R74" i="39"/>
  <c r="R73" i="39"/>
  <c r="R50" i="39"/>
  <c r="R49" i="39"/>
  <c r="R45" i="39"/>
  <c r="R41" i="39"/>
  <c r="R113" i="39"/>
  <c r="R112" i="39"/>
  <c r="R96" i="39"/>
  <c r="R85" i="39"/>
  <c r="R84" i="39"/>
  <c r="R68" i="39"/>
  <c r="R32" i="39"/>
  <c r="R127" i="39"/>
  <c r="R107" i="39"/>
  <c r="R76" i="39"/>
  <c r="R75" i="39"/>
  <c r="R59" i="39"/>
  <c r="R55" i="39"/>
  <c r="R51" i="39"/>
  <c r="R144" i="39"/>
  <c r="R114" i="39"/>
  <c r="R102" i="39"/>
  <c r="R87" i="39"/>
  <c r="R86" i="39"/>
  <c r="R46" i="39"/>
  <c r="R42" i="39"/>
  <c r="R117" i="39"/>
  <c r="R97" i="39"/>
  <c r="R78" i="39"/>
  <c r="R77" i="39"/>
  <c r="R69" i="39"/>
  <c r="R33" i="39"/>
  <c r="R125" i="39"/>
  <c r="R121" i="39"/>
  <c r="R108" i="39"/>
  <c r="R89" i="39"/>
  <c r="R88" i="39"/>
  <c r="R61" i="39"/>
  <c r="R60" i="39"/>
  <c r="R56" i="39"/>
  <c r="R52" i="39"/>
  <c r="R115" i="39"/>
  <c r="R104" i="39"/>
  <c r="R103" i="39"/>
  <c r="R80" i="39"/>
  <c r="R79" i="39"/>
  <c r="R47" i="39"/>
  <c r="R43" i="39"/>
  <c r="R139" i="39"/>
  <c r="R134" i="39"/>
  <c r="R98" i="39"/>
  <c r="R91" i="39"/>
  <c r="R90" i="39"/>
  <c r="R70" i="39"/>
  <c r="R63" i="39"/>
  <c r="R62" i="39"/>
  <c r="R39" i="39"/>
  <c r="R34" i="39"/>
  <c r="X12" i="39"/>
  <c r="R109" i="39"/>
  <c r="R105" i="39"/>
  <c r="R82" i="39"/>
  <c r="R81" i="39"/>
  <c r="R57" i="39"/>
  <c r="R53" i="39"/>
  <c r="R38" i="39"/>
  <c r="R36" i="39"/>
  <c r="J32" i="33"/>
  <c r="H37" i="33"/>
  <c r="J37" i="33" s="1"/>
  <c r="J50" i="33"/>
  <c r="V52" i="33"/>
  <c r="V56" i="33"/>
  <c r="V60" i="33"/>
  <c r="J68" i="33"/>
  <c r="V72" i="33"/>
  <c r="J78" i="33"/>
  <c r="V96" i="33"/>
  <c r="J29" i="36"/>
  <c r="V45" i="36"/>
  <c r="V49" i="36"/>
  <c r="V53" i="36"/>
  <c r="J57" i="36"/>
  <c r="V61" i="36"/>
  <c r="J65" i="36"/>
  <c r="J71" i="36"/>
  <c r="V77" i="36"/>
  <c r="J81" i="36"/>
  <c r="X88" i="36"/>
  <c r="Z88" i="36" s="1"/>
  <c r="Z123" i="36"/>
  <c r="N130" i="36"/>
  <c r="Z38" i="39"/>
  <c r="V33" i="33"/>
  <c r="J39" i="33"/>
  <c r="J41" i="33"/>
  <c r="J45" i="33"/>
  <c r="J49" i="33"/>
  <c r="V61" i="33"/>
  <c r="J67" i="33"/>
  <c r="J77" i="33"/>
  <c r="V81" i="33"/>
  <c r="J85" i="33"/>
  <c r="V93" i="33"/>
  <c r="V95" i="33"/>
  <c r="J102" i="33"/>
  <c r="V126" i="36"/>
  <c r="V114" i="36"/>
  <c r="V110" i="36"/>
  <c r="V121" i="36"/>
  <c r="V105" i="36"/>
  <c r="V93" i="36"/>
  <c r="V130" i="36"/>
  <c r="V128" i="36"/>
  <c r="V120" i="36"/>
  <c r="V104" i="36"/>
  <c r="V100" i="36"/>
  <c r="V131" i="36"/>
  <c r="V123" i="36"/>
  <c r="V115" i="36"/>
  <c r="V111" i="36"/>
  <c r="V107" i="36"/>
  <c r="V95" i="36"/>
  <c r="V132" i="36"/>
  <c r="V122" i="36"/>
  <c r="V106" i="36"/>
  <c r="V94" i="36"/>
  <c r="V133" i="36"/>
  <c r="V101" i="36"/>
  <c r="V136" i="36"/>
  <c r="V134" i="36"/>
  <c r="V124" i="36"/>
  <c r="V116" i="36"/>
  <c r="V112" i="36"/>
  <c r="V108" i="36"/>
  <c r="V96" i="36"/>
  <c r="V91" i="36"/>
  <c r="V118" i="36"/>
  <c r="V102" i="36"/>
  <c r="V125" i="36"/>
  <c r="V117" i="36"/>
  <c r="V113" i="36"/>
  <c r="V109" i="36"/>
  <c r="V97" i="36"/>
  <c r="V138" i="36"/>
  <c r="V92" i="36"/>
  <c r="V127" i="36"/>
  <c r="V119" i="36"/>
  <c r="V26" i="36"/>
  <c r="J38" i="36"/>
  <c r="J42" i="36"/>
  <c r="J56" i="36"/>
  <c r="V66" i="36"/>
  <c r="J70" i="36"/>
  <c r="V74" i="36"/>
  <c r="J80" i="36"/>
  <c r="V86" i="36"/>
  <c r="J91" i="36"/>
  <c r="Z76" i="39"/>
  <c r="X113" i="30"/>
  <c r="Z113" i="30" s="1"/>
  <c r="J40" i="33"/>
  <c r="V42" i="33"/>
  <c r="V46" i="33"/>
  <c r="J54" i="33"/>
  <c r="J58" i="33"/>
  <c r="J66" i="33"/>
  <c r="V70" i="33"/>
  <c r="J76" i="33"/>
  <c r="V86" i="33"/>
  <c r="J90" i="33"/>
  <c r="J101" i="33"/>
  <c r="V106" i="33"/>
  <c r="V35" i="36"/>
  <c r="V39" i="36"/>
  <c r="V43" i="36"/>
  <c r="J47" i="36"/>
  <c r="J51" i="36"/>
  <c r="J55" i="36"/>
  <c r="V59" i="36"/>
  <c r="V75" i="36"/>
  <c r="J79" i="36"/>
  <c r="V83" i="36"/>
  <c r="Z61" i="39"/>
  <c r="J35" i="33"/>
  <c r="V51" i="33"/>
  <c r="V55" i="33"/>
  <c r="V59" i="33"/>
  <c r="J65" i="33"/>
  <c r="V71" i="33"/>
  <c r="J75" i="33"/>
  <c r="V79" i="33"/>
  <c r="J89" i="33"/>
  <c r="J28" i="36"/>
  <c r="T140" i="36"/>
  <c r="V48" i="36"/>
  <c r="V52" i="36"/>
  <c r="J64" i="36"/>
  <c r="V72" i="36"/>
  <c r="V84" i="36"/>
  <c r="J90" i="36"/>
  <c r="N107" i="36"/>
  <c r="V138" i="39"/>
  <c r="V128" i="39"/>
  <c r="V139" i="39"/>
  <c r="V124" i="39"/>
  <c r="V131" i="39"/>
  <c r="V123" i="39"/>
  <c r="V144" i="39"/>
  <c r="V132" i="39"/>
  <c r="V127" i="39"/>
  <c r="V136" i="39"/>
  <c r="V134" i="39"/>
  <c r="V126" i="39"/>
  <c r="V40" i="39"/>
  <c r="V44" i="39"/>
  <c r="V48" i="39"/>
  <c r="V64" i="39"/>
  <c r="V72" i="39"/>
  <c r="V92" i="39"/>
  <c r="V100" i="39"/>
  <c r="J108" i="39"/>
  <c r="V137" i="39"/>
  <c r="X126" i="42"/>
  <c r="P123" i="42"/>
  <c r="X123" i="42" s="1"/>
  <c r="J75" i="45"/>
  <c r="J67" i="45"/>
  <c r="J98" i="45"/>
  <c r="J90" i="45"/>
  <c r="J86" i="45"/>
  <c r="J68" i="45"/>
  <c r="J58" i="45"/>
  <c r="J81" i="45"/>
  <c r="J69" i="45"/>
  <c r="J100" i="45"/>
  <c r="J82" i="45"/>
  <c r="J76" i="45"/>
  <c r="J70" i="45"/>
  <c r="J91" i="45"/>
  <c r="J87" i="45"/>
  <c r="J83" i="45"/>
  <c r="J77" i="45"/>
  <c r="J71" i="45"/>
  <c r="J59" i="45"/>
  <c r="J104" i="45"/>
  <c r="J92" i="45"/>
  <c r="J78" i="45"/>
  <c r="J72" i="45"/>
  <c r="J60" i="45"/>
  <c r="J93" i="45"/>
  <c r="J73" i="45"/>
  <c r="J94" i="45"/>
  <c r="J88" i="45"/>
  <c r="J84" i="45"/>
  <c r="J62" i="45"/>
  <c r="J95" i="45"/>
  <c r="J79" i="45"/>
  <c r="J63" i="45"/>
  <c r="J97" i="45"/>
  <c r="J89" i="45"/>
  <c r="J85" i="45"/>
  <c r="J65" i="45"/>
  <c r="J53" i="45"/>
  <c r="J37" i="45"/>
  <c r="J33" i="45"/>
  <c r="J29" i="45"/>
  <c r="J27" i="45"/>
  <c r="J25" i="45"/>
  <c r="J74" i="45"/>
  <c r="H25" i="45"/>
  <c r="J61" i="45"/>
  <c r="J47" i="45"/>
  <c r="J43" i="45"/>
  <c r="J54" i="45"/>
  <c r="J38" i="45"/>
  <c r="J34" i="45"/>
  <c r="J30" i="45"/>
  <c r="J20" i="45"/>
  <c r="J96" i="45"/>
  <c r="J80" i="45"/>
  <c r="J55" i="45"/>
  <c r="J39" i="45"/>
  <c r="J21" i="45"/>
  <c r="J56" i="45"/>
  <c r="J48" i="45"/>
  <c r="J44" i="45"/>
  <c r="J40" i="45"/>
  <c r="J64" i="45"/>
  <c r="J35" i="45"/>
  <c r="J31" i="45"/>
  <c r="J66" i="45"/>
  <c r="J49" i="45"/>
  <c r="J45" i="45"/>
  <c r="J41" i="45"/>
  <c r="J50" i="45"/>
  <c r="J36" i="45"/>
  <c r="J32" i="45"/>
  <c r="J51" i="45"/>
  <c r="J23" i="45"/>
  <c r="J28" i="45"/>
  <c r="J42" i="45"/>
  <c r="L21" i="39"/>
  <c r="N21" i="39" s="1"/>
  <c r="T36" i="39"/>
  <c r="V36" i="39" s="1"/>
  <c r="V53" i="39"/>
  <c r="V57" i="39"/>
  <c r="V65" i="39"/>
  <c r="J69" i="39"/>
  <c r="X72" i="39"/>
  <c r="J77" i="39"/>
  <c r="V81" i="39"/>
  <c r="J87" i="39"/>
  <c r="V93" i="39"/>
  <c r="J97" i="39"/>
  <c r="V105" i="39"/>
  <c r="V109" i="39"/>
  <c r="J125" i="39"/>
  <c r="V130" i="39"/>
  <c r="J98" i="42"/>
  <c r="V108" i="42"/>
  <c r="R121" i="42"/>
  <c r="Z39" i="45"/>
  <c r="Z12" i="39"/>
  <c r="V34" i="39"/>
  <c r="V38" i="39"/>
  <c r="J42" i="39"/>
  <c r="J46" i="39"/>
  <c r="V62" i="39"/>
  <c r="X65" i="39"/>
  <c r="Z65" i="39" s="1"/>
  <c r="V70" i="39"/>
  <c r="J76" i="39"/>
  <c r="V82" i="39"/>
  <c r="J86" i="39"/>
  <c r="V90" i="39"/>
  <c r="X93" i="39"/>
  <c r="Z93" i="39" s="1"/>
  <c r="V98" i="39"/>
  <c r="J102" i="39"/>
  <c r="J114" i="39"/>
  <c r="V40" i="42"/>
  <c r="V56" i="42"/>
  <c r="Z100" i="42"/>
  <c r="N111" i="42"/>
  <c r="R113" i="42"/>
  <c r="J22" i="45"/>
  <c r="V39" i="39"/>
  <c r="V43" i="39"/>
  <c r="V47" i="39"/>
  <c r="J51" i="39"/>
  <c r="J55" i="39"/>
  <c r="J59" i="39"/>
  <c r="V63" i="39"/>
  <c r="J75" i="39"/>
  <c r="V79" i="39"/>
  <c r="J85" i="39"/>
  <c r="V91" i="39"/>
  <c r="V103" i="39"/>
  <c r="J107" i="39"/>
  <c r="J113" i="39"/>
  <c r="V115" i="39"/>
  <c r="D136" i="39"/>
  <c r="L136" i="39" s="1"/>
  <c r="N136" i="39" s="1"/>
  <c r="Z32" i="42"/>
  <c r="N61" i="42"/>
  <c r="N70" i="42"/>
  <c r="R98" i="42"/>
  <c r="V100" i="42"/>
  <c r="R117" i="42"/>
  <c r="D12" i="45"/>
  <c r="L13" i="45"/>
  <c r="T102" i="45"/>
  <c r="Z55" i="45"/>
  <c r="X55" i="45"/>
  <c r="J32" i="39"/>
  <c r="J50" i="39"/>
  <c r="V52" i="39"/>
  <c r="V56" i="39"/>
  <c r="V60" i="39"/>
  <c r="J68" i="39"/>
  <c r="J74" i="39"/>
  <c r="V80" i="39"/>
  <c r="J84" i="39"/>
  <c r="V88" i="39"/>
  <c r="J96" i="39"/>
  <c r="V104" i="39"/>
  <c r="V108" i="39"/>
  <c r="J112" i="39"/>
  <c r="V121" i="39"/>
  <c r="V125" i="39"/>
  <c r="J124" i="42"/>
  <c r="J123" i="42"/>
  <c r="J115" i="42"/>
  <c r="J99" i="42"/>
  <c r="J87" i="42"/>
  <c r="J81" i="42"/>
  <c r="J71" i="42"/>
  <c r="J63" i="42"/>
  <c r="J27" i="42"/>
  <c r="J125" i="42"/>
  <c r="J116" i="42"/>
  <c r="J100" i="42"/>
  <c r="J94" i="42"/>
  <c r="J88" i="42"/>
  <c r="J82" i="42"/>
  <c r="J72" i="42"/>
  <c r="J54" i="42"/>
  <c r="J50" i="42"/>
  <c r="J46" i="42"/>
  <c r="J126" i="42"/>
  <c r="J117" i="42"/>
  <c r="J109" i="42"/>
  <c r="J105" i="42"/>
  <c r="J101" i="42"/>
  <c r="J89" i="42"/>
  <c r="J83" i="42"/>
  <c r="J73" i="42"/>
  <c r="J55" i="42"/>
  <c r="J41" i="42"/>
  <c r="J37" i="42"/>
  <c r="J127" i="42"/>
  <c r="J84" i="42"/>
  <c r="J64" i="42"/>
  <c r="J56" i="42"/>
  <c r="J28" i="42"/>
  <c r="J95" i="42"/>
  <c r="J57" i="42"/>
  <c r="J51" i="42"/>
  <c r="J47" i="42"/>
  <c r="J33" i="42"/>
  <c r="J118" i="42"/>
  <c r="J110" i="42"/>
  <c r="J106" i="42"/>
  <c r="J102" i="42"/>
  <c r="J90" i="42"/>
  <c r="J74" i="42"/>
  <c r="J58" i="42"/>
  <c r="J42" i="42"/>
  <c r="J38" i="42"/>
  <c r="J34" i="42"/>
  <c r="J32" i="42"/>
  <c r="J131" i="42"/>
  <c r="J111" i="42"/>
  <c r="J85" i="42"/>
  <c r="J75" i="42"/>
  <c r="J65" i="42"/>
  <c r="J59" i="42"/>
  <c r="H30" i="42"/>
  <c r="J30" i="42" s="1"/>
  <c r="J119" i="42"/>
  <c r="J107" i="42"/>
  <c r="J103" i="42"/>
  <c r="J91" i="42"/>
  <c r="J77" i="42"/>
  <c r="J67" i="42"/>
  <c r="J61" i="42"/>
  <c r="J43" i="42"/>
  <c r="J39" i="42"/>
  <c r="J35" i="42"/>
  <c r="J25" i="42"/>
  <c r="J120" i="42"/>
  <c r="J92" i="42"/>
  <c r="J86" i="42"/>
  <c r="J78" i="42"/>
  <c r="J68" i="42"/>
  <c r="J62" i="42"/>
  <c r="J44" i="42"/>
  <c r="J26" i="42"/>
  <c r="J121" i="42"/>
  <c r="J113" i="42"/>
  <c r="J97" i="42"/>
  <c r="J93" i="42"/>
  <c r="J79" i="42"/>
  <c r="J69" i="42"/>
  <c r="J53" i="42"/>
  <c r="J49" i="42"/>
  <c r="J45" i="42"/>
  <c r="R45" i="42"/>
  <c r="L59" i="42"/>
  <c r="N59" i="42" s="1"/>
  <c r="J70" i="42"/>
  <c r="L79" i="42"/>
  <c r="N83" i="42"/>
  <c r="Z111" i="42"/>
  <c r="J31" i="39"/>
  <c r="V33" i="39"/>
  <c r="J41" i="39"/>
  <c r="J45" i="39"/>
  <c r="J49" i="39"/>
  <c r="V61" i="39"/>
  <c r="J67" i="39"/>
  <c r="V69" i="39"/>
  <c r="J73" i="39"/>
  <c r="V77" i="39"/>
  <c r="V89" i="39"/>
  <c r="J95" i="39"/>
  <c r="V97" i="39"/>
  <c r="J101" i="39"/>
  <c r="J111" i="39"/>
  <c r="V117" i="39"/>
  <c r="V119" i="39"/>
  <c r="V111" i="42"/>
  <c r="V95" i="42"/>
  <c r="V75" i="42"/>
  <c r="V59" i="42"/>
  <c r="V51" i="42"/>
  <c r="V47" i="42"/>
  <c r="T30" i="42"/>
  <c r="V118" i="42"/>
  <c r="V110" i="42"/>
  <c r="V106" i="42"/>
  <c r="V102" i="42"/>
  <c r="V90" i="42"/>
  <c r="V74" i="42"/>
  <c r="V66" i="42"/>
  <c r="V58" i="42"/>
  <c r="V42" i="42"/>
  <c r="V38" i="42"/>
  <c r="V34" i="42"/>
  <c r="V131" i="42"/>
  <c r="V85" i="42"/>
  <c r="V77" i="42"/>
  <c r="V65" i="42"/>
  <c r="V61" i="42"/>
  <c r="V25" i="42"/>
  <c r="V120" i="42"/>
  <c r="V112" i="42"/>
  <c r="V96" i="42"/>
  <c r="V92" i="42"/>
  <c r="V76" i="42"/>
  <c r="V68" i="42"/>
  <c r="V60" i="42"/>
  <c r="V52" i="42"/>
  <c r="V48" i="42"/>
  <c r="V44" i="42"/>
  <c r="V119" i="42"/>
  <c r="V107" i="42"/>
  <c r="V103" i="42"/>
  <c r="V91" i="42"/>
  <c r="V79" i="42"/>
  <c r="V67" i="42"/>
  <c r="V43" i="42"/>
  <c r="V39" i="42"/>
  <c r="V35" i="42"/>
  <c r="V114" i="42"/>
  <c r="V98" i="42"/>
  <c r="V86" i="42"/>
  <c r="V78" i="42"/>
  <c r="V70" i="42"/>
  <c r="V62" i="42"/>
  <c r="V26" i="42"/>
  <c r="V123" i="42"/>
  <c r="V121" i="42"/>
  <c r="V113" i="42"/>
  <c r="V97" i="42"/>
  <c r="V93" i="42"/>
  <c r="V81" i="42"/>
  <c r="V69" i="42"/>
  <c r="V53" i="42"/>
  <c r="V49" i="42"/>
  <c r="V45" i="42"/>
  <c r="V125" i="42"/>
  <c r="V115" i="42"/>
  <c r="V99" i="42"/>
  <c r="V87" i="42"/>
  <c r="V83" i="42"/>
  <c r="V71" i="42"/>
  <c r="V63" i="42"/>
  <c r="V55" i="42"/>
  <c r="V27" i="42"/>
  <c r="V126" i="42"/>
  <c r="V94" i="42"/>
  <c r="V82" i="42"/>
  <c r="V54" i="42"/>
  <c r="V50" i="42"/>
  <c r="V46" i="42"/>
  <c r="V127" i="42"/>
  <c r="V117" i="42"/>
  <c r="V109" i="42"/>
  <c r="V105" i="42"/>
  <c r="V101" i="42"/>
  <c r="V89" i="42"/>
  <c r="V73" i="42"/>
  <c r="V57" i="42"/>
  <c r="V41" i="42"/>
  <c r="V37" i="42"/>
  <c r="V33" i="42"/>
  <c r="V64" i="42"/>
  <c r="J104" i="42"/>
  <c r="R109" i="42"/>
  <c r="P12" i="45"/>
  <c r="V42" i="39"/>
  <c r="V46" i="39"/>
  <c r="J54" i="39"/>
  <c r="J58" i="39"/>
  <c r="J66" i="39"/>
  <c r="J72" i="39"/>
  <c r="V78" i="39"/>
  <c r="V86" i="39"/>
  <c r="X89" i="39"/>
  <c r="J94" i="39"/>
  <c r="J100" i="39"/>
  <c r="V102" i="39"/>
  <c r="J106" i="39"/>
  <c r="J110" i="39"/>
  <c r="V114" i="39"/>
  <c r="L124" i="39"/>
  <c r="N124" i="39" s="1"/>
  <c r="Z136" i="39"/>
  <c r="X138" i="39"/>
  <c r="Z138" i="39" s="1"/>
  <c r="J140" i="39"/>
  <c r="V28" i="42"/>
  <c r="J36" i="42"/>
  <c r="N57" i="42"/>
  <c r="Z59" i="42"/>
  <c r="Z61" i="42"/>
  <c r="R70" i="42"/>
  <c r="V72" i="42"/>
  <c r="N77" i="42"/>
  <c r="Z83" i="42"/>
  <c r="Z88" i="42"/>
  <c r="R101" i="42"/>
  <c r="R127" i="42"/>
  <c r="H146" i="39"/>
  <c r="V51" i="39"/>
  <c r="V55" i="39"/>
  <c r="V59" i="39"/>
  <c r="J65" i="39"/>
  <c r="J71" i="39"/>
  <c r="V75" i="39"/>
  <c r="J83" i="39"/>
  <c r="V87" i="39"/>
  <c r="J93" i="39"/>
  <c r="J99" i="39"/>
  <c r="V107" i="39"/>
  <c r="J116" i="39"/>
  <c r="D12" i="42"/>
  <c r="L17" i="42"/>
  <c r="N75" i="42"/>
  <c r="L75" i="42"/>
  <c r="V88" i="42"/>
  <c r="V104" i="42"/>
  <c r="J112" i="42"/>
  <c r="Z123" i="42"/>
  <c r="X27" i="45"/>
  <c r="J146" i="39"/>
  <c r="J132" i="39"/>
  <c r="J133" i="39"/>
  <c r="J127" i="39"/>
  <c r="J121" i="39"/>
  <c r="J117" i="39"/>
  <c r="J137" i="39"/>
  <c r="J136" i="39"/>
  <c r="J128" i="39"/>
  <c r="J138" i="39"/>
  <c r="J129" i="39"/>
  <c r="J139" i="39"/>
  <c r="J130" i="39"/>
  <c r="J122" i="39"/>
  <c r="J118" i="39"/>
  <c r="J142" i="39"/>
  <c r="J131" i="39"/>
  <c r="J123" i="39"/>
  <c r="J119" i="39"/>
  <c r="J144" i="39"/>
  <c r="J124" i="39"/>
  <c r="X13" i="39"/>
  <c r="Z13" i="39" s="1"/>
  <c r="V32" i="39"/>
  <c r="J36" i="39"/>
  <c r="J38" i="39"/>
  <c r="J40" i="39"/>
  <c r="J44" i="39"/>
  <c r="J48" i="39"/>
  <c r="J64" i="39"/>
  <c r="V68" i="39"/>
  <c r="V76" i="39"/>
  <c r="J82" i="39"/>
  <c r="V84" i="39"/>
  <c r="J92" i="39"/>
  <c r="V96" i="39"/>
  <c r="V112" i="39"/>
  <c r="J120" i="39"/>
  <c r="V129" i="39"/>
  <c r="V133" i="39"/>
  <c r="Z57" i="42"/>
  <c r="Z81" i="42"/>
  <c r="X81" i="42"/>
  <c r="J114" i="42"/>
  <c r="Z27" i="45"/>
  <c r="J39" i="39"/>
  <c r="V41" i="39"/>
  <c r="V45" i="39"/>
  <c r="V49" i="39"/>
  <c r="J53" i="39"/>
  <c r="J57" i="39"/>
  <c r="J63" i="39"/>
  <c r="V73" i="39"/>
  <c r="J81" i="39"/>
  <c r="V85" i="39"/>
  <c r="J91" i="39"/>
  <c r="V101" i="39"/>
  <c r="J105" i="39"/>
  <c r="J109" i="39"/>
  <c r="V113" i="39"/>
  <c r="V140" i="39"/>
  <c r="R84" i="42"/>
  <c r="R64" i="42"/>
  <c r="R57" i="42"/>
  <c r="R56" i="42"/>
  <c r="R33" i="42"/>
  <c r="R28" i="42"/>
  <c r="R95" i="42"/>
  <c r="R51" i="42"/>
  <c r="R47" i="42"/>
  <c r="R32" i="42"/>
  <c r="R118" i="42"/>
  <c r="R111" i="42"/>
  <c r="R110" i="42"/>
  <c r="R106" i="42"/>
  <c r="R102" i="42"/>
  <c r="R90" i="42"/>
  <c r="R75" i="42"/>
  <c r="R74" i="42"/>
  <c r="R59" i="42"/>
  <c r="R58" i="42"/>
  <c r="R42" i="42"/>
  <c r="R38" i="42"/>
  <c r="R34" i="42"/>
  <c r="P30" i="42"/>
  <c r="R131" i="42"/>
  <c r="R85" i="42"/>
  <c r="R66" i="42"/>
  <c r="R65" i="42"/>
  <c r="R112" i="42"/>
  <c r="R96" i="42"/>
  <c r="R77" i="42"/>
  <c r="R76" i="42"/>
  <c r="R61" i="42"/>
  <c r="R60" i="42"/>
  <c r="R52" i="42"/>
  <c r="R48" i="42"/>
  <c r="R25" i="42"/>
  <c r="R120" i="42"/>
  <c r="R119" i="42"/>
  <c r="R107" i="42"/>
  <c r="R103" i="42"/>
  <c r="R92" i="42"/>
  <c r="R91" i="42"/>
  <c r="R68" i="42"/>
  <c r="R67" i="42"/>
  <c r="R44" i="42"/>
  <c r="R43" i="42"/>
  <c r="R39" i="42"/>
  <c r="R35" i="42"/>
  <c r="R86" i="42"/>
  <c r="R79" i="42"/>
  <c r="R78" i="42"/>
  <c r="R62" i="42"/>
  <c r="R26" i="42"/>
  <c r="X12" i="42"/>
  <c r="Z12" i="42" s="1"/>
  <c r="R124" i="42"/>
  <c r="R123" i="42"/>
  <c r="R108" i="42"/>
  <c r="R104" i="42"/>
  <c r="R81" i="42"/>
  <c r="R80" i="42"/>
  <c r="R40" i="42"/>
  <c r="R36" i="42"/>
  <c r="R125" i="42"/>
  <c r="R116" i="42"/>
  <c r="R115" i="42"/>
  <c r="R100" i="42"/>
  <c r="R99" i="42"/>
  <c r="R88" i="42"/>
  <c r="R87" i="42"/>
  <c r="R72" i="42"/>
  <c r="R71" i="42"/>
  <c r="R63" i="42"/>
  <c r="R27" i="42"/>
  <c r="R126" i="42"/>
  <c r="R94" i="42"/>
  <c r="R83" i="42"/>
  <c r="R82" i="42"/>
  <c r="R55" i="42"/>
  <c r="R54" i="42"/>
  <c r="R50" i="42"/>
  <c r="R46" i="42"/>
  <c r="Z33" i="42"/>
  <c r="R53" i="42"/>
  <c r="Z55" i="42"/>
  <c r="J60" i="42"/>
  <c r="R73" i="42"/>
  <c r="Z75" i="42"/>
  <c r="Z77" i="42"/>
  <c r="J80" i="42"/>
  <c r="Z120" i="42"/>
  <c r="J46" i="45"/>
  <c r="N12" i="39"/>
  <c r="J34" i="39"/>
  <c r="V50" i="39"/>
  <c r="V54" i="39"/>
  <c r="V58" i="39"/>
  <c r="J62" i="39"/>
  <c r="V66" i="39"/>
  <c r="J70" i="39"/>
  <c r="V74" i="39"/>
  <c r="J80" i="39"/>
  <c r="J90" i="39"/>
  <c r="V94" i="39"/>
  <c r="J98" i="39"/>
  <c r="J104" i="39"/>
  <c r="V106" i="39"/>
  <c r="V110" i="39"/>
  <c r="V118" i="39"/>
  <c r="V120" i="39"/>
  <c r="V122" i="39"/>
  <c r="J134" i="39"/>
  <c r="V30" i="42"/>
  <c r="V84" i="42"/>
  <c r="J108" i="42"/>
  <c r="R114" i="42"/>
  <c r="J52" i="45"/>
  <c r="J57" i="45"/>
  <c r="D22" i="54"/>
  <c r="V31" i="39"/>
  <c r="J43" i="39"/>
  <c r="J47" i="39"/>
  <c r="J61" i="39"/>
  <c r="V67" i="39"/>
  <c r="V71" i="39"/>
  <c r="J79" i="39"/>
  <c r="V83" i="39"/>
  <c r="J89" i="39"/>
  <c r="V95" i="39"/>
  <c r="V99" i="39"/>
  <c r="J103" i="39"/>
  <c r="V111" i="39"/>
  <c r="J115" i="39"/>
  <c r="V116" i="39"/>
  <c r="J40" i="42"/>
  <c r="R69" i="42"/>
  <c r="R89" i="42"/>
  <c r="R93" i="42"/>
  <c r="R105" i="42"/>
  <c r="V116" i="42"/>
  <c r="V39" i="45"/>
  <c r="V43" i="45"/>
  <c r="V47" i="45"/>
  <c r="V55" i="45"/>
  <c r="L60" i="45"/>
  <c r="N60" i="45" s="1"/>
  <c r="N72" i="45"/>
  <c r="F44" i="48"/>
  <c r="N91" i="51"/>
  <c r="L91" i="51"/>
  <c r="V86" i="45"/>
  <c r="V100" i="45"/>
  <c r="F62" i="48"/>
  <c r="V29" i="45"/>
  <c r="V33" i="45"/>
  <c r="V37" i="45"/>
  <c r="V53" i="45"/>
  <c r="N62" i="45"/>
  <c r="N92" i="45"/>
  <c r="F24" i="48"/>
  <c r="F54" i="48"/>
  <c r="F86" i="51"/>
  <c r="F85" i="51"/>
  <c r="F78" i="51"/>
  <c r="F74" i="51"/>
  <c r="D56" i="51"/>
  <c r="F56" i="51" s="1"/>
  <c r="F109" i="51"/>
  <c r="F97" i="51"/>
  <c r="F96" i="51"/>
  <c r="F69" i="51"/>
  <c r="F65" i="51"/>
  <c r="F61" i="51"/>
  <c r="F98" i="51"/>
  <c r="F90" i="51"/>
  <c r="F89" i="51"/>
  <c r="F100" i="51"/>
  <c r="F99" i="51"/>
  <c r="F92" i="51"/>
  <c r="F91" i="51"/>
  <c r="F80" i="51"/>
  <c r="F76" i="51"/>
  <c r="F72" i="51"/>
  <c r="F67" i="51"/>
  <c r="F63" i="51"/>
  <c r="F105" i="51"/>
  <c r="F71" i="51"/>
  <c r="F102" i="51"/>
  <c r="F95" i="51"/>
  <c r="F83" i="51"/>
  <c r="F77" i="51"/>
  <c r="F50" i="51"/>
  <c r="F66" i="51"/>
  <c r="F53" i="51"/>
  <c r="F58" i="51"/>
  <c r="F45" i="51"/>
  <c r="F42" i="51"/>
  <c r="F93" i="51"/>
  <c r="F87" i="51"/>
  <c r="F64" i="51"/>
  <c r="F59" i="51"/>
  <c r="F48" i="51"/>
  <c r="F103" i="51"/>
  <c r="F81" i="51"/>
  <c r="F75" i="51"/>
  <c r="F51" i="51"/>
  <c r="F84" i="51"/>
  <c r="F62" i="51"/>
  <c r="F94" i="51"/>
  <c r="F88" i="51"/>
  <c r="F54" i="51"/>
  <c r="F46" i="51"/>
  <c r="F43" i="51"/>
  <c r="F82" i="51"/>
  <c r="F73" i="51"/>
  <c r="F70" i="51"/>
  <c r="F60" i="51"/>
  <c r="F49" i="51"/>
  <c r="F79" i="51"/>
  <c r="F52" i="51"/>
  <c r="R24" i="54"/>
  <c r="X12" i="54"/>
  <c r="R28" i="54"/>
  <c r="R14" i="54"/>
  <c r="R29" i="54"/>
  <c r="R20" i="54"/>
  <c r="R16" i="54"/>
  <c r="R31" i="54"/>
  <c r="R26" i="54"/>
  <c r="R22" i="54"/>
  <c r="P16" i="54"/>
  <c r="F41" i="48"/>
  <c r="F56" i="48"/>
  <c r="F47" i="51"/>
  <c r="V23" i="45"/>
  <c r="V25" i="45"/>
  <c r="V27" i="45"/>
  <c r="V51" i="45"/>
  <c r="L57" i="45"/>
  <c r="N57" i="45" s="1"/>
  <c r="V60" i="45"/>
  <c r="P70" i="48"/>
  <c r="R70" i="48" s="1"/>
  <c r="L12" i="51"/>
  <c r="Z58" i="51"/>
  <c r="X58" i="51"/>
  <c r="F104" i="51"/>
  <c r="T81" i="56"/>
  <c r="Z16" i="56"/>
  <c r="V28" i="45"/>
  <c r="V32" i="45"/>
  <c r="V36" i="45"/>
  <c r="V52" i="45"/>
  <c r="Z70" i="45"/>
  <c r="Z77" i="45"/>
  <c r="N82" i="45"/>
  <c r="V92" i="45"/>
  <c r="N96" i="45"/>
  <c r="V98" i="45"/>
  <c r="F43" i="48"/>
  <c r="Z64" i="48"/>
  <c r="L85" i="51"/>
  <c r="N85" i="51" s="1"/>
  <c r="V41" i="45"/>
  <c r="V45" i="45"/>
  <c r="V49" i="45"/>
  <c r="V70" i="45"/>
  <c r="F53" i="48"/>
  <c r="Z60" i="48"/>
  <c r="F41" i="51"/>
  <c r="V91" i="45"/>
  <c r="V87" i="45"/>
  <c r="V83" i="45"/>
  <c r="V71" i="45"/>
  <c r="V104" i="45"/>
  <c r="V94" i="45"/>
  <c r="V78" i="45"/>
  <c r="V62" i="45"/>
  <c r="V93" i="45"/>
  <c r="V73" i="45"/>
  <c r="V61" i="45"/>
  <c r="V96" i="45"/>
  <c r="V88" i="45"/>
  <c r="V84" i="45"/>
  <c r="V64" i="45"/>
  <c r="V95" i="45"/>
  <c r="V79" i="45"/>
  <c r="V63" i="45"/>
  <c r="V74" i="45"/>
  <c r="V66" i="45"/>
  <c r="V97" i="45"/>
  <c r="V89" i="45"/>
  <c r="V85" i="45"/>
  <c r="V65" i="45"/>
  <c r="V80" i="45"/>
  <c r="V68" i="45"/>
  <c r="V75" i="45"/>
  <c r="V67" i="45"/>
  <c r="V81" i="45"/>
  <c r="V77" i="45"/>
  <c r="V69" i="45"/>
  <c r="V22" i="45"/>
  <c r="V50" i="45"/>
  <c r="Z30" i="48"/>
  <c r="N51" i="48"/>
  <c r="X60" i="48"/>
  <c r="L14" i="55"/>
  <c r="D16" i="55"/>
  <c r="X68" i="42"/>
  <c r="Z68" i="42" s="1"/>
  <c r="V31" i="45"/>
  <c r="V35" i="45"/>
  <c r="V59" i="45"/>
  <c r="Z82" i="45"/>
  <c r="Z96" i="45"/>
  <c r="N49" i="48"/>
  <c r="R18" i="54"/>
  <c r="V40" i="45"/>
  <c r="V44" i="45"/>
  <c r="V48" i="45"/>
  <c r="V56" i="45"/>
  <c r="V57" i="45"/>
  <c r="V82" i="45"/>
  <c r="F63" i="48"/>
  <c r="F58" i="48"/>
  <c r="F57" i="48"/>
  <c r="F46" i="48"/>
  <c r="F45" i="48"/>
  <c r="F38" i="48"/>
  <c r="F34" i="48"/>
  <c r="F65" i="48"/>
  <c r="F64" i="48"/>
  <c r="F29" i="48"/>
  <c r="F25" i="48"/>
  <c r="F21" i="48"/>
  <c r="F20" i="48"/>
  <c r="F48" i="48"/>
  <c r="F47" i="48"/>
  <c r="F19" i="48"/>
  <c r="F15" i="48"/>
  <c r="F68" i="48"/>
  <c r="F59" i="48"/>
  <c r="F39" i="48"/>
  <c r="F35" i="48"/>
  <c r="F31" i="48"/>
  <c r="F30" i="48"/>
  <c r="D17" i="48"/>
  <c r="F67" i="48"/>
  <c r="F50" i="48"/>
  <c r="F49" i="48"/>
  <c r="F26" i="48"/>
  <c r="F22" i="48"/>
  <c r="L12" i="48"/>
  <c r="F61" i="48"/>
  <c r="F60" i="48"/>
  <c r="F72" i="48"/>
  <c r="F52" i="48"/>
  <c r="F51" i="48"/>
  <c r="F40" i="48"/>
  <c r="F36" i="48"/>
  <c r="F32" i="48"/>
  <c r="F27" i="48"/>
  <c r="F23" i="48"/>
  <c r="F37" i="48"/>
  <c r="F33" i="48"/>
  <c r="R17" i="48"/>
  <c r="F55" i="48"/>
  <c r="P12" i="51"/>
  <c r="Z18" i="56"/>
  <c r="N49" i="58"/>
  <c r="L49" i="58"/>
  <c r="V21" i="45"/>
  <c r="V76" i="45"/>
  <c r="F42" i="48"/>
  <c r="F44" i="51"/>
  <c r="H107" i="51"/>
  <c r="L47" i="58"/>
  <c r="N47" i="58" s="1"/>
  <c r="R21" i="48"/>
  <c r="J24" i="48"/>
  <c r="R25" i="48"/>
  <c r="J28" i="48"/>
  <c r="R29" i="48"/>
  <c r="R30" i="48"/>
  <c r="J44" i="48"/>
  <c r="V48" i="48"/>
  <c r="J56" i="48"/>
  <c r="V60" i="48"/>
  <c r="R65" i="48"/>
  <c r="V68" i="48"/>
  <c r="J109" i="51"/>
  <c r="J97" i="51"/>
  <c r="J87" i="51"/>
  <c r="J69" i="51"/>
  <c r="J65" i="51"/>
  <c r="J61" i="51"/>
  <c r="J88" i="51"/>
  <c r="J70" i="51"/>
  <c r="J52" i="51"/>
  <c r="J48" i="51"/>
  <c r="J44" i="51"/>
  <c r="N12" i="51"/>
  <c r="J99" i="51"/>
  <c r="J91" i="51"/>
  <c r="J93" i="51"/>
  <c r="J81" i="51"/>
  <c r="J67" i="51"/>
  <c r="J63" i="51"/>
  <c r="J103" i="51"/>
  <c r="J102" i="51"/>
  <c r="J94" i="51"/>
  <c r="J82" i="51"/>
  <c r="J54" i="51"/>
  <c r="J50" i="51"/>
  <c r="J46" i="51"/>
  <c r="J42" i="51"/>
  <c r="J41" i="51"/>
  <c r="J47" i="51"/>
  <c r="J56" i="51"/>
  <c r="V59" i="51"/>
  <c r="V61" i="51"/>
  <c r="V66" i="51"/>
  <c r="J68" i="51"/>
  <c r="X83" i="51"/>
  <c r="J89" i="51"/>
  <c r="V98" i="51"/>
  <c r="Z12" i="55"/>
  <c r="V31" i="55"/>
  <c r="V29" i="55"/>
  <c r="V27" i="55"/>
  <c r="V19" i="55"/>
  <c r="V21" i="55"/>
  <c r="T16" i="55"/>
  <c r="V20" i="55"/>
  <c r="V22" i="55"/>
  <c r="V25" i="55"/>
  <c r="X16" i="55"/>
  <c r="P31" i="55"/>
  <c r="V23" i="55"/>
  <c r="X25" i="55"/>
  <c r="Z25" i="55" s="1"/>
  <c r="V33" i="55"/>
  <c r="L14" i="56"/>
  <c r="N40" i="56"/>
  <c r="V14" i="57"/>
  <c r="V81" i="57"/>
  <c r="Z19" i="58"/>
  <c r="X19" i="58"/>
  <c r="T17" i="48"/>
  <c r="V17" i="48" s="1"/>
  <c r="R20" i="48"/>
  <c r="V30" i="48"/>
  <c r="V34" i="48"/>
  <c r="V38" i="48"/>
  <c r="J42" i="48"/>
  <c r="V46" i="48"/>
  <c r="J54" i="48"/>
  <c r="V58" i="48"/>
  <c r="J62" i="48"/>
  <c r="R63" i="48"/>
  <c r="R64" i="48"/>
  <c r="N40" i="51"/>
  <c r="V58" i="51"/>
  <c r="V63" i="51"/>
  <c r="V68" i="51"/>
  <c r="J76" i="51"/>
  <c r="J85" i="51"/>
  <c r="J100" i="51"/>
  <c r="J104" i="51"/>
  <c r="V31" i="54"/>
  <c r="V29" i="54"/>
  <c r="V28" i="54"/>
  <c r="V26" i="54"/>
  <c r="V24" i="54"/>
  <c r="Z12" i="54"/>
  <c r="L18" i="55"/>
  <c r="X19" i="55"/>
  <c r="V38" i="55"/>
  <c r="R24" i="56"/>
  <c r="R29" i="56"/>
  <c r="R33" i="56"/>
  <c r="Z40" i="56"/>
  <c r="N42" i="56"/>
  <c r="R56" i="56"/>
  <c r="L75" i="56"/>
  <c r="N75" i="56" s="1"/>
  <c r="R79" i="56"/>
  <c r="H16" i="57"/>
  <c r="V15" i="48"/>
  <c r="V19" i="48"/>
  <c r="J23" i="48"/>
  <c r="R24" i="48"/>
  <c r="J27" i="48"/>
  <c r="R28" i="48"/>
  <c r="J41" i="48"/>
  <c r="R44" i="48"/>
  <c r="R45" i="48"/>
  <c r="V47" i="48"/>
  <c r="J53" i="48"/>
  <c r="R56" i="48"/>
  <c r="R57" i="48"/>
  <c r="V63" i="48"/>
  <c r="V93" i="51"/>
  <c r="V81" i="51"/>
  <c r="V53" i="51"/>
  <c r="V49" i="51"/>
  <c r="V102" i="51"/>
  <c r="V100" i="51"/>
  <c r="V92" i="51"/>
  <c r="V80" i="51"/>
  <c r="V76" i="51"/>
  <c r="V72" i="51"/>
  <c r="V105" i="51"/>
  <c r="V85" i="51"/>
  <c r="V77" i="51"/>
  <c r="V73" i="51"/>
  <c r="V95" i="51"/>
  <c r="V87" i="51"/>
  <c r="V51" i="51"/>
  <c r="V47" i="51"/>
  <c r="V86" i="51"/>
  <c r="V78" i="51"/>
  <c r="V74" i="51"/>
  <c r="V70" i="51"/>
  <c r="V41" i="51"/>
  <c r="V44" i="51"/>
  <c r="T56" i="51"/>
  <c r="V71" i="51"/>
  <c r="Z89" i="51"/>
  <c r="V109" i="51"/>
  <c r="T22" i="54"/>
  <c r="Z19" i="55"/>
  <c r="N21" i="55"/>
  <c r="N18" i="56"/>
  <c r="Z29" i="56"/>
  <c r="R45" i="56"/>
  <c r="R73" i="56"/>
  <c r="N19" i="57"/>
  <c r="V22" i="57"/>
  <c r="V31" i="57"/>
  <c r="V24" i="48"/>
  <c r="V28" i="48"/>
  <c r="J32" i="48"/>
  <c r="R33" i="48"/>
  <c r="J36" i="48"/>
  <c r="R37" i="48"/>
  <c r="J40" i="48"/>
  <c r="V44" i="48"/>
  <c r="J52" i="48"/>
  <c r="V56" i="48"/>
  <c r="V64" i="48"/>
  <c r="J72" i="48"/>
  <c r="V52" i="51"/>
  <c r="V56" i="51"/>
  <c r="V65" i="51"/>
  <c r="V89" i="51"/>
  <c r="X102" i="51"/>
  <c r="Z102" i="51" s="1"/>
  <c r="N18" i="55"/>
  <c r="X18" i="56"/>
  <c r="L67" i="56"/>
  <c r="R85" i="56"/>
  <c r="Z29" i="57"/>
  <c r="X29" i="57"/>
  <c r="X55" i="61"/>
  <c r="Z55" i="61" s="1"/>
  <c r="V33" i="48"/>
  <c r="V37" i="48"/>
  <c r="R42" i="48"/>
  <c r="R43" i="48"/>
  <c r="V45" i="48"/>
  <c r="J51" i="48"/>
  <c r="R54" i="48"/>
  <c r="R55" i="48"/>
  <c r="V57" i="48"/>
  <c r="J61" i="48"/>
  <c r="R62" i="48"/>
  <c r="V60" i="51"/>
  <c r="J62" i="51"/>
  <c r="J78" i="51"/>
  <c r="V79" i="51"/>
  <c r="V82" i="51"/>
  <c r="J84" i="51"/>
  <c r="V97" i="51"/>
  <c r="V104" i="51"/>
  <c r="V16" i="54"/>
  <c r="L21" i="55"/>
  <c r="V24" i="55"/>
  <c r="R18" i="56"/>
  <c r="R28" i="56"/>
  <c r="R37" i="56"/>
  <c r="R65" i="56"/>
  <c r="V70" i="57"/>
  <c r="V54" i="57"/>
  <c r="V42" i="57"/>
  <c r="V69" i="57"/>
  <c r="V61" i="57"/>
  <c r="V53" i="57"/>
  <c r="V72" i="57"/>
  <c r="V71" i="57"/>
  <c r="V63" i="57"/>
  <c r="V55" i="57"/>
  <c r="V43" i="57"/>
  <c r="V27" i="57"/>
  <c r="V23" i="57"/>
  <c r="V62" i="57"/>
  <c r="V46" i="57"/>
  <c r="V77" i="57"/>
  <c r="V75" i="57"/>
  <c r="V73" i="57"/>
  <c r="V65" i="57"/>
  <c r="V66" i="57"/>
  <c r="V58" i="57"/>
  <c r="V50" i="57"/>
  <c r="V38" i="57"/>
  <c r="V34" i="57"/>
  <c r="V30" i="57"/>
  <c r="V41" i="57"/>
  <c r="V25" i="57"/>
  <c r="V68" i="57"/>
  <c r="V52" i="57"/>
  <c r="V45" i="57"/>
  <c r="Z12" i="57"/>
  <c r="V36" i="57"/>
  <c r="V29" i="57"/>
  <c r="V28" i="57"/>
  <c r="V19" i="57"/>
  <c r="V26" i="57"/>
  <c r="T16" i="57"/>
  <c r="V20" i="57"/>
  <c r="V84" i="57"/>
  <c r="V67" i="57"/>
  <c r="V64" i="57"/>
  <c r="V56" i="57"/>
  <c r="V39" i="57"/>
  <c r="V37" i="57"/>
  <c r="V32" i="57"/>
  <c r="V59" i="57"/>
  <c r="V40" i="57"/>
  <c r="V24" i="57"/>
  <c r="V21" i="57"/>
  <c r="V44" i="57"/>
  <c r="L18" i="57"/>
  <c r="N18" i="57" s="1"/>
  <c r="Z19" i="57"/>
  <c r="V35" i="57"/>
  <c r="X66" i="45"/>
  <c r="Z66" i="45" s="1"/>
  <c r="N12" i="48"/>
  <c r="J22" i="48"/>
  <c r="R23" i="48"/>
  <c r="J26" i="48"/>
  <c r="R27" i="48"/>
  <c r="V42" i="48"/>
  <c r="X45" i="48"/>
  <c r="Z45" i="48" s="1"/>
  <c r="J50" i="48"/>
  <c r="V54" i="48"/>
  <c r="X57" i="48"/>
  <c r="Z57" i="48" s="1"/>
  <c r="J60" i="48"/>
  <c r="V62" i="48"/>
  <c r="V91" i="51"/>
  <c r="V94" i="51"/>
  <c r="J96" i="51"/>
  <c r="J107" i="51"/>
  <c r="N67" i="56"/>
  <c r="R72" i="56"/>
  <c r="R77" i="56"/>
  <c r="R81" i="56"/>
  <c r="D77" i="57"/>
  <c r="L16" i="57"/>
  <c r="Z53" i="61"/>
  <c r="V23" i="48"/>
  <c r="V27" i="48"/>
  <c r="J31" i="48"/>
  <c r="R32" i="48"/>
  <c r="J35" i="48"/>
  <c r="R36" i="48"/>
  <c r="J39" i="48"/>
  <c r="R40" i="48"/>
  <c r="R41" i="48"/>
  <c r="V43" i="48"/>
  <c r="J49" i="48"/>
  <c r="R52" i="48"/>
  <c r="R53" i="48"/>
  <c r="V55" i="48"/>
  <c r="J59" i="48"/>
  <c r="J67" i="48"/>
  <c r="J68" i="48"/>
  <c r="R72" i="48"/>
  <c r="Z40" i="51"/>
  <c r="V43" i="51"/>
  <c r="V46" i="51"/>
  <c r="V54" i="51"/>
  <c r="N59" i="51"/>
  <c r="V62" i="51"/>
  <c r="J64" i="51"/>
  <c r="V67" i="51"/>
  <c r="J72" i="51"/>
  <c r="X85" i="51"/>
  <c r="Z85" i="51" s="1"/>
  <c r="V88" i="51"/>
  <c r="X14" i="54"/>
  <c r="Z18" i="55"/>
  <c r="R49" i="56"/>
  <c r="N57" i="56"/>
  <c r="X60" i="57"/>
  <c r="Z60" i="57" s="1"/>
  <c r="J71" i="59"/>
  <c r="J69" i="59"/>
  <c r="J61" i="59"/>
  <c r="J53" i="59"/>
  <c r="J43" i="59"/>
  <c r="J37" i="59"/>
  <c r="J33" i="59"/>
  <c r="J19" i="59"/>
  <c r="J44" i="59"/>
  <c r="J28" i="59"/>
  <c r="J24" i="59"/>
  <c r="J20" i="59"/>
  <c r="J18" i="59"/>
  <c r="J16" i="59"/>
  <c r="J14" i="59"/>
  <c r="J73" i="59"/>
  <c r="J45" i="59"/>
  <c r="H16" i="59"/>
  <c r="J62" i="59"/>
  <c r="J54" i="59"/>
  <c r="J46" i="59"/>
  <c r="J38" i="59"/>
  <c r="J34" i="59"/>
  <c r="J78" i="59"/>
  <c r="J75" i="59"/>
  <c r="J63" i="59"/>
  <c r="J47" i="59"/>
  <c r="J29" i="59"/>
  <c r="J25" i="59"/>
  <c r="J21" i="59"/>
  <c r="J64" i="59"/>
  <c r="J48" i="59"/>
  <c r="J30" i="59"/>
  <c r="J65" i="59"/>
  <c r="J55" i="59"/>
  <c r="J49" i="59"/>
  <c r="J39" i="59"/>
  <c r="J35" i="59"/>
  <c r="J31" i="59"/>
  <c r="J66" i="59"/>
  <c r="J56" i="59"/>
  <c r="J50" i="59"/>
  <c r="J57" i="59"/>
  <c r="J51" i="59"/>
  <c r="J60" i="59"/>
  <c r="J42" i="59"/>
  <c r="J58" i="59"/>
  <c r="J36" i="59"/>
  <c r="J67" i="59"/>
  <c r="J41" i="59"/>
  <c r="J26" i="59"/>
  <c r="J52" i="59"/>
  <c r="N12" i="59"/>
  <c r="J59" i="59"/>
  <c r="J32" i="59"/>
  <c r="L12" i="59"/>
  <c r="P69" i="61"/>
  <c r="H17" i="48"/>
  <c r="J30" i="48"/>
  <c r="V32" i="48"/>
  <c r="V36" i="48"/>
  <c r="V40" i="48"/>
  <c r="J48" i="48"/>
  <c r="V52" i="48"/>
  <c r="R61" i="48"/>
  <c r="V72" i="48"/>
  <c r="V40" i="51"/>
  <c r="J45" i="51"/>
  <c r="N58" i="51"/>
  <c r="J59" i="51"/>
  <c r="L83" i="51"/>
  <c r="V84" i="51"/>
  <c r="V90" i="51"/>
  <c r="D102" i="51"/>
  <c r="L102" i="51" s="1"/>
  <c r="N102" i="51" s="1"/>
  <c r="V18" i="55"/>
  <c r="Z21" i="55"/>
  <c r="V35" i="55"/>
  <c r="H16" i="56"/>
  <c r="R64" i="56"/>
  <c r="V49" i="57"/>
  <c r="V60" i="57"/>
  <c r="V79" i="57"/>
  <c r="X12" i="48"/>
  <c r="J15" i="48"/>
  <c r="J19" i="48"/>
  <c r="J21" i="48"/>
  <c r="R22" i="48"/>
  <c r="J25" i="48"/>
  <c r="R26" i="48"/>
  <c r="J29" i="48"/>
  <c r="V41" i="48"/>
  <c r="J47" i="48"/>
  <c r="R50" i="48"/>
  <c r="R51" i="48"/>
  <c r="V53" i="48"/>
  <c r="V61" i="48"/>
  <c r="J65" i="48"/>
  <c r="J53" i="51"/>
  <c r="J58" i="51"/>
  <c r="X59" i="51"/>
  <c r="Z59" i="51" s="1"/>
  <c r="V64" i="51"/>
  <c r="J66" i="51"/>
  <c r="V69" i="51"/>
  <c r="J80" i="51"/>
  <c r="J98" i="51"/>
  <c r="V103" i="51"/>
  <c r="V20" i="54"/>
  <c r="L25" i="55"/>
  <c r="N25" i="55" s="1"/>
  <c r="L29" i="55"/>
  <c r="R63" i="56"/>
  <c r="R71" i="56"/>
  <c r="R70" i="56"/>
  <c r="R58" i="56"/>
  <c r="R47" i="56"/>
  <c r="R46" i="56"/>
  <c r="R38" i="56"/>
  <c r="R34" i="56"/>
  <c r="R30" i="56"/>
  <c r="R83" i="56"/>
  <c r="R25" i="56"/>
  <c r="R21" i="56"/>
  <c r="R59" i="56"/>
  <c r="R40" i="56"/>
  <c r="R39" i="56"/>
  <c r="R35" i="56"/>
  <c r="R31" i="56"/>
  <c r="R75" i="56"/>
  <c r="R74" i="56"/>
  <c r="R67" i="56"/>
  <c r="R66" i="56"/>
  <c r="R51" i="56"/>
  <c r="R50" i="56"/>
  <c r="R26" i="56"/>
  <c r="R22" i="56"/>
  <c r="R42" i="56"/>
  <c r="R41" i="56"/>
  <c r="R76" i="56"/>
  <c r="R68" i="56"/>
  <c r="R61" i="56"/>
  <c r="R60" i="56"/>
  <c r="R53" i="56"/>
  <c r="R52" i="56"/>
  <c r="R36" i="56"/>
  <c r="R32" i="56"/>
  <c r="X12" i="56"/>
  <c r="R44" i="56"/>
  <c r="R43" i="56"/>
  <c r="R27" i="56"/>
  <c r="R23" i="56"/>
  <c r="R62" i="56"/>
  <c r="R55" i="56"/>
  <c r="R54" i="56"/>
  <c r="P16" i="56"/>
  <c r="X57" i="56"/>
  <c r="Z57" i="56" s="1"/>
  <c r="Z67" i="56"/>
  <c r="R69" i="56"/>
  <c r="Z12" i="48"/>
  <c r="J20" i="48"/>
  <c r="V22" i="48"/>
  <c r="V26" i="48"/>
  <c r="R31" i="48"/>
  <c r="J34" i="48"/>
  <c r="R35" i="48"/>
  <c r="J38" i="48"/>
  <c r="R39" i="48"/>
  <c r="J46" i="48"/>
  <c r="J58" i="48"/>
  <c r="R59" i="48"/>
  <c r="R60" i="48"/>
  <c r="V48" i="51"/>
  <c r="J74" i="51"/>
  <c r="V75" i="51"/>
  <c r="J77" i="51"/>
  <c r="J86" i="51"/>
  <c r="L89" i="51"/>
  <c r="N89" i="51" s="1"/>
  <c r="J92" i="51"/>
  <c r="J95" i="51"/>
  <c r="V99" i="51"/>
  <c r="H16" i="55"/>
  <c r="R57" i="56"/>
  <c r="V51" i="57"/>
  <c r="N58" i="58"/>
  <c r="J75" i="56"/>
  <c r="Z40" i="57"/>
  <c r="N46" i="57"/>
  <c r="V45" i="58"/>
  <c r="V37" i="58"/>
  <c r="V33" i="58"/>
  <c r="T16" i="58"/>
  <c r="V76" i="58"/>
  <c r="V74" i="58"/>
  <c r="V72" i="58"/>
  <c r="V64" i="58"/>
  <c r="V56" i="58"/>
  <c r="V44" i="58"/>
  <c r="V28" i="58"/>
  <c r="V24" i="58"/>
  <c r="V20" i="58"/>
  <c r="V47" i="58"/>
  <c r="V58" i="58"/>
  <c r="V46" i="58"/>
  <c r="V38" i="58"/>
  <c r="V34" i="58"/>
  <c r="V30" i="58"/>
  <c r="V65" i="58"/>
  <c r="V57" i="58"/>
  <c r="V49" i="58"/>
  <c r="V29" i="58"/>
  <c r="V25" i="58"/>
  <c r="V21" i="58"/>
  <c r="V83" i="58"/>
  <c r="V80" i="58"/>
  <c r="V78" i="58"/>
  <c r="V48" i="58"/>
  <c r="V67" i="58"/>
  <c r="V59" i="58"/>
  <c r="V51" i="58"/>
  <c r="V39" i="58"/>
  <c r="V35" i="58"/>
  <c r="V31" i="58"/>
  <c r="V69" i="58"/>
  <c r="V61" i="58"/>
  <c r="V53" i="58"/>
  <c r="V41" i="58"/>
  <c r="V23" i="58"/>
  <c r="V40" i="58"/>
  <c r="V52" i="58"/>
  <c r="N18" i="60"/>
  <c r="J19" i="55"/>
  <c r="R22" i="55"/>
  <c r="R23" i="55"/>
  <c r="J29" i="55"/>
  <c r="J31" i="55"/>
  <c r="R35" i="55"/>
  <c r="R38" i="55"/>
  <c r="V14" i="56"/>
  <c r="V16" i="56"/>
  <c r="V18" i="56"/>
  <c r="J22" i="56"/>
  <c r="J26" i="56"/>
  <c r="F31" i="56"/>
  <c r="F35" i="56"/>
  <c r="F39" i="56"/>
  <c r="J40" i="56"/>
  <c r="J50" i="56"/>
  <c r="V54" i="56"/>
  <c r="F59" i="56"/>
  <c r="V62" i="56"/>
  <c r="J66" i="56"/>
  <c r="J74" i="56"/>
  <c r="F47" i="57"/>
  <c r="F46" i="57"/>
  <c r="F77" i="57"/>
  <c r="F75" i="57"/>
  <c r="F66" i="57"/>
  <c r="F65" i="57"/>
  <c r="F79" i="57"/>
  <c r="F68" i="57"/>
  <c r="F67" i="57"/>
  <c r="F59" i="57"/>
  <c r="F58" i="57"/>
  <c r="F51" i="57"/>
  <c r="F50" i="57"/>
  <c r="F39" i="57"/>
  <c r="F35" i="57"/>
  <c r="F31" i="57"/>
  <c r="F84" i="57"/>
  <c r="F81" i="57"/>
  <c r="F69" i="57"/>
  <c r="F71" i="57"/>
  <c r="F70" i="57"/>
  <c r="F55" i="57"/>
  <c r="F54" i="57"/>
  <c r="F43" i="57"/>
  <c r="F42" i="57"/>
  <c r="F27" i="57"/>
  <c r="F23" i="57"/>
  <c r="L14" i="57"/>
  <c r="J19" i="57"/>
  <c r="F26" i="57"/>
  <c r="J29" i="57"/>
  <c r="F49" i="57"/>
  <c r="Z65" i="57"/>
  <c r="X65" i="57"/>
  <c r="R67" i="57"/>
  <c r="R84" i="57"/>
  <c r="X12" i="58"/>
  <c r="V27" i="58"/>
  <c r="V32" i="58"/>
  <c r="V42" i="58"/>
  <c r="V54" i="58"/>
  <c r="N63" i="58"/>
  <c r="V70" i="58"/>
  <c r="P16" i="59"/>
  <c r="V30" i="59"/>
  <c r="V44" i="59"/>
  <c r="V46" i="59"/>
  <c r="L58" i="59"/>
  <c r="Z44" i="61"/>
  <c r="F108" i="69"/>
  <c r="T129" i="71"/>
  <c r="J26" i="54"/>
  <c r="J28" i="54"/>
  <c r="J29" i="54"/>
  <c r="R33" i="55"/>
  <c r="J31" i="56"/>
  <c r="J35" i="56"/>
  <c r="J39" i="56"/>
  <c r="F47" i="56"/>
  <c r="F48" i="56"/>
  <c r="J49" i="56"/>
  <c r="J59" i="56"/>
  <c r="F64" i="56"/>
  <c r="J65" i="56"/>
  <c r="F71" i="56"/>
  <c r="F72" i="56"/>
  <c r="J73" i="56"/>
  <c r="J85" i="56"/>
  <c r="J88" i="56"/>
  <c r="J66" i="57"/>
  <c r="J48" i="57"/>
  <c r="J38" i="57"/>
  <c r="J34" i="57"/>
  <c r="J30" i="57"/>
  <c r="J79" i="57"/>
  <c r="J67" i="57"/>
  <c r="J57" i="57"/>
  <c r="J68" i="57"/>
  <c r="J84" i="57"/>
  <c r="J81" i="57"/>
  <c r="J59" i="57"/>
  <c r="J51" i="57"/>
  <c r="J39" i="57"/>
  <c r="J35" i="57"/>
  <c r="J31" i="57"/>
  <c r="J60" i="57"/>
  <c r="J52" i="57"/>
  <c r="J40" i="57"/>
  <c r="J26" i="57"/>
  <c r="J69" i="57"/>
  <c r="J61" i="57"/>
  <c r="J70" i="57"/>
  <c r="J72" i="57"/>
  <c r="J62" i="57"/>
  <c r="J44" i="57"/>
  <c r="J23" i="57"/>
  <c r="R37" i="57"/>
  <c r="N42" i="57"/>
  <c r="J49" i="57"/>
  <c r="L52" i="57"/>
  <c r="N52" i="57" s="1"/>
  <c r="R53" i="57"/>
  <c r="R56" i="57"/>
  <c r="L63" i="57"/>
  <c r="N63" i="57" s="1"/>
  <c r="R64" i="57"/>
  <c r="R77" i="57"/>
  <c r="Z12" i="58"/>
  <c r="V18" i="58"/>
  <c r="V94" i="64"/>
  <c r="V86" i="64"/>
  <c r="V74" i="64"/>
  <c r="V66" i="64"/>
  <c r="V54" i="64"/>
  <c r="V42" i="64"/>
  <c r="V26" i="64"/>
  <c r="V22" i="64"/>
  <c r="V93" i="64"/>
  <c r="V81" i="64"/>
  <c r="V65" i="64"/>
  <c r="V49" i="64"/>
  <c r="V41" i="64"/>
  <c r="V112" i="64"/>
  <c r="V109" i="64"/>
  <c r="V107" i="64"/>
  <c r="V95" i="64"/>
  <c r="V87" i="64"/>
  <c r="V83" i="64"/>
  <c r="V75" i="64"/>
  <c r="V67" i="64"/>
  <c r="V43" i="64"/>
  <c r="V27" i="64"/>
  <c r="V23" i="64"/>
  <c r="V19" i="64"/>
  <c r="V82" i="64"/>
  <c r="V70" i="64"/>
  <c r="V58" i="64"/>
  <c r="V50" i="64"/>
  <c r="V97" i="64"/>
  <c r="V77" i="64"/>
  <c r="V69" i="64"/>
  <c r="V57" i="64"/>
  <c r="V45" i="64"/>
  <c r="V37" i="64"/>
  <c r="V33" i="64"/>
  <c r="V29" i="64"/>
  <c r="T16" i="64"/>
  <c r="V96" i="64"/>
  <c r="V88" i="64"/>
  <c r="V84" i="64"/>
  <c r="V72" i="64"/>
  <c r="V60" i="64"/>
  <c r="V52" i="64"/>
  <c r="V44" i="64"/>
  <c r="V28" i="64"/>
  <c r="V24" i="64"/>
  <c r="V20" i="64"/>
  <c r="V71" i="64"/>
  <c r="V59" i="64"/>
  <c r="V51" i="64"/>
  <c r="V47" i="64"/>
  <c r="V100" i="64"/>
  <c r="V98" i="64"/>
  <c r="V90" i="64"/>
  <c r="V78" i="64"/>
  <c r="V62" i="64"/>
  <c r="V46" i="64"/>
  <c r="V38" i="64"/>
  <c r="V34" i="64"/>
  <c r="V30" i="64"/>
  <c r="V32" i="64"/>
  <c r="V18" i="64"/>
  <c r="V63" i="64"/>
  <c r="V61" i="64"/>
  <c r="V56" i="64"/>
  <c r="V21" i="64"/>
  <c r="V73" i="64"/>
  <c r="V103" i="64"/>
  <c r="V79" i="64"/>
  <c r="V64" i="64"/>
  <c r="V14" i="64"/>
  <c r="V101" i="64"/>
  <c r="V48" i="64"/>
  <c r="V80" i="64"/>
  <c r="V91" i="64"/>
  <c r="V89" i="64"/>
  <c r="V39" i="64"/>
  <c r="V35" i="64"/>
  <c r="V76" i="64"/>
  <c r="V55" i="64"/>
  <c r="V31" i="64"/>
  <c r="V92" i="64"/>
  <c r="V85" i="64"/>
  <c r="V40" i="64"/>
  <c r="V16" i="64"/>
  <c r="V105" i="64"/>
  <c r="J48" i="56"/>
  <c r="J64" i="56"/>
  <c r="J72" i="56"/>
  <c r="P16" i="57"/>
  <c r="R50" i="57"/>
  <c r="V65" i="59"/>
  <c r="V49" i="59"/>
  <c r="V29" i="59"/>
  <c r="V25" i="59"/>
  <c r="V21" i="59"/>
  <c r="V64" i="59"/>
  <c r="V56" i="59"/>
  <c r="V48" i="59"/>
  <c r="V55" i="59"/>
  <c r="V51" i="59"/>
  <c r="V39" i="59"/>
  <c r="V35" i="59"/>
  <c r="V31" i="59"/>
  <c r="V66" i="59"/>
  <c r="V58" i="59"/>
  <c r="V50" i="59"/>
  <c r="V26" i="59"/>
  <c r="V22" i="59"/>
  <c r="V57" i="59"/>
  <c r="V41" i="59"/>
  <c r="V60" i="59"/>
  <c r="V52" i="59"/>
  <c r="V40" i="59"/>
  <c r="V36" i="59"/>
  <c r="V32" i="59"/>
  <c r="Z12" i="59"/>
  <c r="V71" i="59"/>
  <c r="V69" i="59"/>
  <c r="V67" i="59"/>
  <c r="V59" i="59"/>
  <c r="V43" i="59"/>
  <c r="V27" i="59"/>
  <c r="V23" i="59"/>
  <c r="V19" i="59"/>
  <c r="X12" i="59"/>
  <c r="V42" i="59"/>
  <c r="V61" i="59"/>
  <c r="V53" i="59"/>
  <c r="V45" i="59"/>
  <c r="V37" i="59"/>
  <c r="V33" i="59"/>
  <c r="T16" i="59"/>
  <c r="V16" i="59"/>
  <c r="V24" i="59"/>
  <c r="N58" i="59"/>
  <c r="V78" i="59"/>
  <c r="R14" i="55"/>
  <c r="R16" i="55"/>
  <c r="R18" i="55"/>
  <c r="D16" i="56"/>
  <c r="J21" i="56"/>
  <c r="J25" i="56"/>
  <c r="F29" i="56"/>
  <c r="F30" i="56"/>
  <c r="F34" i="56"/>
  <c r="F38" i="56"/>
  <c r="F46" i="56"/>
  <c r="J47" i="56"/>
  <c r="F57" i="56"/>
  <c r="F58" i="56"/>
  <c r="F70" i="56"/>
  <c r="J71" i="56"/>
  <c r="F79" i="56"/>
  <c r="F81" i="56"/>
  <c r="J83" i="56"/>
  <c r="R14" i="57"/>
  <c r="R16" i="57"/>
  <c r="R18" i="57"/>
  <c r="R26" i="57"/>
  <c r="J28" i="57"/>
  <c r="J36" i="57"/>
  <c r="J45" i="57"/>
  <c r="R46" i="57"/>
  <c r="J55" i="57"/>
  <c r="L70" i="57"/>
  <c r="N70" i="57" s="1"/>
  <c r="V16" i="58"/>
  <c r="L30" i="58"/>
  <c r="N30" i="58" s="1"/>
  <c r="X51" i="58"/>
  <c r="Z51" i="58" s="1"/>
  <c r="X61" i="58"/>
  <c r="Z61" i="58" s="1"/>
  <c r="V63" i="58"/>
  <c r="X67" i="58"/>
  <c r="Z67" i="58" s="1"/>
  <c r="V34" i="59"/>
  <c r="N46" i="60"/>
  <c r="N19" i="61"/>
  <c r="H16" i="54"/>
  <c r="R19" i="55"/>
  <c r="R29" i="55"/>
  <c r="R31" i="55"/>
  <c r="J30" i="56"/>
  <c r="J34" i="56"/>
  <c r="J38" i="56"/>
  <c r="J46" i="56"/>
  <c r="J58" i="56"/>
  <c r="J70" i="56"/>
  <c r="R60" i="57"/>
  <c r="R59" i="57"/>
  <c r="R52" i="57"/>
  <c r="R51" i="57"/>
  <c r="R40" i="57"/>
  <c r="R39" i="57"/>
  <c r="R35" i="57"/>
  <c r="R31" i="57"/>
  <c r="R70" i="57"/>
  <c r="R69" i="57"/>
  <c r="R36" i="57"/>
  <c r="R32" i="57"/>
  <c r="R72" i="57"/>
  <c r="R71" i="57"/>
  <c r="R55" i="57"/>
  <c r="R44" i="57"/>
  <c r="R43" i="57"/>
  <c r="R27" i="57"/>
  <c r="R63" i="57"/>
  <c r="R62" i="57"/>
  <c r="R73" i="57"/>
  <c r="R48" i="57"/>
  <c r="R47" i="57"/>
  <c r="R19" i="57"/>
  <c r="R23" i="57"/>
  <c r="R29" i="57"/>
  <c r="R34" i="57"/>
  <c r="J41" i="57"/>
  <c r="R49" i="57"/>
  <c r="J58" i="57"/>
  <c r="J63" i="57"/>
  <c r="R66" i="57"/>
  <c r="N72" i="57"/>
  <c r="J75" i="57"/>
  <c r="R79" i="57"/>
  <c r="V22" i="58"/>
  <c r="V36" i="58"/>
  <c r="V60" i="58"/>
  <c r="X63" i="58"/>
  <c r="Z63" i="58" s="1"/>
  <c r="X19" i="59"/>
  <c r="Z19" i="59" s="1"/>
  <c r="V102" i="64"/>
  <c r="F23" i="55"/>
  <c r="F24" i="55"/>
  <c r="J25" i="55"/>
  <c r="F35" i="55"/>
  <c r="J14" i="56"/>
  <c r="J16" i="56"/>
  <c r="J18" i="56"/>
  <c r="J20" i="56"/>
  <c r="J24" i="56"/>
  <c r="J28" i="56"/>
  <c r="F33" i="56"/>
  <c r="F37" i="56"/>
  <c r="V40" i="56"/>
  <c r="F44" i="56"/>
  <c r="F45" i="56"/>
  <c r="V48" i="56"/>
  <c r="J56" i="56"/>
  <c r="V64" i="56"/>
  <c r="F69" i="56"/>
  <c r="V72" i="56"/>
  <c r="F77" i="56"/>
  <c r="X12" i="57"/>
  <c r="J33" i="57"/>
  <c r="L40" i="57"/>
  <c r="R45" i="57"/>
  <c r="Z52" i="57"/>
  <c r="F57" i="57"/>
  <c r="R58" i="57"/>
  <c r="R68" i="57"/>
  <c r="P80" i="58"/>
  <c r="N19" i="58"/>
  <c r="L45" i="58"/>
  <c r="V50" i="58"/>
  <c r="V28" i="59"/>
  <c r="V38" i="59"/>
  <c r="Z43" i="59"/>
  <c r="X45" i="59"/>
  <c r="X63" i="59"/>
  <c r="Z63" i="59" s="1"/>
  <c r="Z42" i="60"/>
  <c r="X44" i="60"/>
  <c r="Z44" i="60" s="1"/>
  <c r="T65" i="60"/>
  <c r="V69" i="61"/>
  <c r="V57" i="61"/>
  <c r="V45" i="61"/>
  <c r="V37" i="61"/>
  <c r="V33" i="61"/>
  <c r="V29" i="61"/>
  <c r="T16" i="61"/>
  <c r="V56" i="61"/>
  <c r="V48" i="61"/>
  <c r="V28" i="61"/>
  <c r="V24" i="61"/>
  <c r="V20" i="61"/>
  <c r="V47" i="61"/>
  <c r="V62" i="61"/>
  <c r="V60" i="61"/>
  <c r="V58" i="61"/>
  <c r="V50" i="61"/>
  <c r="V38" i="61"/>
  <c r="V34" i="61"/>
  <c r="V30" i="61"/>
  <c r="V49" i="61"/>
  <c r="V25" i="61"/>
  <c r="V21" i="61"/>
  <c r="V40" i="61"/>
  <c r="V51" i="61"/>
  <c r="V39" i="61"/>
  <c r="V35" i="61"/>
  <c r="V31" i="61"/>
  <c r="V66" i="61"/>
  <c r="V64" i="61"/>
  <c r="V42" i="61"/>
  <c r="V26" i="61"/>
  <c r="V22" i="61"/>
  <c r="V53" i="61"/>
  <c r="V41" i="61"/>
  <c r="Z19" i="61"/>
  <c r="N29" i="61"/>
  <c r="V32" i="61"/>
  <c r="L50" i="61"/>
  <c r="N55" i="61"/>
  <c r="L60" i="61"/>
  <c r="J19" i="56"/>
  <c r="J33" i="56"/>
  <c r="J37" i="56"/>
  <c r="J45" i="56"/>
  <c r="F53" i="56"/>
  <c r="F54" i="56"/>
  <c r="J55" i="56"/>
  <c r="F61" i="56"/>
  <c r="V65" i="56"/>
  <c r="J69" i="56"/>
  <c r="V73" i="56"/>
  <c r="J77" i="56"/>
  <c r="V83" i="56"/>
  <c r="V85" i="56"/>
  <c r="R25" i="57"/>
  <c r="R41" i="57"/>
  <c r="J47" i="57"/>
  <c r="J54" i="57"/>
  <c r="J65" i="57"/>
  <c r="N45" i="58"/>
  <c r="Z55" i="58"/>
  <c r="V62" i="58"/>
  <c r="V66" i="58"/>
  <c r="Z69" i="58"/>
  <c r="Z47" i="59"/>
  <c r="N51" i="59"/>
  <c r="V73" i="59"/>
  <c r="D61" i="60"/>
  <c r="L56" i="60"/>
  <c r="F96" i="69"/>
  <c r="F115" i="69"/>
  <c r="F114" i="69"/>
  <c r="F107" i="69"/>
  <c r="F106" i="69"/>
  <c r="F117" i="69"/>
  <c r="F121" i="69"/>
  <c r="F110" i="69"/>
  <c r="F109" i="69"/>
  <c r="F102" i="69"/>
  <c r="F101" i="69"/>
  <c r="F104" i="69"/>
  <c r="F103" i="69"/>
  <c r="F113" i="69"/>
  <c r="F76" i="69"/>
  <c r="F72" i="69"/>
  <c r="F91" i="69"/>
  <c r="F90" i="69"/>
  <c r="F63" i="69"/>
  <c r="F59" i="69"/>
  <c r="F55" i="69"/>
  <c r="F51" i="69"/>
  <c r="F47" i="69"/>
  <c r="F99" i="69"/>
  <c r="F86" i="69"/>
  <c r="F82" i="69"/>
  <c r="F93" i="69"/>
  <c r="F92" i="69"/>
  <c r="F77" i="69"/>
  <c r="F73" i="69"/>
  <c r="F111" i="69"/>
  <c r="F64" i="69"/>
  <c r="F60" i="69"/>
  <c r="F56" i="69"/>
  <c r="F52" i="69"/>
  <c r="F48" i="69"/>
  <c r="F87" i="69"/>
  <c r="F83" i="69"/>
  <c r="F97" i="69"/>
  <c r="F94" i="69"/>
  <c r="F78" i="69"/>
  <c r="F74" i="69"/>
  <c r="F70" i="69"/>
  <c r="F69" i="69"/>
  <c r="F105" i="69"/>
  <c r="F100" i="69"/>
  <c r="F68" i="69"/>
  <c r="F61" i="69"/>
  <c r="F57" i="69"/>
  <c r="F53" i="69"/>
  <c r="F49" i="69"/>
  <c r="F45" i="69"/>
  <c r="F44" i="69"/>
  <c r="F112" i="69"/>
  <c r="F88" i="69"/>
  <c r="F84" i="69"/>
  <c r="F80" i="69"/>
  <c r="F79" i="69"/>
  <c r="D66" i="69"/>
  <c r="L12" i="69"/>
  <c r="F75" i="69"/>
  <c r="F62" i="69"/>
  <c r="F58" i="69"/>
  <c r="F54" i="69"/>
  <c r="F89" i="69"/>
  <c r="F85" i="69"/>
  <c r="F81" i="69"/>
  <c r="F50" i="69"/>
  <c r="F46" i="69"/>
  <c r="F98" i="69"/>
  <c r="F71" i="69"/>
  <c r="J44" i="56"/>
  <c r="J54" i="56"/>
  <c r="R22" i="57"/>
  <c r="R38" i="57"/>
  <c r="Z48" i="57"/>
  <c r="R75" i="57"/>
  <c r="R81" i="57"/>
  <c r="Z41" i="58"/>
  <c r="Z43" i="58"/>
  <c r="Z53" i="58"/>
  <c r="V55" i="58"/>
  <c r="Z71" i="58"/>
  <c r="Z45" i="59"/>
  <c r="V47" i="59"/>
  <c r="N50" i="61"/>
  <c r="X53" i="61"/>
  <c r="X16" i="64"/>
  <c r="Z90" i="64"/>
  <c r="T71" i="68"/>
  <c r="N29" i="68"/>
  <c r="Z99" i="69"/>
  <c r="D16" i="58"/>
  <c r="J21" i="58"/>
  <c r="R22" i="58"/>
  <c r="J25" i="58"/>
  <c r="R26" i="58"/>
  <c r="J29" i="58"/>
  <c r="F34" i="58"/>
  <c r="F38" i="58"/>
  <c r="F45" i="58"/>
  <c r="F46" i="58"/>
  <c r="J47" i="58"/>
  <c r="R50" i="58"/>
  <c r="R51" i="58"/>
  <c r="J57" i="58"/>
  <c r="J65" i="58"/>
  <c r="R66" i="58"/>
  <c r="R67" i="58"/>
  <c r="R19" i="59"/>
  <c r="F22" i="59"/>
  <c r="F26" i="59"/>
  <c r="R42" i="59"/>
  <c r="R43" i="59"/>
  <c r="F49" i="59"/>
  <c r="F50" i="59"/>
  <c r="F65" i="59"/>
  <c r="F66" i="59"/>
  <c r="R69" i="59"/>
  <c r="R71" i="59"/>
  <c r="F14" i="60"/>
  <c r="F16" i="60"/>
  <c r="F18" i="60"/>
  <c r="V22" i="60"/>
  <c r="V26" i="60"/>
  <c r="J30" i="60"/>
  <c r="R31" i="60"/>
  <c r="J34" i="60"/>
  <c r="R35" i="60"/>
  <c r="J38" i="60"/>
  <c r="R39" i="60"/>
  <c r="R40" i="60"/>
  <c r="V42" i="60"/>
  <c r="F46" i="60"/>
  <c r="F47" i="60"/>
  <c r="V50" i="60"/>
  <c r="F54" i="60"/>
  <c r="F55" i="60"/>
  <c r="J56" i="60"/>
  <c r="D16" i="61"/>
  <c r="J21" i="61"/>
  <c r="R22" i="61"/>
  <c r="J25" i="61"/>
  <c r="R26" i="61"/>
  <c r="F29" i="61"/>
  <c r="F30" i="61"/>
  <c r="F34" i="61"/>
  <c r="F38" i="61"/>
  <c r="J49" i="61"/>
  <c r="F57" i="61"/>
  <c r="F58" i="61"/>
  <c r="R64" i="61"/>
  <c r="F19" i="64"/>
  <c r="F33" i="64"/>
  <c r="F37" i="64"/>
  <c r="R78" i="64"/>
  <c r="R94" i="64"/>
  <c r="L15" i="69"/>
  <c r="Z97" i="69"/>
  <c r="J106" i="69"/>
  <c r="D12" i="71"/>
  <c r="R74" i="74"/>
  <c r="R70" i="74"/>
  <c r="R95" i="74"/>
  <c r="R82" i="74"/>
  <c r="R81" i="74"/>
  <c r="R66" i="74"/>
  <c r="R65" i="74"/>
  <c r="R61" i="74"/>
  <c r="R57" i="74"/>
  <c r="R52" i="74"/>
  <c r="R48" i="74"/>
  <c r="R44" i="74"/>
  <c r="R40" i="74"/>
  <c r="R84" i="74"/>
  <c r="R83" i="74"/>
  <c r="R75" i="74"/>
  <c r="R71" i="74"/>
  <c r="R67" i="74"/>
  <c r="R56" i="74"/>
  <c r="R54" i="74"/>
  <c r="R36" i="74"/>
  <c r="R86" i="74"/>
  <c r="R85" i="74"/>
  <c r="R49" i="74"/>
  <c r="R45" i="74"/>
  <c r="R41" i="74"/>
  <c r="R37" i="74"/>
  <c r="R88" i="74"/>
  <c r="R87" i="74"/>
  <c r="R63" i="74"/>
  <c r="R59" i="74"/>
  <c r="R79" i="74"/>
  <c r="R78" i="74"/>
  <c r="R50" i="74"/>
  <c r="R46" i="74"/>
  <c r="R42" i="74"/>
  <c r="R38" i="74"/>
  <c r="R89" i="74"/>
  <c r="R76" i="74"/>
  <c r="R62" i="74"/>
  <c r="R60" i="74"/>
  <c r="R58" i="74"/>
  <c r="R43" i="74"/>
  <c r="R72" i="74"/>
  <c r="R77" i="74"/>
  <c r="R39" i="74"/>
  <c r="R91" i="74"/>
  <c r="R68" i="74"/>
  <c r="R73" i="74"/>
  <c r="P54" i="74"/>
  <c r="X12" i="74"/>
  <c r="Z12" i="74" s="1"/>
  <c r="R51" i="74"/>
  <c r="R47" i="74"/>
  <c r="H16" i="60"/>
  <c r="X40" i="64"/>
  <c r="Z40" i="64" s="1"/>
  <c r="X92" i="64"/>
  <c r="Z92" i="64" s="1"/>
  <c r="D64" i="68"/>
  <c r="J90" i="69"/>
  <c r="N28" i="73"/>
  <c r="L28" i="73"/>
  <c r="H16" i="58"/>
  <c r="F19" i="58"/>
  <c r="F20" i="58"/>
  <c r="F24" i="58"/>
  <c r="F28" i="58"/>
  <c r="F43" i="58"/>
  <c r="F44" i="58"/>
  <c r="J45" i="58"/>
  <c r="R48" i="58"/>
  <c r="R49" i="58"/>
  <c r="F55" i="58"/>
  <c r="F56" i="58"/>
  <c r="F63" i="58"/>
  <c r="F64" i="58"/>
  <c r="F71" i="58"/>
  <c r="F72" i="58"/>
  <c r="R78" i="58"/>
  <c r="R40" i="59"/>
  <c r="R41" i="59"/>
  <c r="F47" i="59"/>
  <c r="F48" i="59"/>
  <c r="R52" i="59"/>
  <c r="F63" i="59"/>
  <c r="F64" i="59"/>
  <c r="F75" i="59"/>
  <c r="F78" i="59"/>
  <c r="J14" i="60"/>
  <c r="J16" i="60"/>
  <c r="J18" i="60"/>
  <c r="J20" i="60"/>
  <c r="R21" i="60"/>
  <c r="J24" i="60"/>
  <c r="R25" i="60"/>
  <c r="J28" i="60"/>
  <c r="F33" i="60"/>
  <c r="F37" i="60"/>
  <c r="V40" i="60"/>
  <c r="F44" i="60"/>
  <c r="F45" i="60"/>
  <c r="J46" i="60"/>
  <c r="V48" i="60"/>
  <c r="F53" i="60"/>
  <c r="J54" i="60"/>
  <c r="R57" i="60"/>
  <c r="H16" i="61"/>
  <c r="F19" i="61"/>
  <c r="F20" i="61"/>
  <c r="F24" i="61"/>
  <c r="F28" i="61"/>
  <c r="F55" i="61"/>
  <c r="F56" i="61"/>
  <c r="L14" i="64"/>
  <c r="R24" i="64"/>
  <c r="X62" i="64"/>
  <c r="P12" i="69"/>
  <c r="R57" i="58"/>
  <c r="R58" i="58"/>
  <c r="R65" i="58"/>
  <c r="R38" i="60"/>
  <c r="J53" i="60"/>
  <c r="F65" i="60"/>
  <c r="F68" i="60"/>
  <c r="R60" i="61"/>
  <c r="R62" i="61"/>
  <c r="N18" i="64"/>
  <c r="R29" i="64"/>
  <c r="R46" i="64"/>
  <c r="R48" i="64"/>
  <c r="R62" i="64"/>
  <c r="R101" i="64"/>
  <c r="X53" i="68"/>
  <c r="Z53" i="68" s="1"/>
  <c r="X13" i="69"/>
  <c r="Z13" i="69" s="1"/>
  <c r="J76" i="69"/>
  <c r="X75" i="57"/>
  <c r="L14" i="58"/>
  <c r="L18" i="58"/>
  <c r="N18" i="58" s="1"/>
  <c r="R34" i="58"/>
  <c r="R38" i="58"/>
  <c r="F41" i="58"/>
  <c r="F42" i="58"/>
  <c r="R46" i="58"/>
  <c r="R47" i="58"/>
  <c r="F53" i="58"/>
  <c r="F54" i="58"/>
  <c r="J55" i="58"/>
  <c r="F61" i="58"/>
  <c r="F62" i="58"/>
  <c r="J63" i="58"/>
  <c r="F69" i="58"/>
  <c r="F70" i="58"/>
  <c r="J71" i="58"/>
  <c r="D16" i="59"/>
  <c r="F34" i="59"/>
  <c r="F38" i="59"/>
  <c r="F45" i="59"/>
  <c r="F46" i="59"/>
  <c r="R50" i="59"/>
  <c r="R51" i="59"/>
  <c r="F54" i="59"/>
  <c r="F62" i="59"/>
  <c r="R66" i="59"/>
  <c r="F23" i="60"/>
  <c r="F27" i="60"/>
  <c r="V30" i="60"/>
  <c r="V34" i="60"/>
  <c r="V38" i="60"/>
  <c r="F42" i="60"/>
  <c r="F43" i="60"/>
  <c r="J44" i="60"/>
  <c r="R47" i="60"/>
  <c r="R55" i="60"/>
  <c r="R56" i="60"/>
  <c r="X59" i="60"/>
  <c r="R30" i="61"/>
  <c r="R34" i="61"/>
  <c r="R38" i="61"/>
  <c r="F53" i="61"/>
  <c r="F54" i="61"/>
  <c r="R58" i="61"/>
  <c r="R41" i="64"/>
  <c r="Z62" i="64"/>
  <c r="X80" i="64"/>
  <c r="Z80" i="64" s="1"/>
  <c r="R93" i="64"/>
  <c r="R98" i="64"/>
  <c r="Z16" i="68"/>
  <c r="J46" i="69"/>
  <c r="Z69" i="69"/>
  <c r="N109" i="69"/>
  <c r="L85" i="76"/>
  <c r="N85" i="76" s="1"/>
  <c r="D83" i="76"/>
  <c r="F23" i="58"/>
  <c r="F27" i="58"/>
  <c r="J42" i="58"/>
  <c r="J54" i="58"/>
  <c r="J62" i="58"/>
  <c r="J70" i="58"/>
  <c r="R74" i="58"/>
  <c r="R76" i="58"/>
  <c r="F14" i="59"/>
  <c r="F16" i="59"/>
  <c r="F18" i="59"/>
  <c r="R31" i="59"/>
  <c r="R35" i="59"/>
  <c r="R39" i="59"/>
  <c r="R55" i="59"/>
  <c r="R56" i="59"/>
  <c r="F73" i="59"/>
  <c r="L12" i="60"/>
  <c r="P16" i="60"/>
  <c r="R20" i="60"/>
  <c r="J23" i="60"/>
  <c r="R24" i="60"/>
  <c r="J27" i="60"/>
  <c r="R28" i="60"/>
  <c r="R29" i="60"/>
  <c r="F32" i="60"/>
  <c r="F36" i="60"/>
  <c r="J43" i="60"/>
  <c r="V47" i="60"/>
  <c r="F51" i="60"/>
  <c r="F52" i="60"/>
  <c r="V55" i="60"/>
  <c r="J65" i="60"/>
  <c r="J68" i="60"/>
  <c r="F23" i="61"/>
  <c r="F27" i="61"/>
  <c r="F42" i="61"/>
  <c r="F43" i="61"/>
  <c r="J44" i="61"/>
  <c r="R47" i="61"/>
  <c r="R48" i="61"/>
  <c r="F66" i="61"/>
  <c r="F69" i="61"/>
  <c r="F71" i="64"/>
  <c r="F70" i="64"/>
  <c r="F59" i="64"/>
  <c r="F58" i="64"/>
  <c r="F51" i="64"/>
  <c r="F18" i="64"/>
  <c r="F16" i="64"/>
  <c r="F14" i="64"/>
  <c r="F98" i="64"/>
  <c r="F97" i="64"/>
  <c r="F78" i="64"/>
  <c r="F46" i="64"/>
  <c r="F45" i="64"/>
  <c r="F38" i="64"/>
  <c r="F34" i="64"/>
  <c r="F30" i="64"/>
  <c r="F29" i="64"/>
  <c r="F101" i="64"/>
  <c r="F48" i="64"/>
  <c r="F47" i="64"/>
  <c r="F102" i="64"/>
  <c r="F100" i="64"/>
  <c r="F91" i="64"/>
  <c r="F90" i="64"/>
  <c r="F79" i="64"/>
  <c r="F63" i="64"/>
  <c r="F62" i="64"/>
  <c r="F39" i="64"/>
  <c r="F35" i="64"/>
  <c r="F31" i="64"/>
  <c r="F103" i="64"/>
  <c r="F86" i="64"/>
  <c r="F74" i="64"/>
  <c r="F54" i="64"/>
  <c r="F26" i="64"/>
  <c r="F22" i="64"/>
  <c r="F93" i="64"/>
  <c r="F92" i="64"/>
  <c r="F81" i="64"/>
  <c r="F80" i="64"/>
  <c r="F65" i="64"/>
  <c r="F64" i="64"/>
  <c r="F49" i="64"/>
  <c r="F41" i="64"/>
  <c r="F40" i="64"/>
  <c r="F105" i="64"/>
  <c r="F56" i="64"/>
  <c r="F55" i="64"/>
  <c r="F107" i="64"/>
  <c r="F95" i="64"/>
  <c r="F94" i="64"/>
  <c r="F87" i="64"/>
  <c r="F75" i="64"/>
  <c r="F67" i="64"/>
  <c r="F66" i="64"/>
  <c r="F43" i="64"/>
  <c r="F42" i="64"/>
  <c r="F27" i="64"/>
  <c r="F23" i="64"/>
  <c r="L18" i="64"/>
  <c r="Z19" i="64"/>
  <c r="R28" i="64"/>
  <c r="F32" i="64"/>
  <c r="R66" i="64"/>
  <c r="F68" i="64"/>
  <c r="R73" i="64"/>
  <c r="L83" i="64"/>
  <c r="Z42" i="68"/>
  <c r="J50" i="69"/>
  <c r="V69" i="69"/>
  <c r="J81" i="69"/>
  <c r="J85" i="69"/>
  <c r="J89" i="69"/>
  <c r="Z82" i="71"/>
  <c r="L110" i="71"/>
  <c r="L112" i="71"/>
  <c r="N82" i="74"/>
  <c r="L82" i="74"/>
  <c r="R56" i="58"/>
  <c r="F60" i="58"/>
  <c r="R64" i="58"/>
  <c r="F67" i="58"/>
  <c r="F68" i="58"/>
  <c r="R72" i="58"/>
  <c r="R64" i="59"/>
  <c r="R65" i="59"/>
  <c r="F69" i="59"/>
  <c r="F71" i="59"/>
  <c r="R14" i="60"/>
  <c r="R16" i="60"/>
  <c r="R18" i="60"/>
  <c r="J32" i="60"/>
  <c r="R33" i="60"/>
  <c r="J36" i="60"/>
  <c r="R37" i="60"/>
  <c r="F40" i="60"/>
  <c r="F41" i="60"/>
  <c r="J42" i="60"/>
  <c r="R45" i="60"/>
  <c r="R46" i="60"/>
  <c r="J52" i="60"/>
  <c r="R53" i="60"/>
  <c r="R54" i="60"/>
  <c r="V56" i="60"/>
  <c r="F63" i="60"/>
  <c r="R28" i="61"/>
  <c r="R29" i="61"/>
  <c r="F32" i="61"/>
  <c r="F36" i="61"/>
  <c r="F52" i="61"/>
  <c r="R56" i="61"/>
  <c r="R57" i="61"/>
  <c r="R21" i="64"/>
  <c r="L47" i="64"/>
  <c r="N47" i="64" s="1"/>
  <c r="N58" i="64"/>
  <c r="R61" i="64"/>
  <c r="X64" i="64"/>
  <c r="Z64" i="64" s="1"/>
  <c r="N68" i="64"/>
  <c r="N70" i="64"/>
  <c r="J54" i="69"/>
  <c r="X69" i="69"/>
  <c r="J72" i="69"/>
  <c r="N110" i="71"/>
  <c r="J68" i="58"/>
  <c r="F80" i="58"/>
  <c r="F83" i="58"/>
  <c r="F60" i="59"/>
  <c r="F61" i="59"/>
  <c r="R19" i="60"/>
  <c r="F22" i="60"/>
  <c r="F26" i="60"/>
  <c r="V37" i="60"/>
  <c r="J41" i="60"/>
  <c r="V45" i="60"/>
  <c r="F49" i="60"/>
  <c r="F50" i="60"/>
  <c r="J51" i="60"/>
  <c r="V53" i="60"/>
  <c r="F59" i="60"/>
  <c r="F61" i="60"/>
  <c r="J63" i="60"/>
  <c r="R33" i="61"/>
  <c r="R37" i="61"/>
  <c r="F40" i="61"/>
  <c r="F41" i="61"/>
  <c r="R45" i="61"/>
  <c r="R46" i="61"/>
  <c r="N83" i="64"/>
  <c r="X59" i="68"/>
  <c r="N103" i="69"/>
  <c r="R19" i="58"/>
  <c r="F22" i="58"/>
  <c r="F26" i="58"/>
  <c r="R42" i="58"/>
  <c r="R43" i="58"/>
  <c r="F49" i="58"/>
  <c r="F50" i="58"/>
  <c r="J51" i="58"/>
  <c r="R54" i="58"/>
  <c r="R55" i="58"/>
  <c r="R62" i="58"/>
  <c r="R63" i="58"/>
  <c r="R70" i="58"/>
  <c r="F41" i="59"/>
  <c r="R46" i="59"/>
  <c r="R47" i="59"/>
  <c r="R54" i="59"/>
  <c r="R62" i="59"/>
  <c r="R63" i="59"/>
  <c r="R75" i="59"/>
  <c r="V14" i="60"/>
  <c r="V16" i="60"/>
  <c r="V18" i="60"/>
  <c r="J22" i="60"/>
  <c r="R23" i="60"/>
  <c r="J26" i="60"/>
  <c r="R27" i="60"/>
  <c r="F31" i="60"/>
  <c r="F35" i="60"/>
  <c r="J40" i="60"/>
  <c r="R43" i="60"/>
  <c r="V46" i="60"/>
  <c r="R19" i="61"/>
  <c r="F22" i="61"/>
  <c r="F26" i="61"/>
  <c r="R54" i="61"/>
  <c r="R103" i="64"/>
  <c r="R92" i="64"/>
  <c r="R91" i="64"/>
  <c r="R80" i="64"/>
  <c r="R79" i="64"/>
  <c r="R64" i="64"/>
  <c r="R63" i="64"/>
  <c r="R40" i="64"/>
  <c r="R39" i="64"/>
  <c r="R35" i="64"/>
  <c r="R31" i="64"/>
  <c r="R105" i="64"/>
  <c r="R86" i="64"/>
  <c r="R74" i="64"/>
  <c r="R55" i="64"/>
  <c r="R54" i="64"/>
  <c r="R26" i="64"/>
  <c r="R22" i="64"/>
  <c r="R56" i="64"/>
  <c r="R36" i="64"/>
  <c r="R32" i="64"/>
  <c r="X12" i="64"/>
  <c r="R107" i="64"/>
  <c r="R95" i="64"/>
  <c r="R87" i="64"/>
  <c r="R76" i="64"/>
  <c r="R75" i="64"/>
  <c r="R68" i="64"/>
  <c r="R67" i="64"/>
  <c r="R43" i="64"/>
  <c r="R112" i="64"/>
  <c r="R109" i="64"/>
  <c r="R83" i="64"/>
  <c r="R82" i="64"/>
  <c r="R50" i="64"/>
  <c r="R19" i="64"/>
  <c r="R77" i="64"/>
  <c r="R70" i="64"/>
  <c r="R69" i="64"/>
  <c r="R58" i="64"/>
  <c r="R57" i="64"/>
  <c r="R37" i="64"/>
  <c r="R33" i="64"/>
  <c r="R18" i="64"/>
  <c r="R16" i="64"/>
  <c r="R14" i="64"/>
  <c r="R97" i="64"/>
  <c r="R96" i="64"/>
  <c r="R88" i="64"/>
  <c r="R84" i="64"/>
  <c r="R45" i="64"/>
  <c r="R44" i="64"/>
  <c r="R72" i="64"/>
  <c r="R71" i="64"/>
  <c r="R60" i="64"/>
  <c r="R59" i="64"/>
  <c r="R52" i="64"/>
  <c r="R51" i="64"/>
  <c r="H105" i="64"/>
  <c r="N16" i="64"/>
  <c r="R23" i="64"/>
  <c r="R34" i="64"/>
  <c r="R38" i="64"/>
  <c r="R49" i="64"/>
  <c r="L76" i="64"/>
  <c r="N76" i="64" s="1"/>
  <c r="P100" i="64"/>
  <c r="X100" i="64" s="1"/>
  <c r="Z100" i="64" s="1"/>
  <c r="P105" i="64"/>
  <c r="J115" i="69"/>
  <c r="J107" i="69"/>
  <c r="J97" i="69"/>
  <c r="J98" i="69"/>
  <c r="J108" i="69"/>
  <c r="J100" i="69"/>
  <c r="J121" i="69"/>
  <c r="J110" i="69"/>
  <c r="J103" i="69"/>
  <c r="J93" i="69"/>
  <c r="J111" i="69"/>
  <c r="J95" i="69"/>
  <c r="J113" i="69"/>
  <c r="J105" i="69"/>
  <c r="J99" i="69"/>
  <c r="J91" i="69"/>
  <c r="J63" i="69"/>
  <c r="J59" i="69"/>
  <c r="J55" i="69"/>
  <c r="J51" i="69"/>
  <c r="J47" i="69"/>
  <c r="J92" i="69"/>
  <c r="J86" i="69"/>
  <c r="J82" i="69"/>
  <c r="J104" i="69"/>
  <c r="J96" i="69"/>
  <c r="J77" i="69"/>
  <c r="J73" i="69"/>
  <c r="J109" i="69"/>
  <c r="J64" i="69"/>
  <c r="J60" i="69"/>
  <c r="J56" i="69"/>
  <c r="J52" i="69"/>
  <c r="J48" i="69"/>
  <c r="J117" i="69"/>
  <c r="J114" i="69"/>
  <c r="J94" i="69"/>
  <c r="J87" i="69"/>
  <c r="J83" i="69"/>
  <c r="J69" i="69"/>
  <c r="J102" i="69"/>
  <c r="J78" i="69"/>
  <c r="J74" i="69"/>
  <c r="J70" i="69"/>
  <c r="J68" i="69"/>
  <c r="J44" i="69"/>
  <c r="J112" i="69"/>
  <c r="J79" i="69"/>
  <c r="H66" i="69"/>
  <c r="J66" i="69" s="1"/>
  <c r="J61" i="69"/>
  <c r="J57" i="69"/>
  <c r="J53" i="69"/>
  <c r="J49" i="69"/>
  <c r="J45" i="69"/>
  <c r="J88" i="69"/>
  <c r="J84" i="69"/>
  <c r="J80" i="69"/>
  <c r="N12" i="69"/>
  <c r="J75" i="69"/>
  <c r="J71" i="69"/>
  <c r="J62" i="69"/>
  <c r="J101" i="69"/>
  <c r="N96" i="71"/>
  <c r="X38" i="73"/>
  <c r="Z38" i="73" s="1"/>
  <c r="L66" i="74"/>
  <c r="N66" i="74" s="1"/>
  <c r="J50" i="64"/>
  <c r="J68" i="64"/>
  <c r="J76" i="64"/>
  <c r="J82" i="64"/>
  <c r="H16" i="68"/>
  <c r="F19" i="68"/>
  <c r="F20" i="68"/>
  <c r="F24" i="68"/>
  <c r="F28" i="68"/>
  <c r="J29" i="68"/>
  <c r="V31" i="68"/>
  <c r="V35" i="68"/>
  <c r="V39" i="68"/>
  <c r="J47" i="68"/>
  <c r="V51" i="68"/>
  <c r="J55" i="68"/>
  <c r="R56" i="68"/>
  <c r="R57" i="68"/>
  <c r="V59" i="68"/>
  <c r="F66" i="68"/>
  <c r="V47" i="69"/>
  <c r="V51" i="69"/>
  <c r="V55" i="69"/>
  <c r="V59" i="69"/>
  <c r="V63" i="69"/>
  <c r="V91" i="69"/>
  <c r="Z101" i="69"/>
  <c r="D22" i="70"/>
  <c r="F25" i="70"/>
  <c r="N62" i="70"/>
  <c r="X98" i="71"/>
  <c r="J95" i="64"/>
  <c r="J107" i="64"/>
  <c r="R21" i="68"/>
  <c r="R25" i="68"/>
  <c r="R49" i="68"/>
  <c r="R50" i="68"/>
  <c r="V72" i="69"/>
  <c r="V76" i="69"/>
  <c r="V92" i="69"/>
  <c r="V98" i="69"/>
  <c r="F63" i="70"/>
  <c r="F62" i="70"/>
  <c r="F31" i="70"/>
  <c r="F27" i="70"/>
  <c r="F70" i="70"/>
  <c r="F69" i="70"/>
  <c r="F54" i="70"/>
  <c r="F18" i="70"/>
  <c r="F17" i="70"/>
  <c r="F72" i="70"/>
  <c r="F71" i="70"/>
  <c r="F64" i="70"/>
  <c r="F56" i="70"/>
  <c r="F55" i="70"/>
  <c r="F32" i="70"/>
  <c r="F28" i="70"/>
  <c r="F47" i="70"/>
  <c r="F46" i="70"/>
  <c r="F19" i="70"/>
  <c r="F66" i="70"/>
  <c r="F65" i="70"/>
  <c r="F58" i="70"/>
  <c r="F57" i="70"/>
  <c r="F42" i="70"/>
  <c r="F38" i="70"/>
  <c r="L12" i="70"/>
  <c r="N12" i="70" s="1"/>
  <c r="F74" i="70"/>
  <c r="F49" i="70"/>
  <c r="F48" i="70"/>
  <c r="F33" i="70"/>
  <c r="F29" i="70"/>
  <c r="F67" i="70"/>
  <c r="F51" i="70"/>
  <c r="F50" i="70"/>
  <c r="F43" i="70"/>
  <c r="F39" i="70"/>
  <c r="F61" i="70"/>
  <c r="F53" i="70"/>
  <c r="F52" i="70"/>
  <c r="F24" i="70"/>
  <c r="F22" i="70"/>
  <c r="H76" i="70"/>
  <c r="J76" i="70" s="1"/>
  <c r="Z98" i="71"/>
  <c r="N12" i="64"/>
  <c r="J32" i="64"/>
  <c r="J36" i="64"/>
  <c r="J42" i="64"/>
  <c r="J56" i="64"/>
  <c r="J66" i="64"/>
  <c r="J94" i="64"/>
  <c r="R30" i="68"/>
  <c r="J33" i="68"/>
  <c r="R34" i="68"/>
  <c r="J37" i="68"/>
  <c r="R38" i="68"/>
  <c r="J45" i="68"/>
  <c r="V49" i="68"/>
  <c r="F53" i="68"/>
  <c r="F54" i="68"/>
  <c r="V57" i="68"/>
  <c r="V81" i="69"/>
  <c r="V85" i="69"/>
  <c r="V89" i="69"/>
  <c r="V95" i="69"/>
  <c r="V19" i="70"/>
  <c r="V31" i="70"/>
  <c r="F37" i="70"/>
  <c r="V55" i="70"/>
  <c r="N57" i="70"/>
  <c r="V60" i="70"/>
  <c r="Z110" i="71"/>
  <c r="D116" i="71"/>
  <c r="L116" i="71" s="1"/>
  <c r="N116" i="71" s="1"/>
  <c r="P12" i="73"/>
  <c r="X13" i="73"/>
  <c r="J41" i="64"/>
  <c r="J49" i="64"/>
  <c r="J55" i="64"/>
  <c r="J65" i="64"/>
  <c r="J81" i="64"/>
  <c r="J93" i="64"/>
  <c r="D100" i="64"/>
  <c r="L100" i="64" s="1"/>
  <c r="N100" i="64" s="1"/>
  <c r="J105" i="64"/>
  <c r="F23" i="68"/>
  <c r="F27" i="68"/>
  <c r="V30" i="68"/>
  <c r="V34" i="68"/>
  <c r="V38" i="68"/>
  <c r="F42" i="68"/>
  <c r="F43" i="68"/>
  <c r="J44" i="68"/>
  <c r="R47" i="68"/>
  <c r="R48" i="68"/>
  <c r="V50" i="68"/>
  <c r="J54" i="68"/>
  <c r="R55" i="68"/>
  <c r="J62" i="68"/>
  <c r="J64" i="68"/>
  <c r="R68" i="68"/>
  <c r="R71" i="68"/>
  <c r="V121" i="69"/>
  <c r="V103" i="69"/>
  <c r="V110" i="69"/>
  <c r="V102" i="69"/>
  <c r="V94" i="69"/>
  <c r="V112" i="69"/>
  <c r="V104" i="69"/>
  <c r="V114" i="69"/>
  <c r="V113" i="69"/>
  <c r="V105" i="69"/>
  <c r="V97" i="69"/>
  <c r="V117" i="69"/>
  <c r="V115" i="69"/>
  <c r="V107" i="69"/>
  <c r="V99" i="69"/>
  <c r="V109" i="69"/>
  <c r="V101" i="69"/>
  <c r="V46" i="69"/>
  <c r="V50" i="69"/>
  <c r="V54" i="69"/>
  <c r="V58" i="69"/>
  <c r="V62" i="69"/>
  <c r="V90" i="69"/>
  <c r="N97" i="69"/>
  <c r="V100" i="69"/>
  <c r="L109" i="69"/>
  <c r="V66" i="70"/>
  <c r="V58" i="70"/>
  <c r="V50" i="70"/>
  <c r="V42" i="70"/>
  <c r="V38" i="70"/>
  <c r="V49" i="70"/>
  <c r="V33" i="70"/>
  <c r="V29" i="70"/>
  <c r="V25" i="70"/>
  <c r="V78" i="70"/>
  <c r="V67" i="70"/>
  <c r="V51" i="70"/>
  <c r="V43" i="70"/>
  <c r="V39" i="70"/>
  <c r="V35" i="70"/>
  <c r="T22" i="70"/>
  <c r="V62" i="70"/>
  <c r="V34" i="70"/>
  <c r="V30" i="70"/>
  <c r="V26" i="70"/>
  <c r="V69" i="70"/>
  <c r="V61" i="70"/>
  <c r="V53" i="70"/>
  <c r="V17" i="70"/>
  <c r="V68" i="70"/>
  <c r="V44" i="70"/>
  <c r="V40" i="70"/>
  <c r="V36" i="70"/>
  <c r="V70" i="70"/>
  <c r="V54" i="70"/>
  <c r="V46" i="70"/>
  <c r="V18" i="70"/>
  <c r="V74" i="70"/>
  <c r="V72" i="70"/>
  <c r="V64" i="70"/>
  <c r="V56" i="70"/>
  <c r="V48" i="70"/>
  <c r="V32" i="70"/>
  <c r="V28" i="70"/>
  <c r="V22" i="70"/>
  <c r="X25" i="70"/>
  <c r="Z25" i="70" s="1"/>
  <c r="V27" i="70"/>
  <c r="L50" i="70"/>
  <c r="F59" i="70"/>
  <c r="Z20" i="73"/>
  <c r="T127" i="75"/>
  <c r="P16" i="68"/>
  <c r="R20" i="68"/>
  <c r="R24" i="68"/>
  <c r="R28" i="68"/>
  <c r="R29" i="68"/>
  <c r="R66" i="68"/>
  <c r="N50" i="70"/>
  <c r="N52" i="70"/>
  <c r="Z116" i="71"/>
  <c r="L24" i="84"/>
  <c r="F24" i="84"/>
  <c r="J31" i="64"/>
  <c r="J35" i="64"/>
  <c r="J39" i="64"/>
  <c r="J63" i="64"/>
  <c r="J79" i="64"/>
  <c r="J91" i="64"/>
  <c r="J102" i="64"/>
  <c r="N12" i="68"/>
  <c r="R14" i="68"/>
  <c r="R16" i="68"/>
  <c r="R18" i="68"/>
  <c r="V20" i="68"/>
  <c r="V24" i="68"/>
  <c r="V28" i="68"/>
  <c r="J32" i="68"/>
  <c r="R33" i="68"/>
  <c r="J36" i="68"/>
  <c r="R37" i="68"/>
  <c r="F40" i="68"/>
  <c r="F41" i="68"/>
  <c r="J42" i="68"/>
  <c r="R45" i="68"/>
  <c r="R46" i="68"/>
  <c r="V48" i="68"/>
  <c r="J52" i="68"/>
  <c r="J60" i="68"/>
  <c r="V66" i="68"/>
  <c r="V68" i="68"/>
  <c r="V71" i="68"/>
  <c r="V80" i="69"/>
  <c r="V84" i="69"/>
  <c r="V88" i="69"/>
  <c r="Z112" i="69"/>
  <c r="N24" i="70"/>
  <c r="F34" i="70"/>
  <c r="Z35" i="70"/>
  <c r="V37" i="70"/>
  <c r="V71" i="70"/>
  <c r="X74" i="70"/>
  <c r="P12" i="71"/>
  <c r="X13" i="71"/>
  <c r="N60" i="71"/>
  <c r="N84" i="71"/>
  <c r="N77" i="74"/>
  <c r="L77" i="74"/>
  <c r="J77" i="74"/>
  <c r="R19" i="68"/>
  <c r="R54" i="68"/>
  <c r="Z82" i="73"/>
  <c r="X82" i="73"/>
  <c r="J31" i="76"/>
  <c r="N51" i="80"/>
  <c r="L51" i="80"/>
  <c r="J51" i="80"/>
  <c r="J21" i="64"/>
  <c r="J25" i="64"/>
  <c r="J47" i="64"/>
  <c r="J53" i="64"/>
  <c r="J61" i="64"/>
  <c r="J73" i="64"/>
  <c r="J85" i="64"/>
  <c r="J89" i="64"/>
  <c r="V14" i="68"/>
  <c r="V16" i="68"/>
  <c r="V18" i="68"/>
  <c r="J22" i="68"/>
  <c r="R23" i="68"/>
  <c r="J26" i="68"/>
  <c r="R27" i="68"/>
  <c r="F31" i="68"/>
  <c r="F35" i="68"/>
  <c r="F39" i="68"/>
  <c r="J40" i="68"/>
  <c r="R43" i="68"/>
  <c r="R44" i="68"/>
  <c r="V46" i="68"/>
  <c r="F50" i="68"/>
  <c r="F51" i="68"/>
  <c r="V54" i="68"/>
  <c r="J58" i="68"/>
  <c r="R62" i="68"/>
  <c r="R64" i="68"/>
  <c r="V70" i="69"/>
  <c r="V74" i="69"/>
  <c r="V78" i="69"/>
  <c r="X97" i="69"/>
  <c r="V111" i="69"/>
  <c r="X117" i="69"/>
  <c r="F26" i="70"/>
  <c r="V41" i="70"/>
  <c r="V45" i="70"/>
  <c r="X48" i="70"/>
  <c r="V57" i="70"/>
  <c r="D12" i="73"/>
  <c r="D12" i="75"/>
  <c r="L13" i="75"/>
  <c r="N13" i="75" s="1"/>
  <c r="J30" i="64"/>
  <c r="J34" i="64"/>
  <c r="J38" i="64"/>
  <c r="J46" i="64"/>
  <c r="J52" i="64"/>
  <c r="J60" i="64"/>
  <c r="J72" i="64"/>
  <c r="J78" i="64"/>
  <c r="X12" i="68"/>
  <c r="J31" i="68"/>
  <c r="R32" i="68"/>
  <c r="J35" i="68"/>
  <c r="R36" i="68"/>
  <c r="J39" i="68"/>
  <c r="J51" i="68"/>
  <c r="R52" i="68"/>
  <c r="R53" i="68"/>
  <c r="T66" i="69"/>
  <c r="V79" i="69"/>
  <c r="V83" i="69"/>
  <c r="V87" i="69"/>
  <c r="Z109" i="69"/>
  <c r="P12" i="70"/>
  <c r="X13" i="70"/>
  <c r="Z24" i="70"/>
  <c r="F36" i="70"/>
  <c r="V52" i="70"/>
  <c r="L55" i="70"/>
  <c r="V59" i="70"/>
  <c r="P12" i="75"/>
  <c r="R80" i="76"/>
  <c r="R79" i="76"/>
  <c r="R39" i="76"/>
  <c r="R35" i="76"/>
  <c r="R74" i="76"/>
  <c r="R67" i="76"/>
  <c r="R66" i="76"/>
  <c r="R55" i="76"/>
  <c r="R54" i="76"/>
  <c r="R81" i="76"/>
  <c r="R49" i="76"/>
  <c r="R45" i="76"/>
  <c r="R84" i="76"/>
  <c r="R83" i="76"/>
  <c r="R69" i="76"/>
  <c r="R68" i="76"/>
  <c r="R57" i="76"/>
  <c r="R56" i="76"/>
  <c r="R40" i="76"/>
  <c r="R36" i="76"/>
  <c r="R85" i="76"/>
  <c r="R75" i="76"/>
  <c r="R32" i="76"/>
  <c r="R70" i="76"/>
  <c r="R59" i="76"/>
  <c r="R58" i="76"/>
  <c r="R50" i="76"/>
  <c r="R46" i="76"/>
  <c r="R31" i="76"/>
  <c r="R27" i="76"/>
  <c r="R42" i="76"/>
  <c r="R41" i="76"/>
  <c r="R37" i="76"/>
  <c r="R33" i="76"/>
  <c r="P29" i="76"/>
  <c r="R77" i="76"/>
  <c r="R76" i="76"/>
  <c r="R61" i="76"/>
  <c r="R60" i="76"/>
  <c r="R89" i="76"/>
  <c r="R72" i="76"/>
  <c r="R71" i="76"/>
  <c r="R51" i="76"/>
  <c r="R47" i="76"/>
  <c r="R43" i="76"/>
  <c r="R38" i="76"/>
  <c r="R44" i="76"/>
  <c r="R34" i="76"/>
  <c r="X12" i="76"/>
  <c r="Z12" i="76" s="1"/>
  <c r="R52" i="76"/>
  <c r="R48" i="76"/>
  <c r="R64" i="76"/>
  <c r="R73" i="76"/>
  <c r="R62" i="76"/>
  <c r="R53" i="76"/>
  <c r="R78" i="76"/>
  <c r="Z56" i="75"/>
  <c r="F89" i="76"/>
  <c r="F71" i="76"/>
  <c r="F51" i="76"/>
  <c r="F47" i="76"/>
  <c r="F43" i="76"/>
  <c r="F42" i="76"/>
  <c r="D29" i="76"/>
  <c r="F78" i="76"/>
  <c r="F77" i="76"/>
  <c r="F62" i="76"/>
  <c r="F61" i="76"/>
  <c r="F38" i="76"/>
  <c r="F34" i="76"/>
  <c r="L12" i="76"/>
  <c r="N12" i="76" s="1"/>
  <c r="F73" i="76"/>
  <c r="F72" i="76"/>
  <c r="F64" i="76"/>
  <c r="F63" i="76"/>
  <c r="F52" i="76"/>
  <c r="F48" i="76"/>
  <c r="F44" i="76"/>
  <c r="F79" i="76"/>
  <c r="F39" i="76"/>
  <c r="F35" i="76"/>
  <c r="F74" i="76"/>
  <c r="F66" i="76"/>
  <c r="F65" i="76"/>
  <c r="F54" i="76"/>
  <c r="F53" i="76"/>
  <c r="F81" i="76"/>
  <c r="F80" i="76"/>
  <c r="F49" i="76"/>
  <c r="F45" i="76"/>
  <c r="F68" i="76"/>
  <c r="F67" i="76"/>
  <c r="F56" i="76"/>
  <c r="F55" i="76"/>
  <c r="F40" i="76"/>
  <c r="F36" i="76"/>
  <c r="F84" i="76"/>
  <c r="F75" i="76"/>
  <c r="L31" i="76"/>
  <c r="N31" i="76" s="1"/>
  <c r="R67" i="79"/>
  <c r="R56" i="79"/>
  <c r="R55" i="79"/>
  <c r="R19" i="79"/>
  <c r="R68" i="79"/>
  <c r="R47" i="79"/>
  <c r="R46" i="79"/>
  <c r="R42" i="79"/>
  <c r="R38" i="79"/>
  <c r="X12" i="79"/>
  <c r="R69" i="79"/>
  <c r="R58" i="79"/>
  <c r="R57" i="79"/>
  <c r="R33" i="79"/>
  <c r="R29" i="79"/>
  <c r="R49" i="79"/>
  <c r="R48" i="79"/>
  <c r="R20" i="79"/>
  <c r="R59" i="79"/>
  <c r="R43" i="79"/>
  <c r="R39" i="79"/>
  <c r="R51" i="79"/>
  <c r="R50" i="79"/>
  <c r="R34" i="79"/>
  <c r="R30" i="79"/>
  <c r="R73" i="79"/>
  <c r="R61" i="79"/>
  <c r="R60" i="79"/>
  <c r="R52" i="79"/>
  <c r="R44" i="79"/>
  <c r="R40" i="79"/>
  <c r="R17" i="79"/>
  <c r="R36" i="79"/>
  <c r="R35" i="79"/>
  <c r="R31" i="79"/>
  <c r="R24" i="79"/>
  <c r="P24" i="79"/>
  <c r="R28" i="79"/>
  <c r="R32" i="79"/>
  <c r="R66" i="79"/>
  <c r="R22" i="79"/>
  <c r="R64" i="79"/>
  <c r="R53" i="79"/>
  <c r="R26" i="79"/>
  <c r="R45" i="79"/>
  <c r="R18" i="79"/>
  <c r="R41" i="79"/>
  <c r="R37" i="79"/>
  <c r="R65" i="79"/>
  <c r="J36" i="70"/>
  <c r="J40" i="70"/>
  <c r="J44" i="70"/>
  <c r="J62" i="70"/>
  <c r="J68" i="70"/>
  <c r="V42" i="71"/>
  <c r="V46" i="71"/>
  <c r="V50" i="71"/>
  <c r="V54" i="71"/>
  <c r="J62" i="71"/>
  <c r="J66" i="71"/>
  <c r="J70" i="71"/>
  <c r="V82" i="71"/>
  <c r="J86" i="71"/>
  <c r="V90" i="71"/>
  <c r="J96" i="71"/>
  <c r="V106" i="71"/>
  <c r="J112" i="71"/>
  <c r="V114" i="71"/>
  <c r="V116" i="71"/>
  <c r="J124" i="71"/>
  <c r="J28" i="73"/>
  <c r="V30" i="73"/>
  <c r="V34" i="73"/>
  <c r="J42" i="73"/>
  <c r="J46" i="73"/>
  <c r="J54" i="73"/>
  <c r="V58" i="73"/>
  <c r="J66" i="73"/>
  <c r="J78" i="73"/>
  <c r="X86" i="74"/>
  <c r="L35" i="75"/>
  <c r="N35" i="75" s="1"/>
  <c r="L55" i="75"/>
  <c r="N55" i="75" s="1"/>
  <c r="V56" i="75"/>
  <c r="Z95" i="75"/>
  <c r="J103" i="75"/>
  <c r="J107" i="75"/>
  <c r="F31" i="76"/>
  <c r="F33" i="76"/>
  <c r="F58" i="76"/>
  <c r="F60" i="76"/>
  <c r="D12" i="77"/>
  <c r="R79" i="77"/>
  <c r="H82" i="81"/>
  <c r="J22" i="81"/>
  <c r="Z26" i="83"/>
  <c r="X26" i="83"/>
  <c r="J22" i="70"/>
  <c r="J24" i="70"/>
  <c r="J26" i="70"/>
  <c r="J30" i="70"/>
  <c r="J34" i="70"/>
  <c r="J52" i="70"/>
  <c r="J44" i="71"/>
  <c r="J48" i="71"/>
  <c r="J52" i="71"/>
  <c r="H57" i="71"/>
  <c r="V72" i="71"/>
  <c r="V76" i="71"/>
  <c r="V80" i="71"/>
  <c r="V88" i="71"/>
  <c r="J94" i="71"/>
  <c r="J104" i="71"/>
  <c r="J110" i="71"/>
  <c r="V20" i="73"/>
  <c r="J32" i="73"/>
  <c r="J36" i="73"/>
  <c r="J52" i="73"/>
  <c r="V56" i="73"/>
  <c r="J64" i="73"/>
  <c r="V73" i="73"/>
  <c r="L77" i="73"/>
  <c r="N77" i="73" s="1"/>
  <c r="V86" i="73"/>
  <c r="V51" i="74"/>
  <c r="V120" i="75"/>
  <c r="J37" i="75"/>
  <c r="J59" i="75"/>
  <c r="J77" i="75"/>
  <c r="Z107" i="75"/>
  <c r="L27" i="76"/>
  <c r="F41" i="76"/>
  <c r="N53" i="76"/>
  <c r="Z65" i="76"/>
  <c r="F69" i="76"/>
  <c r="F85" i="76"/>
  <c r="R47" i="77"/>
  <c r="R49" i="77"/>
  <c r="T75" i="79"/>
  <c r="J20" i="70"/>
  <c r="J50" i="70"/>
  <c r="J60" i="70"/>
  <c r="J78" i="70"/>
  <c r="J60" i="71"/>
  <c r="V62" i="71"/>
  <c r="V66" i="71"/>
  <c r="V70" i="71"/>
  <c r="J74" i="71"/>
  <c r="J78" i="71"/>
  <c r="J84" i="71"/>
  <c r="V86" i="71"/>
  <c r="V98" i="71"/>
  <c r="J102" i="71"/>
  <c r="J119" i="71"/>
  <c r="V124" i="71"/>
  <c r="V126" i="71"/>
  <c r="J86" i="73"/>
  <c r="J75" i="73"/>
  <c r="J76" i="73"/>
  <c r="J79" i="73"/>
  <c r="J22" i="73"/>
  <c r="T25" i="73"/>
  <c r="V25" i="73" s="1"/>
  <c r="V38" i="73"/>
  <c r="V42" i="73"/>
  <c r="V46" i="73"/>
  <c r="J50" i="73"/>
  <c r="V54" i="73"/>
  <c r="J62" i="73"/>
  <c r="V66" i="73"/>
  <c r="J70" i="73"/>
  <c r="J77" i="73"/>
  <c r="J80" i="73"/>
  <c r="V59" i="74"/>
  <c r="V80" i="74"/>
  <c r="V85" i="74"/>
  <c r="J48" i="75"/>
  <c r="Z31" i="76"/>
  <c r="V35" i="76"/>
  <c r="R66" i="77"/>
  <c r="R75" i="77"/>
  <c r="R86" i="77"/>
  <c r="J29" i="70"/>
  <c r="J33" i="70"/>
  <c r="J49" i="70"/>
  <c r="J59" i="70"/>
  <c r="J43" i="71"/>
  <c r="J47" i="71"/>
  <c r="J51" i="71"/>
  <c r="J55" i="71"/>
  <c r="V71" i="71"/>
  <c r="V75" i="71"/>
  <c r="V79" i="71"/>
  <c r="J83" i="71"/>
  <c r="V87" i="71"/>
  <c r="V95" i="71"/>
  <c r="J101" i="71"/>
  <c r="V111" i="71"/>
  <c r="J118" i="71"/>
  <c r="V23" i="73"/>
  <c r="V27" i="73"/>
  <c r="J31" i="73"/>
  <c r="J35" i="73"/>
  <c r="J49" i="73"/>
  <c r="V55" i="73"/>
  <c r="J61" i="73"/>
  <c r="J69" i="73"/>
  <c r="V75" i="73"/>
  <c r="Z88" i="74"/>
  <c r="J72" i="75"/>
  <c r="J76" i="75"/>
  <c r="J108" i="75"/>
  <c r="V39" i="76"/>
  <c r="Z53" i="76"/>
  <c r="F57" i="76"/>
  <c r="V80" i="76"/>
  <c r="R21" i="79"/>
  <c r="Z56" i="79"/>
  <c r="X56" i="79"/>
  <c r="Z70" i="80"/>
  <c r="V70" i="80"/>
  <c r="X55" i="81"/>
  <c r="N24" i="84"/>
  <c r="J58" i="70"/>
  <c r="J66" i="70"/>
  <c r="J74" i="70"/>
  <c r="V44" i="71"/>
  <c r="V48" i="71"/>
  <c r="V52" i="71"/>
  <c r="J64" i="71"/>
  <c r="J68" i="71"/>
  <c r="J82" i="71"/>
  <c r="J92" i="71"/>
  <c r="V96" i="71"/>
  <c r="J100" i="71"/>
  <c r="V104" i="71"/>
  <c r="J108" i="71"/>
  <c r="V112" i="71"/>
  <c r="J116" i="71"/>
  <c r="J117" i="71"/>
  <c r="V28" i="73"/>
  <c r="V32" i="73"/>
  <c r="V36" i="73"/>
  <c r="J40" i="73"/>
  <c r="J44" i="73"/>
  <c r="J48" i="73"/>
  <c r="V52" i="73"/>
  <c r="J60" i="73"/>
  <c r="V64" i="73"/>
  <c r="J68" i="73"/>
  <c r="V72" i="73"/>
  <c r="N56" i="74"/>
  <c r="H53" i="75"/>
  <c r="V53" i="76"/>
  <c r="V55" i="76"/>
  <c r="F59" i="76"/>
  <c r="V73" i="76"/>
  <c r="J47" i="70"/>
  <c r="J57" i="70"/>
  <c r="J65" i="70"/>
  <c r="V61" i="71"/>
  <c r="V65" i="71"/>
  <c r="V69" i="71"/>
  <c r="J73" i="71"/>
  <c r="J77" i="71"/>
  <c r="J81" i="71"/>
  <c r="V85" i="71"/>
  <c r="J91" i="71"/>
  <c r="V93" i="71"/>
  <c r="J107" i="71"/>
  <c r="V109" i="71"/>
  <c r="J21" i="73"/>
  <c r="V41" i="73"/>
  <c r="V45" i="73"/>
  <c r="V53" i="73"/>
  <c r="J59" i="73"/>
  <c r="J74" i="73"/>
  <c r="D12" i="74"/>
  <c r="X19" i="74"/>
  <c r="V37" i="74"/>
  <c r="V82" i="74"/>
  <c r="V87" i="74"/>
  <c r="J122" i="75"/>
  <c r="J110" i="75"/>
  <c r="J86" i="75"/>
  <c r="J78" i="75"/>
  <c r="J50" i="75"/>
  <c r="J46" i="75"/>
  <c r="J42" i="75"/>
  <c r="J38" i="75"/>
  <c r="J111" i="75"/>
  <c r="J97" i="75"/>
  <c r="J87" i="75"/>
  <c r="J79" i="75"/>
  <c r="J73" i="75"/>
  <c r="J69" i="75"/>
  <c r="J112" i="75"/>
  <c r="J104" i="75"/>
  <c r="J88" i="75"/>
  <c r="J80" i="75"/>
  <c r="J64" i="75"/>
  <c r="J60" i="75"/>
  <c r="J89" i="75"/>
  <c r="J51" i="75"/>
  <c r="J47" i="75"/>
  <c r="J43" i="75"/>
  <c r="J39" i="75"/>
  <c r="J98" i="75"/>
  <c r="J90" i="75"/>
  <c r="J74" i="75"/>
  <c r="J70" i="75"/>
  <c r="J56" i="75"/>
  <c r="J113" i="75"/>
  <c r="J105" i="75"/>
  <c r="J99" i="75"/>
  <c r="J91" i="75"/>
  <c r="J81" i="75"/>
  <c r="J65" i="75"/>
  <c r="J61" i="75"/>
  <c r="J57" i="75"/>
  <c r="J55" i="75"/>
  <c r="J53" i="75"/>
  <c r="J35" i="75"/>
  <c r="J100" i="75"/>
  <c r="J92" i="75"/>
  <c r="J82" i="75"/>
  <c r="J66" i="75"/>
  <c r="J116" i="75"/>
  <c r="J115" i="75"/>
  <c r="J93" i="75"/>
  <c r="J83" i="75"/>
  <c r="J75" i="75"/>
  <c r="J71" i="75"/>
  <c r="J67" i="75"/>
  <c r="J117" i="75"/>
  <c r="J106" i="75"/>
  <c r="J94" i="75"/>
  <c r="J84" i="75"/>
  <c r="J62" i="75"/>
  <c r="J58" i="75"/>
  <c r="J36" i="75"/>
  <c r="X89" i="75"/>
  <c r="L95" i="75"/>
  <c r="L102" i="75"/>
  <c r="N102" i="75" s="1"/>
  <c r="D115" i="75"/>
  <c r="L115" i="75" s="1"/>
  <c r="N115" i="75" s="1"/>
  <c r="F32" i="76"/>
  <c r="F46" i="76"/>
  <c r="F50" i="76"/>
  <c r="N59" i="76"/>
  <c r="R54" i="79"/>
  <c r="Z55" i="81"/>
  <c r="V55" i="81"/>
  <c r="V74" i="71"/>
  <c r="V78" i="71"/>
  <c r="J90" i="71"/>
  <c r="V94" i="71"/>
  <c r="V102" i="71"/>
  <c r="J106" i="71"/>
  <c r="V110" i="71"/>
  <c r="J114" i="71"/>
  <c r="V120" i="71"/>
  <c r="V122" i="71"/>
  <c r="V76" i="73"/>
  <c r="V79" i="73"/>
  <c r="V78" i="73"/>
  <c r="V82" i="73"/>
  <c r="V80" i="73"/>
  <c r="V22" i="73"/>
  <c r="V50" i="73"/>
  <c r="J58" i="73"/>
  <c r="V62" i="73"/>
  <c r="V70" i="73"/>
  <c r="V77" i="73"/>
  <c r="V74" i="74"/>
  <c r="V74" i="76"/>
  <c r="V66" i="76"/>
  <c r="V54" i="76"/>
  <c r="V83" i="76"/>
  <c r="V81" i="76"/>
  <c r="V69" i="76"/>
  <c r="V57" i="76"/>
  <c r="V49" i="76"/>
  <c r="V45" i="76"/>
  <c r="V84" i="76"/>
  <c r="V68" i="76"/>
  <c r="V56" i="76"/>
  <c r="V40" i="76"/>
  <c r="V36" i="76"/>
  <c r="V32" i="76"/>
  <c r="V85" i="76"/>
  <c r="V75" i="76"/>
  <c r="V59" i="76"/>
  <c r="V31" i="76"/>
  <c r="V27" i="76"/>
  <c r="V70" i="76"/>
  <c r="V58" i="76"/>
  <c r="V50" i="76"/>
  <c r="V46" i="76"/>
  <c r="V42" i="76"/>
  <c r="T29" i="76"/>
  <c r="V77" i="76"/>
  <c r="V61" i="76"/>
  <c r="V41" i="76"/>
  <c r="V37" i="76"/>
  <c r="V33" i="76"/>
  <c r="V76" i="76"/>
  <c r="V72" i="76"/>
  <c r="V60" i="76"/>
  <c r="V89" i="76"/>
  <c r="V71" i="76"/>
  <c r="V63" i="76"/>
  <c r="V51" i="76"/>
  <c r="V47" i="76"/>
  <c r="V43" i="76"/>
  <c r="V78" i="76"/>
  <c r="V62" i="76"/>
  <c r="V38" i="76"/>
  <c r="V34" i="76"/>
  <c r="F29" i="76"/>
  <c r="N32" i="76"/>
  <c r="V79" i="76"/>
  <c r="X80" i="81"/>
  <c r="J37" i="70"/>
  <c r="J41" i="70"/>
  <c r="J45" i="70"/>
  <c r="J55" i="70"/>
  <c r="J71" i="70"/>
  <c r="J41" i="71"/>
  <c r="V43" i="71"/>
  <c r="V47" i="71"/>
  <c r="V51" i="71"/>
  <c r="V55" i="71"/>
  <c r="V57" i="71"/>
  <c r="V59" i="71"/>
  <c r="J63" i="71"/>
  <c r="J67" i="71"/>
  <c r="V83" i="71"/>
  <c r="J89" i="71"/>
  <c r="J99" i="71"/>
  <c r="V103" i="71"/>
  <c r="V119" i="71"/>
  <c r="V31" i="73"/>
  <c r="V35" i="73"/>
  <c r="J39" i="73"/>
  <c r="J43" i="73"/>
  <c r="J47" i="73"/>
  <c r="V51" i="73"/>
  <c r="J57" i="73"/>
  <c r="V63" i="73"/>
  <c r="J67" i="73"/>
  <c r="V71" i="73"/>
  <c r="Z89" i="75"/>
  <c r="N95" i="75"/>
  <c r="Z102" i="75"/>
  <c r="L107" i="75"/>
  <c r="N107" i="75" s="1"/>
  <c r="H29" i="76"/>
  <c r="N42" i="76"/>
  <c r="V48" i="76"/>
  <c r="V52" i="76"/>
  <c r="F70" i="76"/>
  <c r="F76" i="76"/>
  <c r="R100" i="77"/>
  <c r="R93" i="77"/>
  <c r="R92" i="77"/>
  <c r="R81" i="77"/>
  <c r="R80" i="77"/>
  <c r="R76" i="77"/>
  <c r="R72" i="77"/>
  <c r="R103" i="77"/>
  <c r="R102" i="77"/>
  <c r="R67" i="77"/>
  <c r="R63" i="77"/>
  <c r="R104" i="77"/>
  <c r="R94" i="77"/>
  <c r="R83" i="77"/>
  <c r="R82" i="77"/>
  <c r="R59" i="77"/>
  <c r="R54" i="77"/>
  <c r="R50" i="77"/>
  <c r="R46" i="77"/>
  <c r="R42" i="77"/>
  <c r="R105" i="77"/>
  <c r="R77" i="77"/>
  <c r="R73" i="77"/>
  <c r="R58" i="77"/>
  <c r="R85" i="77"/>
  <c r="R84" i="77"/>
  <c r="R68" i="77"/>
  <c r="R64" i="77"/>
  <c r="R60" i="77"/>
  <c r="P56" i="77"/>
  <c r="R96" i="77"/>
  <c r="R95" i="77"/>
  <c r="R109" i="77"/>
  <c r="R97" i="77"/>
  <c r="R70" i="77"/>
  <c r="R69" i="77"/>
  <c r="R65" i="77"/>
  <c r="R61" i="77"/>
  <c r="R89" i="77"/>
  <c r="R88" i="77"/>
  <c r="R52" i="77"/>
  <c r="R48" i="77"/>
  <c r="R44" i="77"/>
  <c r="R40" i="77"/>
  <c r="R87" i="77"/>
  <c r="R71" i="77"/>
  <c r="R98" i="77"/>
  <c r="R45" i="77"/>
  <c r="R43" i="77"/>
  <c r="R78" i="77"/>
  <c r="R74" i="77"/>
  <c r="R41" i="77"/>
  <c r="R99" i="77"/>
  <c r="R90" i="77"/>
  <c r="R53" i="77"/>
  <c r="R51" i="77"/>
  <c r="X12" i="77"/>
  <c r="R91" i="77"/>
  <c r="Z93" i="77"/>
  <c r="X93" i="77"/>
  <c r="J18" i="70"/>
  <c r="J54" i="70"/>
  <c r="V60" i="71"/>
  <c r="V64" i="71"/>
  <c r="V68" i="71"/>
  <c r="J72" i="71"/>
  <c r="J76" i="71"/>
  <c r="J80" i="71"/>
  <c r="V84" i="71"/>
  <c r="J88" i="71"/>
  <c r="V92" i="71"/>
  <c r="J98" i="71"/>
  <c r="V100" i="71"/>
  <c r="V108" i="71"/>
  <c r="H25" i="73"/>
  <c r="J38" i="73"/>
  <c r="V40" i="73"/>
  <c r="V44" i="73"/>
  <c r="V48" i="73"/>
  <c r="J56" i="73"/>
  <c r="V60" i="73"/>
  <c r="V68" i="73"/>
  <c r="V74" i="73"/>
  <c r="V95" i="74"/>
  <c r="V81" i="74"/>
  <c r="V65" i="74"/>
  <c r="V61" i="74"/>
  <c r="V57" i="74"/>
  <c r="V84" i="74"/>
  <c r="V56" i="74"/>
  <c r="V54" i="74"/>
  <c r="V52" i="74"/>
  <c r="V48" i="74"/>
  <c r="V44" i="74"/>
  <c r="V40" i="74"/>
  <c r="V36" i="74"/>
  <c r="V83" i="74"/>
  <c r="V75" i="74"/>
  <c r="V71" i="74"/>
  <c r="V67" i="74"/>
  <c r="T54" i="74"/>
  <c r="V86" i="74"/>
  <c r="V62" i="74"/>
  <c r="V58" i="74"/>
  <c r="V88" i="74"/>
  <c r="V76" i="74"/>
  <c r="V72" i="74"/>
  <c r="V68" i="74"/>
  <c r="V78" i="74"/>
  <c r="V50" i="74"/>
  <c r="V46" i="74"/>
  <c r="V42" i="74"/>
  <c r="V38" i="74"/>
  <c r="V91" i="74"/>
  <c r="V89" i="74"/>
  <c r="V73" i="74"/>
  <c r="V69" i="74"/>
  <c r="N36" i="74"/>
  <c r="V43" i="74"/>
  <c r="V79" i="74"/>
  <c r="J40" i="75"/>
  <c r="N84" i="75"/>
  <c r="V89" i="75"/>
  <c r="J95" i="75"/>
  <c r="Z32" i="76"/>
  <c r="J42" i="76"/>
  <c r="V44" i="76"/>
  <c r="Z59" i="76"/>
  <c r="V103" i="77"/>
  <c r="V83" i="77"/>
  <c r="V67" i="77"/>
  <c r="V63" i="77"/>
  <c r="V59" i="77"/>
  <c r="V104" i="77"/>
  <c r="V94" i="77"/>
  <c r="V82" i="77"/>
  <c r="V58" i="77"/>
  <c r="V54" i="77"/>
  <c r="V50" i="77"/>
  <c r="V46" i="77"/>
  <c r="V42" i="77"/>
  <c r="V105" i="77"/>
  <c r="V85" i="77"/>
  <c r="V77" i="77"/>
  <c r="V73" i="77"/>
  <c r="T56" i="77"/>
  <c r="V56" i="77" s="1"/>
  <c r="V96" i="77"/>
  <c r="V84" i="77"/>
  <c r="V68" i="77"/>
  <c r="V64" i="77"/>
  <c r="V60" i="77"/>
  <c r="V95" i="77"/>
  <c r="V87" i="77"/>
  <c r="V51" i="77"/>
  <c r="V47" i="77"/>
  <c r="V43" i="77"/>
  <c r="V86" i="77"/>
  <c r="V78" i="77"/>
  <c r="V74" i="77"/>
  <c r="V70" i="77"/>
  <c r="V88" i="77"/>
  <c r="V52" i="77"/>
  <c r="V99" i="77"/>
  <c r="V91" i="77"/>
  <c r="V79" i="77"/>
  <c r="V75" i="77"/>
  <c r="V71" i="77"/>
  <c r="V100" i="77"/>
  <c r="V98" i="77"/>
  <c r="V45" i="77"/>
  <c r="V61" i="77"/>
  <c r="V69" i="77"/>
  <c r="V65" i="77"/>
  <c r="V109" i="77"/>
  <c r="V80" i="77"/>
  <c r="V48" i="77"/>
  <c r="V41" i="77"/>
  <c r="V92" i="77"/>
  <c r="V76" i="77"/>
  <c r="V90" i="77"/>
  <c r="V53" i="77"/>
  <c r="V97" i="77"/>
  <c r="V81" i="77"/>
  <c r="V72" i="77"/>
  <c r="Z12" i="77"/>
  <c r="V102" i="77"/>
  <c r="V93" i="77"/>
  <c r="V66" i="77"/>
  <c r="V62" i="77"/>
  <c r="V44" i="77"/>
  <c r="J37" i="74"/>
  <c r="J41" i="74"/>
  <c r="J45" i="74"/>
  <c r="J49" i="74"/>
  <c r="H54" i="74"/>
  <c r="J85" i="74"/>
  <c r="V38" i="75"/>
  <c r="V42" i="75"/>
  <c r="V46" i="75"/>
  <c r="V50" i="75"/>
  <c r="V78" i="75"/>
  <c r="V86" i="75"/>
  <c r="V110" i="75"/>
  <c r="V122" i="75"/>
  <c r="V124" i="75"/>
  <c r="V127" i="75"/>
  <c r="J32" i="76"/>
  <c r="J46" i="76"/>
  <c r="J50" i="76"/>
  <c r="J58" i="76"/>
  <c r="J70" i="76"/>
  <c r="J85" i="76"/>
  <c r="J46" i="77"/>
  <c r="J74" i="77"/>
  <c r="Z81" i="77"/>
  <c r="J83" i="77"/>
  <c r="N99" i="77"/>
  <c r="J104" i="77"/>
  <c r="N26" i="79"/>
  <c r="L51" i="79"/>
  <c r="Z54" i="79"/>
  <c r="F68" i="80"/>
  <c r="F52" i="80"/>
  <c r="F51" i="80"/>
  <c r="F20" i="80"/>
  <c r="F75" i="80"/>
  <c r="F74" i="80"/>
  <c r="F43" i="80"/>
  <c r="F39" i="80"/>
  <c r="F35" i="80"/>
  <c r="F34" i="80"/>
  <c r="F62" i="80"/>
  <c r="F54" i="80"/>
  <c r="F53" i="80"/>
  <c r="F30" i="80"/>
  <c r="F26" i="80"/>
  <c r="F25" i="80"/>
  <c r="F77" i="80"/>
  <c r="F76" i="80"/>
  <c r="F69" i="80"/>
  <c r="F24" i="80"/>
  <c r="F22" i="80"/>
  <c r="F64" i="80"/>
  <c r="F63" i="80"/>
  <c r="F56" i="80"/>
  <c r="F55" i="80"/>
  <c r="F44" i="80"/>
  <c r="F40" i="80"/>
  <c r="F36" i="80"/>
  <c r="D22" i="80"/>
  <c r="F71" i="80"/>
  <c r="F70" i="80"/>
  <c r="F31" i="80"/>
  <c r="F27" i="80"/>
  <c r="F79" i="80"/>
  <c r="F58" i="80"/>
  <c r="F57" i="80"/>
  <c r="F46" i="80"/>
  <c r="F45" i="80"/>
  <c r="F18" i="80"/>
  <c r="F17" i="80"/>
  <c r="F83" i="80"/>
  <c r="F65" i="80"/>
  <c r="F41" i="80"/>
  <c r="F37" i="80"/>
  <c r="F72" i="80"/>
  <c r="F60" i="80"/>
  <c r="F59" i="80"/>
  <c r="F48" i="80"/>
  <c r="F47" i="80"/>
  <c r="F32" i="80"/>
  <c r="F28" i="80"/>
  <c r="J29" i="80"/>
  <c r="F61" i="80"/>
  <c r="F73" i="80"/>
  <c r="N25" i="81"/>
  <c r="L50" i="81"/>
  <c r="N50" i="81" s="1"/>
  <c r="F67" i="81"/>
  <c r="T28" i="83"/>
  <c r="J36" i="74"/>
  <c r="J56" i="74"/>
  <c r="J58" i="74"/>
  <c r="J62" i="74"/>
  <c r="J84" i="74"/>
  <c r="V59" i="75"/>
  <c r="V63" i="75"/>
  <c r="V79" i="75"/>
  <c r="V87" i="75"/>
  <c r="V103" i="75"/>
  <c r="V111" i="75"/>
  <c r="J78" i="77"/>
  <c r="F49" i="79"/>
  <c r="F51" i="79"/>
  <c r="J61" i="80"/>
  <c r="J73" i="80"/>
  <c r="F73" i="81"/>
  <c r="F53" i="81"/>
  <c r="F52" i="81"/>
  <c r="F24" i="81"/>
  <c r="F84" i="81"/>
  <c r="F68" i="81"/>
  <c r="F44" i="81"/>
  <c r="F40" i="81"/>
  <c r="F36" i="81"/>
  <c r="F35" i="81"/>
  <c r="D22" i="81"/>
  <c r="F63" i="81"/>
  <c r="F31" i="81"/>
  <c r="F27" i="81"/>
  <c r="F80" i="81"/>
  <c r="F74" i="81"/>
  <c r="F70" i="81"/>
  <c r="F69" i="81"/>
  <c r="F54" i="81"/>
  <c r="F18" i="81"/>
  <c r="F17" i="81"/>
  <c r="F45" i="81"/>
  <c r="F41" i="81"/>
  <c r="F37" i="81"/>
  <c r="F75" i="81"/>
  <c r="F64" i="81"/>
  <c r="F56" i="81"/>
  <c r="F55" i="81"/>
  <c r="F32" i="81"/>
  <c r="F28" i="81"/>
  <c r="F76" i="81"/>
  <c r="F71" i="81"/>
  <c r="F47" i="81"/>
  <c r="F46" i="81"/>
  <c r="F19" i="81"/>
  <c r="F66" i="81"/>
  <c r="F65" i="81"/>
  <c r="F58" i="81"/>
  <c r="F57" i="81"/>
  <c r="F42" i="81"/>
  <c r="F38" i="81"/>
  <c r="L12" i="81"/>
  <c r="N12" i="81" s="1"/>
  <c r="F49" i="81"/>
  <c r="F48" i="81"/>
  <c r="F33" i="81"/>
  <c r="F29" i="81"/>
  <c r="F50" i="81"/>
  <c r="N52" i="81"/>
  <c r="N51" i="79"/>
  <c r="J61" i="79"/>
  <c r="X64" i="79"/>
  <c r="J78" i="79"/>
  <c r="X55" i="80"/>
  <c r="N60" i="84"/>
  <c r="L60" i="84"/>
  <c r="L52" i="85"/>
  <c r="N52" i="85" s="1"/>
  <c r="J40" i="74"/>
  <c r="J44" i="74"/>
  <c r="J48" i="74"/>
  <c r="J52" i="74"/>
  <c r="J66" i="74"/>
  <c r="J82" i="74"/>
  <c r="V37" i="75"/>
  <c r="V41" i="75"/>
  <c r="V45" i="75"/>
  <c r="V49" i="75"/>
  <c r="V77" i="75"/>
  <c r="V85" i="75"/>
  <c r="V101" i="75"/>
  <c r="V109" i="75"/>
  <c r="L13" i="76"/>
  <c r="N13" i="76" s="1"/>
  <c r="J55" i="76"/>
  <c r="J67" i="76"/>
  <c r="J81" i="76"/>
  <c r="N59" i="77"/>
  <c r="Z70" i="77"/>
  <c r="F34" i="79"/>
  <c r="J40" i="79"/>
  <c r="F44" i="79"/>
  <c r="Z25" i="81"/>
  <c r="F39" i="81"/>
  <c r="F43" i="81"/>
  <c r="L52" i="81"/>
  <c r="F60" i="81"/>
  <c r="F62" i="81"/>
  <c r="F77" i="81"/>
  <c r="J62" i="79"/>
  <c r="J36" i="79"/>
  <c r="J22" i="79"/>
  <c r="J18" i="79"/>
  <c r="J53" i="79"/>
  <c r="J45" i="79"/>
  <c r="J41" i="79"/>
  <c r="J37" i="79"/>
  <c r="J27" i="79"/>
  <c r="J65" i="79"/>
  <c r="J64" i="79"/>
  <c r="J54" i="79"/>
  <c r="J32" i="79"/>
  <c r="J28" i="79"/>
  <c r="J26" i="79"/>
  <c r="J24" i="79"/>
  <c r="J66" i="79"/>
  <c r="J55" i="79"/>
  <c r="H24" i="79"/>
  <c r="J19" i="79"/>
  <c r="J67" i="79"/>
  <c r="J56" i="79"/>
  <c r="J46" i="79"/>
  <c r="J42" i="79"/>
  <c r="J38" i="79"/>
  <c r="N12" i="79"/>
  <c r="J68" i="79"/>
  <c r="J57" i="79"/>
  <c r="J47" i="79"/>
  <c r="J33" i="79"/>
  <c r="J29" i="79"/>
  <c r="J69" i="79"/>
  <c r="J58" i="79"/>
  <c r="J48" i="79"/>
  <c r="J71" i="79"/>
  <c r="J59" i="79"/>
  <c r="J49" i="79"/>
  <c r="J43" i="79"/>
  <c r="J39" i="79"/>
  <c r="J50" i="79"/>
  <c r="J34" i="79"/>
  <c r="J30" i="79"/>
  <c r="J17" i="79"/>
  <c r="J44" i="79"/>
  <c r="Z64" i="79"/>
  <c r="Z55" i="80"/>
  <c r="P12" i="84"/>
  <c r="X13" i="84"/>
  <c r="Z13" i="84" s="1"/>
  <c r="J70" i="74"/>
  <c r="J74" i="74"/>
  <c r="V67" i="75"/>
  <c r="V71" i="75"/>
  <c r="V75" i="75"/>
  <c r="V83" i="75"/>
  <c r="V95" i="75"/>
  <c r="V107" i="75"/>
  <c r="V117" i="75"/>
  <c r="J53" i="76"/>
  <c r="J65" i="76"/>
  <c r="J79" i="76"/>
  <c r="J52" i="77"/>
  <c r="J73" i="77"/>
  <c r="L87" i="77"/>
  <c r="N87" i="77" s="1"/>
  <c r="N96" i="77"/>
  <c r="F21" i="79"/>
  <c r="Z51" i="79"/>
  <c r="F73" i="79"/>
  <c r="N17" i="80"/>
  <c r="Z25" i="80"/>
  <c r="J34" i="80"/>
  <c r="X63" i="80"/>
  <c r="J24" i="81"/>
  <c r="F26" i="81"/>
  <c r="F30" i="81"/>
  <c r="F34" i="81"/>
  <c r="Z52" i="81"/>
  <c r="N75" i="84"/>
  <c r="J75" i="84"/>
  <c r="J39" i="74"/>
  <c r="J43" i="74"/>
  <c r="J47" i="74"/>
  <c r="J51" i="74"/>
  <c r="J91" i="74"/>
  <c r="V36" i="75"/>
  <c r="V40" i="75"/>
  <c r="V44" i="75"/>
  <c r="V48" i="75"/>
  <c r="V84" i="75"/>
  <c r="V92" i="75"/>
  <c r="V100" i="75"/>
  <c r="V116" i="75"/>
  <c r="J44" i="76"/>
  <c r="J48" i="76"/>
  <c r="J52" i="76"/>
  <c r="J64" i="76"/>
  <c r="J21" i="79"/>
  <c r="F60" i="79"/>
  <c r="J73" i="79"/>
  <c r="F20" i="81"/>
  <c r="L24" i="81"/>
  <c r="N24" i="81" s="1"/>
  <c r="F51" i="81"/>
  <c r="Z75" i="81"/>
  <c r="J60" i="74"/>
  <c r="J64" i="74"/>
  <c r="J80" i="74"/>
  <c r="V57" i="75"/>
  <c r="V61" i="75"/>
  <c r="V65" i="75"/>
  <c r="V81" i="75"/>
  <c r="V93" i="75"/>
  <c r="V105" i="75"/>
  <c r="V113" i="75"/>
  <c r="V115" i="75"/>
  <c r="J63" i="76"/>
  <c r="J73" i="76"/>
  <c r="J89" i="77"/>
  <c r="J79" i="77"/>
  <c r="J75" i="77"/>
  <c r="J71" i="77"/>
  <c r="J98" i="77"/>
  <c r="J90" i="77"/>
  <c r="J66" i="77"/>
  <c r="J62" i="77"/>
  <c r="J40" i="77"/>
  <c r="J99" i="77"/>
  <c r="J91" i="77"/>
  <c r="J53" i="77"/>
  <c r="J49" i="77"/>
  <c r="J45" i="77"/>
  <c r="J41" i="77"/>
  <c r="J100" i="77"/>
  <c r="J92" i="77"/>
  <c r="J80" i="77"/>
  <c r="J76" i="77"/>
  <c r="J72" i="77"/>
  <c r="J93" i="77"/>
  <c r="J81" i="77"/>
  <c r="J67" i="77"/>
  <c r="J63" i="77"/>
  <c r="J103" i="77"/>
  <c r="J102" i="77"/>
  <c r="J94" i="77"/>
  <c r="J82" i="77"/>
  <c r="J105" i="77"/>
  <c r="J84" i="77"/>
  <c r="J68" i="77"/>
  <c r="J64" i="77"/>
  <c r="J60" i="77"/>
  <c r="J58" i="77"/>
  <c r="J95" i="77"/>
  <c r="J85" i="77"/>
  <c r="H56" i="77"/>
  <c r="J56" i="77" s="1"/>
  <c r="J51" i="77"/>
  <c r="J47" i="77"/>
  <c r="J43" i="77"/>
  <c r="J54" i="77"/>
  <c r="J77" i="77"/>
  <c r="J86" i="77"/>
  <c r="X17" i="79"/>
  <c r="F50" i="79"/>
  <c r="J60" i="79"/>
  <c r="J75" i="80"/>
  <c r="J53" i="80"/>
  <c r="J43" i="80"/>
  <c r="J39" i="80"/>
  <c r="J35" i="80"/>
  <c r="J25" i="80"/>
  <c r="J76" i="80"/>
  <c r="J62" i="80"/>
  <c r="J54" i="80"/>
  <c r="J30" i="80"/>
  <c r="J26" i="80"/>
  <c r="J24" i="80"/>
  <c r="J22" i="80"/>
  <c r="J77" i="80"/>
  <c r="J69" i="80"/>
  <c r="J63" i="80"/>
  <c r="J55" i="80"/>
  <c r="H22" i="80"/>
  <c r="J70" i="80"/>
  <c r="J64" i="80"/>
  <c r="J56" i="80"/>
  <c r="J44" i="80"/>
  <c r="J40" i="80"/>
  <c r="J36" i="80"/>
  <c r="J79" i="80"/>
  <c r="J71" i="80"/>
  <c r="J57" i="80"/>
  <c r="J45" i="80"/>
  <c r="J31" i="80"/>
  <c r="J27" i="80"/>
  <c r="J17" i="80"/>
  <c r="J58" i="80"/>
  <c r="J46" i="80"/>
  <c r="J18" i="80"/>
  <c r="J83" i="80"/>
  <c r="J65" i="80"/>
  <c r="J59" i="80"/>
  <c r="J47" i="80"/>
  <c r="J41" i="80"/>
  <c r="J37" i="80"/>
  <c r="J72" i="80"/>
  <c r="J66" i="80"/>
  <c r="J60" i="80"/>
  <c r="J48" i="80"/>
  <c r="J32" i="80"/>
  <c r="J28" i="80"/>
  <c r="J67" i="80"/>
  <c r="J49" i="80"/>
  <c r="J19" i="80"/>
  <c r="Z17" i="80"/>
  <c r="Z63" i="80"/>
  <c r="J68" i="80"/>
  <c r="J74" i="80"/>
  <c r="J69" i="74"/>
  <c r="J73" i="74"/>
  <c r="J79" i="74"/>
  <c r="V66" i="75"/>
  <c r="V70" i="75"/>
  <c r="V74" i="75"/>
  <c r="V82" i="75"/>
  <c r="V90" i="75"/>
  <c r="J62" i="76"/>
  <c r="J72" i="76"/>
  <c r="J42" i="77"/>
  <c r="X91" i="77"/>
  <c r="F35" i="79"/>
  <c r="F31" i="79"/>
  <c r="F62" i="79"/>
  <c r="F61" i="79"/>
  <c r="F22" i="79"/>
  <c r="F18" i="79"/>
  <c r="F17" i="79"/>
  <c r="F53" i="79"/>
  <c r="F45" i="79"/>
  <c r="F41" i="79"/>
  <c r="F37" i="79"/>
  <c r="F36" i="79"/>
  <c r="F65" i="79"/>
  <c r="F32" i="79"/>
  <c r="F28" i="79"/>
  <c r="F27" i="79"/>
  <c r="F66" i="79"/>
  <c r="F55" i="79"/>
  <c r="F54" i="79"/>
  <c r="F26" i="79"/>
  <c r="F24" i="79"/>
  <c r="F19" i="79"/>
  <c r="F67" i="79"/>
  <c r="F46" i="79"/>
  <c r="F42" i="79"/>
  <c r="F38" i="79"/>
  <c r="D24" i="79"/>
  <c r="L12" i="79"/>
  <c r="F68" i="79"/>
  <c r="F57" i="79"/>
  <c r="F56" i="79"/>
  <c r="F69" i="79"/>
  <c r="F48" i="79"/>
  <c r="F47" i="79"/>
  <c r="F20" i="79"/>
  <c r="F59" i="79"/>
  <c r="F58" i="79"/>
  <c r="F43" i="79"/>
  <c r="F39" i="79"/>
  <c r="J35" i="79"/>
  <c r="J52" i="79"/>
  <c r="P12" i="81"/>
  <c r="X13" i="81"/>
  <c r="Z24" i="81"/>
  <c r="N57" i="81"/>
  <c r="F59" i="81"/>
  <c r="L61" i="81"/>
  <c r="N61" i="81" s="1"/>
  <c r="N78" i="85"/>
  <c r="N80" i="85"/>
  <c r="D102" i="77"/>
  <c r="L102" i="77" s="1"/>
  <c r="N102" i="77" s="1"/>
  <c r="V18" i="79"/>
  <c r="V22" i="79"/>
  <c r="V24" i="79"/>
  <c r="V26" i="79"/>
  <c r="V54" i="79"/>
  <c r="V62" i="79"/>
  <c r="V64" i="79"/>
  <c r="P12" i="80"/>
  <c r="T22" i="80"/>
  <c r="V35" i="80"/>
  <c r="V39" i="80"/>
  <c r="V43" i="80"/>
  <c r="V55" i="80"/>
  <c r="V63" i="80"/>
  <c r="V75" i="80"/>
  <c r="J78" i="81"/>
  <c r="J82" i="81"/>
  <c r="J80" i="81"/>
  <c r="J20" i="81"/>
  <c r="V36" i="81"/>
  <c r="V40" i="81"/>
  <c r="V44" i="81"/>
  <c r="J50" i="81"/>
  <c r="J60" i="81"/>
  <c r="V68" i="81"/>
  <c r="J72" i="81"/>
  <c r="J77" i="81"/>
  <c r="F35" i="84"/>
  <c r="F38" i="84"/>
  <c r="L62" i="84"/>
  <c r="N62" i="84" s="1"/>
  <c r="F85" i="84"/>
  <c r="L87" i="84"/>
  <c r="F98" i="84"/>
  <c r="T128" i="85"/>
  <c r="N106" i="85"/>
  <c r="R30" i="86"/>
  <c r="R16" i="86"/>
  <c r="R17" i="86"/>
  <c r="R34" i="86"/>
  <c r="R23" i="86"/>
  <c r="R18" i="86"/>
  <c r="R22" i="86"/>
  <c r="R25" i="86"/>
  <c r="R24" i="86"/>
  <c r="P20" i="86"/>
  <c r="R26" i="86"/>
  <c r="R27" i="86"/>
  <c r="X24" i="88"/>
  <c r="Z24" i="88" s="1"/>
  <c r="Z26" i="89"/>
  <c r="V20" i="80"/>
  <c r="V22" i="80"/>
  <c r="V24" i="80"/>
  <c r="V52" i="80"/>
  <c r="V68" i="80"/>
  <c r="V76" i="80"/>
  <c r="P12" i="89"/>
  <c r="X14" i="89"/>
  <c r="V73" i="80"/>
  <c r="R30" i="83"/>
  <c r="R17" i="83"/>
  <c r="R18" i="83"/>
  <c r="R19" i="83"/>
  <c r="R24" i="83"/>
  <c r="F71" i="84"/>
  <c r="F70" i="84"/>
  <c r="F63" i="84"/>
  <c r="F62" i="84"/>
  <c r="F31" i="84"/>
  <c r="F27" i="84"/>
  <c r="F90" i="84"/>
  <c r="F89" i="84"/>
  <c r="F82" i="84"/>
  <c r="F78" i="84"/>
  <c r="F77" i="84"/>
  <c r="F54" i="84"/>
  <c r="F18" i="84"/>
  <c r="F17" i="84"/>
  <c r="F65" i="84"/>
  <c r="F64" i="84"/>
  <c r="F45" i="84"/>
  <c r="F41" i="84"/>
  <c r="F37" i="84"/>
  <c r="F92" i="84"/>
  <c r="F91" i="84"/>
  <c r="F72" i="84"/>
  <c r="F32" i="84"/>
  <c r="F28" i="84"/>
  <c r="F83" i="84"/>
  <c r="F79" i="84"/>
  <c r="F67" i="84"/>
  <c r="F66" i="84"/>
  <c r="F55" i="84"/>
  <c r="F47" i="84"/>
  <c r="F46" i="84"/>
  <c r="F19" i="84"/>
  <c r="F94" i="84"/>
  <c r="F73" i="84"/>
  <c r="F57" i="84"/>
  <c r="F56" i="84"/>
  <c r="F49" i="84"/>
  <c r="F48" i="84"/>
  <c r="F33" i="84"/>
  <c r="F29" i="84"/>
  <c r="F84" i="84"/>
  <c r="F80" i="84"/>
  <c r="F59" i="84"/>
  <c r="F58" i="84"/>
  <c r="F51" i="84"/>
  <c r="F50" i="84"/>
  <c r="F43" i="84"/>
  <c r="F39" i="84"/>
  <c r="Z24" i="84"/>
  <c r="F26" i="84"/>
  <c r="N48" i="84"/>
  <c r="F61" i="84"/>
  <c r="F68" i="84"/>
  <c r="N16" i="86"/>
  <c r="Z56" i="88"/>
  <c r="Z58" i="88"/>
  <c r="V58" i="88"/>
  <c r="X60" i="88"/>
  <c r="Z60" i="88" s="1"/>
  <c r="V61" i="79"/>
  <c r="D64" i="79"/>
  <c r="L64" i="79" s="1"/>
  <c r="N64" i="79" s="1"/>
  <c r="V73" i="79"/>
  <c r="V75" i="79"/>
  <c r="V78" i="79"/>
  <c r="V34" i="80"/>
  <c r="V38" i="80"/>
  <c r="V42" i="80"/>
  <c r="V50" i="80"/>
  <c r="V74" i="80"/>
  <c r="V35" i="81"/>
  <c r="V39" i="81"/>
  <c r="V43" i="81"/>
  <c r="V51" i="81"/>
  <c r="J57" i="81"/>
  <c r="J65" i="81"/>
  <c r="J71" i="81"/>
  <c r="J76" i="81"/>
  <c r="D22" i="84"/>
  <c r="F30" i="84"/>
  <c r="F40" i="84"/>
  <c r="N50" i="84"/>
  <c r="J87" i="84"/>
  <c r="Z62" i="85"/>
  <c r="Z50" i="88"/>
  <c r="V50" i="88"/>
  <c r="X52" i="88"/>
  <c r="Z52" i="88" s="1"/>
  <c r="V30" i="79"/>
  <c r="V34" i="79"/>
  <c r="V50" i="79"/>
  <c r="X61" i="79"/>
  <c r="V19" i="80"/>
  <c r="X34" i="80"/>
  <c r="Z34" i="80" s="1"/>
  <c r="V51" i="80"/>
  <c r="V67" i="80"/>
  <c r="X74" i="80"/>
  <c r="Z74" i="80" s="1"/>
  <c r="V84" i="81"/>
  <c r="V76" i="81"/>
  <c r="V82" i="81"/>
  <c r="V80" i="81"/>
  <c r="V78" i="81"/>
  <c r="V20" i="81"/>
  <c r="V22" i="81"/>
  <c r="V24" i="81"/>
  <c r="X35" i="81"/>
  <c r="Z35" i="81" s="1"/>
  <c r="J46" i="81"/>
  <c r="V52" i="81"/>
  <c r="J56" i="81"/>
  <c r="L57" i="81"/>
  <c r="V60" i="81"/>
  <c r="J64" i="81"/>
  <c r="L65" i="81"/>
  <c r="V72" i="81"/>
  <c r="X12" i="83"/>
  <c r="Z12" i="83" s="1"/>
  <c r="L12" i="84"/>
  <c r="N12" i="84" s="1"/>
  <c r="F22" i="84"/>
  <c r="F34" i="84"/>
  <c r="Z46" i="84"/>
  <c r="Z48" i="84"/>
  <c r="Z64" i="84"/>
  <c r="N70" i="84"/>
  <c r="F74" i="84"/>
  <c r="F76" i="84"/>
  <c r="D12" i="85"/>
  <c r="P12" i="85"/>
  <c r="R28" i="86"/>
  <c r="F91" i="88"/>
  <c r="F90" i="88"/>
  <c r="F83" i="88"/>
  <c r="F79" i="88"/>
  <c r="F55" i="88"/>
  <c r="F47" i="88"/>
  <c r="F46" i="88"/>
  <c r="F19" i="88"/>
  <c r="F73" i="88"/>
  <c r="F57" i="88"/>
  <c r="F56" i="88"/>
  <c r="F49" i="88"/>
  <c r="F48" i="88"/>
  <c r="F33" i="88"/>
  <c r="F29" i="88"/>
  <c r="F93" i="88"/>
  <c r="F84" i="88"/>
  <c r="F80" i="88"/>
  <c r="F20" i="88"/>
  <c r="F97" i="88"/>
  <c r="F75" i="88"/>
  <c r="F74" i="88"/>
  <c r="F67" i="88"/>
  <c r="F59" i="88"/>
  <c r="F58" i="88"/>
  <c r="F51" i="88"/>
  <c r="F50" i="88"/>
  <c r="F43" i="88"/>
  <c r="F39" i="88"/>
  <c r="F34" i="88"/>
  <c r="F30" i="88"/>
  <c r="F26" i="88"/>
  <c r="F25" i="88"/>
  <c r="F85" i="88"/>
  <c r="F81" i="88"/>
  <c r="F77" i="88"/>
  <c r="F76" i="88"/>
  <c r="F69" i="88"/>
  <c r="F68" i="88"/>
  <c r="F61" i="88"/>
  <c r="F60" i="88"/>
  <c r="F53" i="88"/>
  <c r="F52" i="88"/>
  <c r="F24" i="88"/>
  <c r="F44" i="88"/>
  <c r="F40" i="88"/>
  <c r="F36" i="88"/>
  <c r="F35" i="88"/>
  <c r="D22" i="88"/>
  <c r="F22" i="88" s="1"/>
  <c r="F87" i="88"/>
  <c r="F86" i="88"/>
  <c r="F71" i="88"/>
  <c r="F70" i="88"/>
  <c r="F63" i="88"/>
  <c r="F62" i="88"/>
  <c r="F31" i="88"/>
  <c r="F27" i="88"/>
  <c r="F89" i="88"/>
  <c r="F88" i="88"/>
  <c r="F65" i="88"/>
  <c r="F64" i="88"/>
  <c r="F45" i="88"/>
  <c r="F41" i="88"/>
  <c r="F37" i="88"/>
  <c r="F66" i="88"/>
  <c r="F54" i="88"/>
  <c r="L12" i="88"/>
  <c r="F72" i="88"/>
  <c r="F42" i="88"/>
  <c r="F17" i="88"/>
  <c r="F82" i="88"/>
  <c r="F78" i="88"/>
  <c r="V39" i="79"/>
  <c r="V43" i="79"/>
  <c r="V51" i="79"/>
  <c r="V59" i="79"/>
  <c r="V28" i="80"/>
  <c r="V32" i="80"/>
  <c r="V48" i="80"/>
  <c r="V60" i="80"/>
  <c r="V72" i="80"/>
  <c r="V25" i="81"/>
  <c r="V29" i="81"/>
  <c r="V33" i="81"/>
  <c r="J37" i="81"/>
  <c r="J41" i="81"/>
  <c r="J45" i="81"/>
  <c r="V49" i="81"/>
  <c r="J55" i="81"/>
  <c r="V61" i="81"/>
  <c r="J75" i="81"/>
  <c r="T82" i="81"/>
  <c r="H96" i="84"/>
  <c r="J96" i="84" s="1"/>
  <c r="F25" i="84"/>
  <c r="F42" i="84"/>
  <c r="F52" i="84"/>
  <c r="Z66" i="84"/>
  <c r="D12" i="93"/>
  <c r="L13" i="93"/>
  <c r="N13" i="93" s="1"/>
  <c r="P102" i="77"/>
  <c r="X102" i="77" s="1"/>
  <c r="Z102" i="77" s="1"/>
  <c r="V20" i="79"/>
  <c r="V48" i="79"/>
  <c r="L13" i="80"/>
  <c r="V37" i="80"/>
  <c r="V41" i="80"/>
  <c r="V49" i="80"/>
  <c r="V65" i="80"/>
  <c r="V83" i="80"/>
  <c r="J18" i="81"/>
  <c r="V38" i="81"/>
  <c r="V42" i="81"/>
  <c r="V50" i="81"/>
  <c r="J54" i="81"/>
  <c r="V58" i="81"/>
  <c r="V66" i="81"/>
  <c r="J70" i="81"/>
  <c r="J74" i="81"/>
  <c r="V77" i="81"/>
  <c r="D12" i="83"/>
  <c r="L13" i="83"/>
  <c r="P22" i="83"/>
  <c r="Z35" i="84"/>
  <c r="N52" i="84"/>
  <c r="N56" i="84"/>
  <c r="L58" i="84"/>
  <c r="X15" i="88"/>
  <c r="P12" i="88"/>
  <c r="V29" i="79"/>
  <c r="V33" i="79"/>
  <c r="V49" i="79"/>
  <c r="V57" i="79"/>
  <c r="V69" i="79"/>
  <c r="V71" i="79"/>
  <c r="V18" i="80"/>
  <c r="V46" i="80"/>
  <c r="V58" i="80"/>
  <c r="V66" i="80"/>
  <c r="V47" i="81"/>
  <c r="V59" i="81"/>
  <c r="J63" i="81"/>
  <c r="J69" i="81"/>
  <c r="V71" i="81"/>
  <c r="R22" i="83"/>
  <c r="N58" i="84"/>
  <c r="F86" i="84"/>
  <c r="F88" i="84"/>
  <c r="V38" i="79"/>
  <c r="V42" i="79"/>
  <c r="V46" i="79"/>
  <c r="V58" i="79"/>
  <c r="V27" i="80"/>
  <c r="V31" i="80"/>
  <c r="V47" i="80"/>
  <c r="V59" i="80"/>
  <c r="V28" i="81"/>
  <c r="V32" i="81"/>
  <c r="J36" i="81"/>
  <c r="J40" i="81"/>
  <c r="J44" i="81"/>
  <c r="V48" i="81"/>
  <c r="V56" i="81"/>
  <c r="V64" i="81"/>
  <c r="J68" i="81"/>
  <c r="J84" i="81"/>
  <c r="F36" i="84"/>
  <c r="F44" i="84"/>
  <c r="Z56" i="84"/>
  <c r="F60" i="84"/>
  <c r="F69" i="84"/>
  <c r="Z70" i="84"/>
  <c r="V20" i="83"/>
  <c r="V22" i="83"/>
  <c r="V24" i="83"/>
  <c r="V26" i="83"/>
  <c r="V28" i="83"/>
  <c r="V18" i="84"/>
  <c r="J22" i="84"/>
  <c r="J24" i="84"/>
  <c r="J26" i="84"/>
  <c r="J30" i="84"/>
  <c r="J34" i="84"/>
  <c r="V46" i="84"/>
  <c r="J52" i="84"/>
  <c r="V54" i="84"/>
  <c r="J60" i="84"/>
  <c r="V66" i="84"/>
  <c r="J74" i="84"/>
  <c r="V78" i="84"/>
  <c r="V82" i="84"/>
  <c r="V90" i="84"/>
  <c r="Z78" i="85"/>
  <c r="N82" i="85"/>
  <c r="N84" i="85"/>
  <c r="N88" i="85"/>
  <c r="N90" i="85"/>
  <c r="X106" i="85"/>
  <c r="Z106" i="85" s="1"/>
  <c r="V117" i="85"/>
  <c r="Z86" i="88"/>
  <c r="L68" i="89"/>
  <c r="N68" i="89" s="1"/>
  <c r="N30" i="92"/>
  <c r="T20" i="86"/>
  <c r="J18" i="83"/>
  <c r="J20" i="84"/>
  <c r="J50" i="84"/>
  <c r="J58" i="84"/>
  <c r="V64" i="84"/>
  <c r="J68" i="84"/>
  <c r="V76" i="84"/>
  <c r="J80" i="84"/>
  <c r="J84" i="84"/>
  <c r="V88" i="84"/>
  <c r="X15" i="85"/>
  <c r="V44" i="85"/>
  <c r="X80" i="85"/>
  <c r="Z80" i="85" s="1"/>
  <c r="X82" i="85"/>
  <c r="Z84" i="85"/>
  <c r="Z88" i="85"/>
  <c r="X90" i="85"/>
  <c r="Z90" i="85" s="1"/>
  <c r="N96" i="85"/>
  <c r="L122" i="85"/>
  <c r="X16" i="86"/>
  <c r="Z16" i="86" s="1"/>
  <c r="N78" i="92"/>
  <c r="N80" i="92"/>
  <c r="L80" i="92"/>
  <c r="N61" i="94"/>
  <c r="L61" i="94"/>
  <c r="Z82" i="85"/>
  <c r="V101" i="85"/>
  <c r="V109" i="85"/>
  <c r="Z36" i="89"/>
  <c r="X48" i="92"/>
  <c r="Z48" i="92" s="1"/>
  <c r="J48" i="84"/>
  <c r="J56" i="84"/>
  <c r="V62" i="84"/>
  <c r="V70" i="84"/>
  <c r="J94" i="84"/>
  <c r="N33" i="85"/>
  <c r="V57" i="85"/>
  <c r="V59" i="85"/>
  <c r="V63" i="85"/>
  <c r="V67" i="85"/>
  <c r="X86" i="85"/>
  <c r="Z86" i="85" s="1"/>
  <c r="Z96" i="85"/>
  <c r="H102" i="88"/>
  <c r="N35" i="88"/>
  <c r="L64" i="88"/>
  <c r="X74" i="88"/>
  <c r="Z76" i="88"/>
  <c r="D12" i="89"/>
  <c r="L13" i="89"/>
  <c r="N13" i="89" s="1"/>
  <c r="Z25" i="89"/>
  <c r="N53" i="89"/>
  <c r="J36" i="94"/>
  <c r="H28" i="83"/>
  <c r="V35" i="84"/>
  <c r="J47" i="84"/>
  <c r="J55" i="84"/>
  <c r="V59" i="84"/>
  <c r="J67" i="84"/>
  <c r="V75" i="84"/>
  <c r="J79" i="84"/>
  <c r="J83" i="84"/>
  <c r="V40" i="85"/>
  <c r="V55" i="85"/>
  <c r="V69" i="85"/>
  <c r="V75" i="85"/>
  <c r="V77" i="85"/>
  <c r="V79" i="85"/>
  <c r="Z94" i="85"/>
  <c r="V113" i="85"/>
  <c r="L14" i="86"/>
  <c r="D12" i="86"/>
  <c r="H32" i="86"/>
  <c r="N46" i="88"/>
  <c r="N64" i="88"/>
  <c r="Z74" i="88"/>
  <c r="V74" i="88"/>
  <c r="L19" i="92"/>
  <c r="N19" i="92" s="1"/>
  <c r="N25" i="93"/>
  <c r="J22" i="83"/>
  <c r="J24" i="83"/>
  <c r="J26" i="83"/>
  <c r="J28" i="83"/>
  <c r="V98" i="84"/>
  <c r="V20" i="84"/>
  <c r="V22" i="84"/>
  <c r="V24" i="84"/>
  <c r="J28" i="84"/>
  <c r="J32" i="84"/>
  <c r="J46" i="84"/>
  <c r="V52" i="84"/>
  <c r="V60" i="84"/>
  <c r="J66" i="84"/>
  <c r="V68" i="84"/>
  <c r="J72" i="84"/>
  <c r="V80" i="84"/>
  <c r="V84" i="84"/>
  <c r="J92" i="84"/>
  <c r="J49" i="85"/>
  <c r="V71" i="85"/>
  <c r="H124" i="85"/>
  <c r="J124" i="85" s="1"/>
  <c r="T95" i="88"/>
  <c r="N48" i="88"/>
  <c r="N62" i="88"/>
  <c r="L51" i="89"/>
  <c r="N51" i="89" s="1"/>
  <c r="L64" i="89"/>
  <c r="Z78" i="89"/>
  <c r="H93" i="92"/>
  <c r="N16" i="92"/>
  <c r="J37" i="84"/>
  <c r="J41" i="84"/>
  <c r="J45" i="84"/>
  <c r="J65" i="84"/>
  <c r="V73" i="84"/>
  <c r="V85" i="84"/>
  <c r="J91" i="84"/>
  <c r="T96" i="84"/>
  <c r="V114" i="85"/>
  <c r="V102" i="85"/>
  <c r="V86" i="85"/>
  <c r="V74" i="85"/>
  <c r="V116" i="85"/>
  <c r="V104" i="85"/>
  <c r="V88" i="85"/>
  <c r="V76" i="85"/>
  <c r="V60" i="85"/>
  <c r="V56" i="85"/>
  <c r="V52" i="85"/>
  <c r="V119" i="85"/>
  <c r="V99" i="85"/>
  <c r="V87" i="85"/>
  <c r="V51" i="85"/>
  <c r="V49" i="85"/>
  <c r="V47" i="85"/>
  <c r="V43" i="85"/>
  <c r="V39" i="85"/>
  <c r="V35" i="85"/>
  <c r="V118" i="85"/>
  <c r="V110" i="85"/>
  <c r="V106" i="85"/>
  <c r="V98" i="85"/>
  <c r="V90" i="85"/>
  <c r="V78" i="85"/>
  <c r="V70" i="85"/>
  <c r="V66" i="85"/>
  <c r="V62" i="85"/>
  <c r="V124" i="85"/>
  <c r="V122" i="85"/>
  <c r="V120" i="85"/>
  <c r="V112" i="85"/>
  <c r="V100" i="85"/>
  <c r="V92" i="85"/>
  <c r="V80" i="85"/>
  <c r="V111" i="85"/>
  <c r="V107" i="85"/>
  <c r="V91" i="85"/>
  <c r="V94" i="85"/>
  <c r="V82" i="85"/>
  <c r="V58" i="85"/>
  <c r="V54" i="85"/>
  <c r="V128" i="85"/>
  <c r="V126" i="85"/>
  <c r="V108" i="85"/>
  <c r="V96" i="85"/>
  <c r="V84" i="85"/>
  <c r="V72" i="85"/>
  <c r="V68" i="85"/>
  <c r="V64" i="85"/>
  <c r="V46" i="85"/>
  <c r="V53" i="85"/>
  <c r="V81" i="85"/>
  <c r="V83" i="85"/>
  <c r="V85" i="85"/>
  <c r="N56" i="88"/>
  <c r="Z70" i="88"/>
  <c r="L88" i="88"/>
  <c r="L49" i="89"/>
  <c r="N64" i="89"/>
  <c r="J18" i="84"/>
  <c r="J54" i="84"/>
  <c r="J64" i="84"/>
  <c r="J78" i="84"/>
  <c r="J82" i="84"/>
  <c r="J90" i="84"/>
  <c r="V96" i="84"/>
  <c r="V33" i="85"/>
  <c r="V36" i="85"/>
  <c r="N62" i="85"/>
  <c r="V89" i="85"/>
  <c r="V103" i="85"/>
  <c r="N112" i="85"/>
  <c r="N22" i="86"/>
  <c r="Z62" i="88"/>
  <c r="Z68" i="88"/>
  <c r="N90" i="88"/>
  <c r="N49" i="89"/>
  <c r="J62" i="85"/>
  <c r="J78" i="85"/>
  <c r="J90" i="85"/>
  <c r="J100" i="85"/>
  <c r="J106" i="85"/>
  <c r="J120" i="85"/>
  <c r="Z12" i="86"/>
  <c r="V16" i="86"/>
  <c r="J20" i="86"/>
  <c r="J22" i="86"/>
  <c r="J24" i="86"/>
  <c r="V28" i="86"/>
  <c r="V30" i="86"/>
  <c r="V20" i="88"/>
  <c r="V22" i="88"/>
  <c r="V24" i="88"/>
  <c r="J28" i="88"/>
  <c r="J32" i="88"/>
  <c r="J46" i="88"/>
  <c r="V52" i="88"/>
  <c r="V60" i="88"/>
  <c r="V68" i="88"/>
  <c r="J72" i="88"/>
  <c r="V76" i="88"/>
  <c r="V80" i="88"/>
  <c r="V84" i="88"/>
  <c r="J90" i="88"/>
  <c r="J21" i="89"/>
  <c r="V37" i="89"/>
  <c r="V41" i="89"/>
  <c r="V45" i="89"/>
  <c r="J51" i="89"/>
  <c r="J61" i="89"/>
  <c r="V62" i="89"/>
  <c r="J65" i="89"/>
  <c r="J69" i="89"/>
  <c r="V70" i="89"/>
  <c r="J72" i="89"/>
  <c r="R87" i="92"/>
  <c r="R80" i="92"/>
  <c r="R79" i="92"/>
  <c r="R64" i="92"/>
  <c r="R63" i="92"/>
  <c r="R56" i="92"/>
  <c r="R55" i="92"/>
  <c r="R39" i="92"/>
  <c r="R35" i="92"/>
  <c r="R31" i="92"/>
  <c r="R90" i="92"/>
  <c r="R89" i="92"/>
  <c r="R74" i="92"/>
  <c r="R91" i="92"/>
  <c r="R82" i="92"/>
  <c r="R81" i="92"/>
  <c r="R70" i="92"/>
  <c r="R69" i="92"/>
  <c r="R65" i="92"/>
  <c r="R58" i="92"/>
  <c r="R57" i="92"/>
  <c r="R83" i="92"/>
  <c r="R75" i="92"/>
  <c r="R71" i="92"/>
  <c r="R60" i="92"/>
  <c r="R59" i="92"/>
  <c r="R48" i="92"/>
  <c r="R47" i="92"/>
  <c r="R27" i="92"/>
  <c r="R23" i="92"/>
  <c r="R95" i="92"/>
  <c r="R61" i="92"/>
  <c r="R50" i="92"/>
  <c r="R49" i="92"/>
  <c r="R37" i="92"/>
  <c r="R33" i="92"/>
  <c r="R18" i="92"/>
  <c r="R16" i="92"/>
  <c r="R14" i="92"/>
  <c r="R100" i="92"/>
  <c r="R97" i="92"/>
  <c r="R84" i="92"/>
  <c r="R76" i="92"/>
  <c r="R72" i="92"/>
  <c r="R67" i="92"/>
  <c r="R52" i="92"/>
  <c r="R51" i="92"/>
  <c r="R62" i="92"/>
  <c r="R38" i="92"/>
  <c r="R34" i="92"/>
  <c r="R25" i="92"/>
  <c r="R45" i="92"/>
  <c r="X60" i="92"/>
  <c r="Z60" i="92" s="1"/>
  <c r="X64" i="92"/>
  <c r="Z64" i="92" s="1"/>
  <c r="R66" i="92"/>
  <c r="R93" i="92"/>
  <c r="J48" i="93"/>
  <c r="J52" i="85"/>
  <c r="J66" i="85"/>
  <c r="J70" i="85"/>
  <c r="J88" i="85"/>
  <c r="J98" i="85"/>
  <c r="J110" i="85"/>
  <c r="J118" i="85"/>
  <c r="J18" i="86"/>
  <c r="J18" i="88"/>
  <c r="J54" i="88"/>
  <c r="J64" i="88"/>
  <c r="J78" i="88"/>
  <c r="J82" i="88"/>
  <c r="J88" i="88"/>
  <c r="V31" i="89"/>
  <c r="V35" i="89"/>
  <c r="J39" i="89"/>
  <c r="J43" i="89"/>
  <c r="J49" i="89"/>
  <c r="J59" i="89"/>
  <c r="J64" i="89"/>
  <c r="J68" i="89"/>
  <c r="J76" i="89"/>
  <c r="V77" i="89"/>
  <c r="V78" i="89"/>
  <c r="J81" i="89"/>
  <c r="T16" i="92"/>
  <c r="X16" i="92" s="1"/>
  <c r="Z80" i="92"/>
  <c r="T83" i="93"/>
  <c r="X25" i="93"/>
  <c r="Z25" i="93" s="1"/>
  <c r="J87" i="85"/>
  <c r="J117" i="85"/>
  <c r="J27" i="88"/>
  <c r="J31" i="88"/>
  <c r="J63" i="88"/>
  <c r="J71" i="88"/>
  <c r="V83" i="88"/>
  <c r="J87" i="88"/>
  <c r="V91" i="88"/>
  <c r="V93" i="88"/>
  <c r="V95" i="88"/>
  <c r="J20" i="89"/>
  <c r="T23" i="89"/>
  <c r="V36" i="89"/>
  <c r="V40" i="89"/>
  <c r="V44" i="89"/>
  <c r="J48" i="89"/>
  <c r="V52" i="89"/>
  <c r="J58" i="89"/>
  <c r="V65" i="89"/>
  <c r="V69" i="89"/>
  <c r="Z30" i="92"/>
  <c r="X50" i="92"/>
  <c r="Z50" i="92" s="1"/>
  <c r="J56" i="85"/>
  <c r="J60" i="85"/>
  <c r="J76" i="85"/>
  <c r="J86" i="85"/>
  <c r="J104" i="85"/>
  <c r="J116" i="85"/>
  <c r="J34" i="86"/>
  <c r="J36" i="88"/>
  <c r="J40" i="88"/>
  <c r="J44" i="88"/>
  <c r="V48" i="88"/>
  <c r="V56" i="88"/>
  <c r="J62" i="88"/>
  <c r="J70" i="88"/>
  <c r="J86" i="88"/>
  <c r="X93" i="88"/>
  <c r="V21" i="89"/>
  <c r="V23" i="89"/>
  <c r="V25" i="89"/>
  <c r="J29" i="89"/>
  <c r="J33" i="89"/>
  <c r="X36" i="89"/>
  <c r="J47" i="89"/>
  <c r="V53" i="89"/>
  <c r="J57" i="89"/>
  <c r="L58" i="89"/>
  <c r="V61" i="89"/>
  <c r="V72" i="89"/>
  <c r="N75" i="89"/>
  <c r="V83" i="89"/>
  <c r="N86" i="92"/>
  <c r="N69" i="93"/>
  <c r="J53" i="88"/>
  <c r="J61" i="88"/>
  <c r="J69" i="88"/>
  <c r="J77" i="88"/>
  <c r="J81" i="88"/>
  <c r="J85" i="88"/>
  <c r="J99" i="88"/>
  <c r="J102" i="88"/>
  <c r="J79" i="89"/>
  <c r="J67" i="89"/>
  <c r="J83" i="89"/>
  <c r="J63" i="89"/>
  <c r="V26" i="89"/>
  <c r="V30" i="89"/>
  <c r="V34" i="89"/>
  <c r="J38" i="89"/>
  <c r="J42" i="89"/>
  <c r="J46" i="89"/>
  <c r="V50" i="89"/>
  <c r="J56" i="89"/>
  <c r="J71" i="89"/>
  <c r="J75" i="89"/>
  <c r="V76" i="89"/>
  <c r="N18" i="92"/>
  <c r="N54" i="92"/>
  <c r="J74" i="85"/>
  <c r="J84" i="85"/>
  <c r="J96" i="85"/>
  <c r="J102" i="85"/>
  <c r="J114" i="85"/>
  <c r="J16" i="86"/>
  <c r="V22" i="86"/>
  <c r="J30" i="86"/>
  <c r="J22" i="88"/>
  <c r="J24" i="88"/>
  <c r="J26" i="88"/>
  <c r="J30" i="88"/>
  <c r="J34" i="88"/>
  <c r="V46" i="88"/>
  <c r="J52" i="88"/>
  <c r="J60" i="88"/>
  <c r="J68" i="88"/>
  <c r="J76" i="88"/>
  <c r="V78" i="88"/>
  <c r="V82" i="88"/>
  <c r="V90" i="88"/>
  <c r="J19" i="89"/>
  <c r="V39" i="89"/>
  <c r="V43" i="89"/>
  <c r="V51" i="89"/>
  <c r="J55" i="89"/>
  <c r="V59" i="89"/>
  <c r="J74" i="89"/>
  <c r="V81" i="89"/>
  <c r="J87" i="89"/>
  <c r="L56" i="92"/>
  <c r="N56" i="92" s="1"/>
  <c r="R77" i="92"/>
  <c r="R86" i="92"/>
  <c r="T79" i="94"/>
  <c r="J33" i="85"/>
  <c r="J55" i="85"/>
  <c r="J59" i="85"/>
  <c r="J73" i="85"/>
  <c r="J83" i="85"/>
  <c r="J95" i="85"/>
  <c r="J25" i="88"/>
  <c r="V27" i="88"/>
  <c r="V31" i="88"/>
  <c r="J39" i="88"/>
  <c r="J43" i="88"/>
  <c r="J51" i="88"/>
  <c r="J59" i="88"/>
  <c r="V63" i="88"/>
  <c r="J67" i="88"/>
  <c r="V71" i="88"/>
  <c r="J75" i="88"/>
  <c r="V87" i="88"/>
  <c r="J97" i="88"/>
  <c r="J18" i="89"/>
  <c r="V20" i="89"/>
  <c r="J28" i="89"/>
  <c r="J32" i="89"/>
  <c r="V48" i="89"/>
  <c r="V60" i="89"/>
  <c r="V64" i="89"/>
  <c r="J66" i="89"/>
  <c r="V67" i="89"/>
  <c r="V68" i="89"/>
  <c r="R41" i="92"/>
  <c r="N43" i="92"/>
  <c r="R46" i="92"/>
  <c r="R54" i="92"/>
  <c r="X56" i="92"/>
  <c r="R73" i="92"/>
  <c r="X91" i="92"/>
  <c r="P89" i="92"/>
  <c r="X89" i="92" s="1"/>
  <c r="Z89" i="92" s="1"/>
  <c r="J77" i="93"/>
  <c r="J57" i="93"/>
  <c r="J49" i="93"/>
  <c r="J33" i="93"/>
  <c r="J29" i="93"/>
  <c r="J78" i="93"/>
  <c r="J72" i="93"/>
  <c r="J58" i="93"/>
  <c r="J50" i="93"/>
  <c r="J81" i="93"/>
  <c r="J73" i="93"/>
  <c r="J61" i="93"/>
  <c r="J53" i="93"/>
  <c r="J35" i="93"/>
  <c r="J68" i="93"/>
  <c r="J85" i="93"/>
  <c r="J69" i="93"/>
  <c r="J44" i="93"/>
  <c r="J74" i="93"/>
  <c r="J56" i="93"/>
  <c r="J41" i="93"/>
  <c r="J34" i="93"/>
  <c r="J20" i="93"/>
  <c r="J38" i="93"/>
  <c r="J31" i="93"/>
  <c r="J28" i="93"/>
  <c r="J25" i="93"/>
  <c r="J70" i="93"/>
  <c r="J67" i="93"/>
  <c r="J64" i="93"/>
  <c r="J45" i="93"/>
  <c r="H22" i="93"/>
  <c r="J54" i="93"/>
  <c r="J39" i="93"/>
  <c r="J32" i="93"/>
  <c r="J26" i="93"/>
  <c r="J46" i="93"/>
  <c r="J42" i="93"/>
  <c r="J36" i="93"/>
  <c r="J75" i="93"/>
  <c r="J65" i="93"/>
  <c r="J62" i="93"/>
  <c r="J51" i="93"/>
  <c r="J47" i="93"/>
  <c r="J71" i="93"/>
  <c r="J59" i="93"/>
  <c r="J52" i="93"/>
  <c r="J43" i="93"/>
  <c r="J40" i="93"/>
  <c r="J37" i="93"/>
  <c r="J27" i="93"/>
  <c r="J18" i="93"/>
  <c r="L63" i="93"/>
  <c r="V23" i="94"/>
  <c r="J64" i="85"/>
  <c r="J68" i="85"/>
  <c r="J72" i="85"/>
  <c r="J82" i="85"/>
  <c r="J94" i="85"/>
  <c r="J108" i="85"/>
  <c r="J126" i="85"/>
  <c r="J28" i="86"/>
  <c r="J20" i="88"/>
  <c r="J50" i="88"/>
  <c r="J58" i="88"/>
  <c r="J74" i="88"/>
  <c r="J80" i="88"/>
  <c r="J84" i="88"/>
  <c r="J37" i="89"/>
  <c r="J41" i="89"/>
  <c r="J45" i="89"/>
  <c r="V49" i="89"/>
  <c r="J62" i="89"/>
  <c r="J70" i="89"/>
  <c r="J78" i="89"/>
  <c r="Z56" i="92"/>
  <c r="X24" i="93"/>
  <c r="Z24" i="93" s="1"/>
  <c r="J73" i="88"/>
  <c r="V85" i="88"/>
  <c r="J93" i="88"/>
  <c r="J95" i="88"/>
  <c r="V75" i="89"/>
  <c r="V63" i="89"/>
  <c r="V71" i="89"/>
  <c r="H23" i="89"/>
  <c r="J36" i="89"/>
  <c r="V38" i="89"/>
  <c r="V42" i="89"/>
  <c r="V46" i="89"/>
  <c r="J54" i="89"/>
  <c r="V58" i="89"/>
  <c r="J73" i="89"/>
  <c r="V79" i="89"/>
  <c r="V80" i="89"/>
  <c r="V87" i="89"/>
  <c r="X14" i="92"/>
  <c r="X18" i="92"/>
  <c r="Z18" i="92" s="1"/>
  <c r="L18" i="93"/>
  <c r="N18" i="93" s="1"/>
  <c r="J63" i="93"/>
  <c r="J54" i="85"/>
  <c r="J58" i="85"/>
  <c r="J80" i="85"/>
  <c r="J92" i="85"/>
  <c r="J112" i="85"/>
  <c r="J122" i="85"/>
  <c r="N12" i="88"/>
  <c r="J38" i="88"/>
  <c r="J42" i="88"/>
  <c r="J48" i="88"/>
  <c r="J56" i="88"/>
  <c r="V62" i="88"/>
  <c r="V70" i="88"/>
  <c r="V19" i="89"/>
  <c r="J23" i="89"/>
  <c r="J25" i="89"/>
  <c r="J27" i="89"/>
  <c r="J31" i="89"/>
  <c r="J35" i="89"/>
  <c r="V47" i="89"/>
  <c r="J53" i="89"/>
  <c r="V55" i="89"/>
  <c r="V74" i="89"/>
  <c r="J77" i="89"/>
  <c r="D16" i="92"/>
  <c r="L50" i="92"/>
  <c r="N50" i="92" s="1"/>
  <c r="N64" i="92"/>
  <c r="L78" i="92"/>
  <c r="L25" i="93"/>
  <c r="Z56" i="93"/>
  <c r="Z81" i="93"/>
  <c r="X81" i="93"/>
  <c r="J33" i="92"/>
  <c r="J37" i="92"/>
  <c r="F41" i="92"/>
  <c r="F42" i="92"/>
  <c r="J43" i="92"/>
  <c r="J49" i="92"/>
  <c r="J61" i="92"/>
  <c r="F66" i="92"/>
  <c r="V73" i="92"/>
  <c r="V77" i="92"/>
  <c r="V85" i="92"/>
  <c r="F93" i="92"/>
  <c r="J95" i="92"/>
  <c r="V20" i="93"/>
  <c r="V22" i="93"/>
  <c r="V24" i="93"/>
  <c r="V25" i="93"/>
  <c r="L78" i="93"/>
  <c r="L18" i="94"/>
  <c r="F21" i="94"/>
  <c r="J65" i="94"/>
  <c r="D76" i="94"/>
  <c r="L76" i="94" s="1"/>
  <c r="F23" i="92"/>
  <c r="F27" i="92"/>
  <c r="J42" i="92"/>
  <c r="F47" i="92"/>
  <c r="J48" i="92"/>
  <c r="V54" i="92"/>
  <c r="F58" i="92"/>
  <c r="F59" i="92"/>
  <c r="J60" i="92"/>
  <c r="V62" i="92"/>
  <c r="J66" i="92"/>
  <c r="F70" i="92"/>
  <c r="F71" i="92"/>
  <c r="F75" i="92"/>
  <c r="V78" i="92"/>
  <c r="F82" i="92"/>
  <c r="F83" i="92"/>
  <c r="V86" i="92"/>
  <c r="D89" i="92"/>
  <c r="L89" i="92" s="1"/>
  <c r="N89" i="92" s="1"/>
  <c r="P12" i="93"/>
  <c r="X63" i="93"/>
  <c r="F18" i="94"/>
  <c r="L26" i="94"/>
  <c r="J56" i="94"/>
  <c r="X61" i="94"/>
  <c r="N25" i="95"/>
  <c r="J71" i="92"/>
  <c r="J75" i="92"/>
  <c r="J83" i="92"/>
  <c r="F89" i="92"/>
  <c r="F91" i="92"/>
  <c r="J93" i="92"/>
  <c r="V73" i="93"/>
  <c r="V69" i="93"/>
  <c r="V61" i="93"/>
  <c r="V53" i="93"/>
  <c r="V68" i="93"/>
  <c r="V44" i="93"/>
  <c r="V40" i="93"/>
  <c r="V65" i="93"/>
  <c r="V45" i="93"/>
  <c r="V41" i="93"/>
  <c r="V37" i="93"/>
  <c r="V76" i="93"/>
  <c r="V64" i="93"/>
  <c r="V75" i="93"/>
  <c r="V71" i="93"/>
  <c r="V30" i="93"/>
  <c r="L50" i="93"/>
  <c r="N50" i="93" s="1"/>
  <c r="V56" i="93"/>
  <c r="Z63" i="93"/>
  <c r="V66" i="93"/>
  <c r="V79" i="93"/>
  <c r="N18" i="94"/>
  <c r="N26" i="94"/>
  <c r="F33" i="94"/>
  <c r="Z61" i="94"/>
  <c r="V61" i="94"/>
  <c r="J32" i="92"/>
  <c r="J36" i="92"/>
  <c r="J40" i="92"/>
  <c r="F56" i="92"/>
  <c r="F57" i="92"/>
  <c r="J58" i="92"/>
  <c r="F64" i="92"/>
  <c r="F65" i="92"/>
  <c r="F69" i="92"/>
  <c r="J70" i="92"/>
  <c r="V72" i="92"/>
  <c r="V76" i="92"/>
  <c r="F80" i="92"/>
  <c r="F81" i="92"/>
  <c r="J82" i="92"/>
  <c r="V84" i="92"/>
  <c r="F90" i="92"/>
  <c r="J91" i="92"/>
  <c r="V19" i="93"/>
  <c r="V27" i="93"/>
  <c r="V55" i="93"/>
  <c r="N58" i="93"/>
  <c r="V59" i="93"/>
  <c r="V60" i="93"/>
  <c r="V63" i="93"/>
  <c r="F20" i="94"/>
  <c r="J26" i="94"/>
  <c r="J33" i="94"/>
  <c r="Z63" i="94"/>
  <c r="Z73" i="94"/>
  <c r="F81" i="94"/>
  <c r="J56" i="95"/>
  <c r="N56" i="95"/>
  <c r="L56" i="95"/>
  <c r="X78" i="93"/>
  <c r="P12" i="94"/>
  <c r="F28" i="94"/>
  <c r="F43" i="94"/>
  <c r="N47" i="94"/>
  <c r="F68" i="94"/>
  <c r="J81" i="94"/>
  <c r="V14" i="92"/>
  <c r="V16" i="92"/>
  <c r="V18" i="92"/>
  <c r="J22" i="92"/>
  <c r="J26" i="92"/>
  <c r="F30" i="92"/>
  <c r="F31" i="92"/>
  <c r="F35" i="92"/>
  <c r="F39" i="92"/>
  <c r="V42" i="92"/>
  <c r="J46" i="92"/>
  <c r="V50" i="92"/>
  <c r="F54" i="92"/>
  <c r="F55" i="92"/>
  <c r="J56" i="92"/>
  <c r="F63" i="92"/>
  <c r="J64" i="92"/>
  <c r="V66" i="92"/>
  <c r="J74" i="92"/>
  <c r="F78" i="92"/>
  <c r="F79" i="92"/>
  <c r="J80" i="92"/>
  <c r="F86" i="92"/>
  <c r="F87" i="92"/>
  <c r="V47" i="93"/>
  <c r="V51" i="93"/>
  <c r="V52" i="93"/>
  <c r="V62" i="93"/>
  <c r="X13" i="94"/>
  <c r="Z13" i="94" s="1"/>
  <c r="J47" i="94"/>
  <c r="J68" i="94"/>
  <c r="Z25" i="95"/>
  <c r="Z24" i="96"/>
  <c r="Z78" i="93"/>
  <c r="F72" i="94"/>
  <c r="F60" i="94"/>
  <c r="F52" i="94"/>
  <c r="F51" i="94"/>
  <c r="F44" i="94"/>
  <c r="F40" i="94"/>
  <c r="F48" i="94"/>
  <c r="F47" i="94"/>
  <c r="F61" i="94"/>
  <c r="F73" i="94"/>
  <c r="F58" i="94"/>
  <c r="F41" i="94"/>
  <c r="F38" i="94"/>
  <c r="F30" i="94"/>
  <c r="F69" i="94"/>
  <c r="F66" i="94"/>
  <c r="F62" i="94"/>
  <c r="F53" i="94"/>
  <c r="F34" i="94"/>
  <c r="F74" i="94"/>
  <c r="F70" i="94"/>
  <c r="F63" i="94"/>
  <c r="F59" i="94"/>
  <c r="F54" i="94"/>
  <c r="F49" i="94"/>
  <c r="F39" i="94"/>
  <c r="F31" i="94"/>
  <c r="F27" i="94"/>
  <c r="F26" i="94"/>
  <c r="F71" i="94"/>
  <c r="F67" i="94"/>
  <c r="F35" i="94"/>
  <c r="F25" i="94"/>
  <c r="F77" i="94"/>
  <c r="F76" i="94"/>
  <c r="F64" i="94"/>
  <c r="F55" i="94"/>
  <c r="F50" i="94"/>
  <c r="F45" i="94"/>
  <c r="F42" i="94"/>
  <c r="D23" i="94"/>
  <c r="F56" i="94"/>
  <c r="Z26" i="94"/>
  <c r="F32" i="94"/>
  <c r="R89" i="96"/>
  <c r="R88" i="96"/>
  <c r="R72" i="96"/>
  <c r="R32" i="96"/>
  <c r="R28" i="96"/>
  <c r="R101" i="96"/>
  <c r="R83" i="96"/>
  <c r="R73" i="96"/>
  <c r="R58" i="96"/>
  <c r="R57" i="96"/>
  <c r="R50" i="96"/>
  <c r="R49" i="96"/>
  <c r="R33" i="96"/>
  <c r="R29" i="96"/>
  <c r="R60" i="96"/>
  <c r="R59" i="96"/>
  <c r="R52" i="96"/>
  <c r="R51" i="96"/>
  <c r="R74" i="96"/>
  <c r="R94" i="96"/>
  <c r="R93" i="96"/>
  <c r="R85" i="96"/>
  <c r="R81" i="96"/>
  <c r="R70" i="96"/>
  <c r="R69" i="96"/>
  <c r="R62" i="96"/>
  <c r="R61" i="96"/>
  <c r="R53" i="96"/>
  <c r="R97" i="96"/>
  <c r="R87" i="96"/>
  <c r="R86" i="96"/>
  <c r="R82" i="96"/>
  <c r="R54" i="96"/>
  <c r="R18" i="96"/>
  <c r="R95" i="96"/>
  <c r="R67" i="96"/>
  <c r="R55" i="96"/>
  <c r="R43" i="96"/>
  <c r="R24" i="96"/>
  <c r="R91" i="96"/>
  <c r="R40" i="96"/>
  <c r="R27" i="96"/>
  <c r="R37" i="96"/>
  <c r="R34" i="96"/>
  <c r="R25" i="96"/>
  <c r="R19" i="96"/>
  <c r="R77" i="96"/>
  <c r="R47" i="96"/>
  <c r="R84" i="96"/>
  <c r="R80" i="96"/>
  <c r="R56" i="96"/>
  <c r="R44" i="96"/>
  <c r="R68" i="96"/>
  <c r="R65" i="96"/>
  <c r="R41" i="96"/>
  <c r="R35" i="96"/>
  <c r="R30" i="96"/>
  <c r="R92" i="96"/>
  <c r="R78" i="96"/>
  <c r="R75" i="96"/>
  <c r="R71" i="96"/>
  <c r="R38" i="96"/>
  <c r="R20" i="96"/>
  <c r="R48" i="96"/>
  <c r="R79" i="96"/>
  <c r="R64" i="96"/>
  <c r="R31" i="96"/>
  <c r="R22" i="96"/>
  <c r="R63" i="96"/>
  <c r="R17" i="96"/>
  <c r="R46" i="96"/>
  <c r="R39" i="96"/>
  <c r="R76" i="96"/>
  <c r="P22" i="96"/>
  <c r="R66" i="96"/>
  <c r="R42" i="96"/>
  <c r="R26" i="96"/>
  <c r="R36" i="96"/>
  <c r="F21" i="92"/>
  <c r="F25" i="92"/>
  <c r="F29" i="92"/>
  <c r="J30" i="92"/>
  <c r="F45" i="92"/>
  <c r="F52" i="92"/>
  <c r="F53" i="92"/>
  <c r="J54" i="92"/>
  <c r="J68" i="92"/>
  <c r="F73" i="92"/>
  <c r="F77" i="92"/>
  <c r="J78" i="92"/>
  <c r="F85" i="92"/>
  <c r="J86" i="92"/>
  <c r="V26" i="93"/>
  <c r="V29" i="93"/>
  <c r="V36" i="93"/>
  <c r="V39" i="93"/>
  <c r="V42" i="93"/>
  <c r="V54" i="93"/>
  <c r="V58" i="93"/>
  <c r="V78" i="93"/>
  <c r="J73" i="94"/>
  <c r="J67" i="94"/>
  <c r="J61" i="94"/>
  <c r="J53" i="94"/>
  <c r="J35" i="94"/>
  <c r="J71" i="94"/>
  <c r="J59" i="94"/>
  <c r="J49" i="94"/>
  <c r="J43" i="94"/>
  <c r="J39" i="94"/>
  <c r="J58" i="94"/>
  <c r="J41" i="94"/>
  <c r="J38" i="94"/>
  <c r="J30" i="94"/>
  <c r="J69" i="94"/>
  <c r="J66" i="94"/>
  <c r="J62" i="94"/>
  <c r="J48" i="94"/>
  <c r="J44" i="94"/>
  <c r="J34" i="94"/>
  <c r="J21" i="94"/>
  <c r="J74" i="94"/>
  <c r="J70" i="94"/>
  <c r="J63" i="94"/>
  <c r="J54" i="94"/>
  <c r="J76" i="94"/>
  <c r="J55" i="94"/>
  <c r="H23" i="94"/>
  <c r="J23" i="94" s="1"/>
  <c r="J77" i="94"/>
  <c r="J64" i="94"/>
  <c r="J50" i="94"/>
  <c r="J45" i="94"/>
  <c r="J42" i="94"/>
  <c r="J32" i="94"/>
  <c r="J28" i="94"/>
  <c r="J18" i="94"/>
  <c r="J60" i="94"/>
  <c r="J46" i="94"/>
  <c r="J40" i="94"/>
  <c r="V26" i="94"/>
  <c r="J51" i="94"/>
  <c r="N18" i="95"/>
  <c r="H23" i="95"/>
  <c r="J18" i="95"/>
  <c r="L36" i="95"/>
  <c r="N36" i="95" s="1"/>
  <c r="R45" i="96"/>
  <c r="F62" i="92"/>
  <c r="J73" i="92"/>
  <c r="J77" i="92"/>
  <c r="J85" i="92"/>
  <c r="F97" i="92"/>
  <c r="F100" i="92"/>
  <c r="V57" i="93"/>
  <c r="L69" i="93"/>
  <c r="V70" i="93"/>
  <c r="L12" i="94"/>
  <c r="N12" i="94" s="1"/>
  <c r="F57" i="94"/>
  <c r="J36" i="95"/>
  <c r="X12" i="96"/>
  <c r="Z12" i="96" s="1"/>
  <c r="F14" i="92"/>
  <c r="F16" i="92"/>
  <c r="F18" i="92"/>
  <c r="V22" i="92"/>
  <c r="V26" i="92"/>
  <c r="J34" i="92"/>
  <c r="J38" i="92"/>
  <c r="V46" i="92"/>
  <c r="F50" i="92"/>
  <c r="F51" i="92"/>
  <c r="J52" i="92"/>
  <c r="V58" i="92"/>
  <c r="V70" i="92"/>
  <c r="V74" i="92"/>
  <c r="V82" i="92"/>
  <c r="V46" i="93"/>
  <c r="V50" i="93"/>
  <c r="V77" i="93"/>
  <c r="F19" i="94"/>
  <c r="L36" i="94"/>
  <c r="N36" i="94" s="1"/>
  <c r="F46" i="94"/>
  <c r="Z49" i="94"/>
  <c r="X49" i="94"/>
  <c r="Z51" i="94"/>
  <c r="Z53" i="94"/>
  <c r="V53" i="94"/>
  <c r="Z71" i="95"/>
  <c r="N81" i="95"/>
  <c r="L81" i="95"/>
  <c r="J81" i="95"/>
  <c r="N51" i="94"/>
  <c r="N26" i="95"/>
  <c r="R37" i="95"/>
  <c r="R45" i="95"/>
  <c r="R84" i="95"/>
  <c r="X24" i="96"/>
  <c r="Z52" i="96"/>
  <c r="V68" i="94"/>
  <c r="V72" i="94"/>
  <c r="V81" i="94"/>
  <c r="D12" i="95"/>
  <c r="R19" i="95"/>
  <c r="R33" i="95"/>
  <c r="V42" i="95"/>
  <c r="V48" i="95"/>
  <c r="X49" i="95"/>
  <c r="Z49" i="95" s="1"/>
  <c r="R56" i="95"/>
  <c r="R72" i="95"/>
  <c r="V78" i="95"/>
  <c r="V60" i="94"/>
  <c r="V33" i="95"/>
  <c r="V39" i="95"/>
  <c r="J47" i="95"/>
  <c r="V51" i="95"/>
  <c r="N53" i="95"/>
  <c r="Z56" i="95"/>
  <c r="V72" i="95"/>
  <c r="L35" i="96"/>
  <c r="N35" i="96" s="1"/>
  <c r="V47" i="94"/>
  <c r="V67" i="94"/>
  <c r="V63" i="94"/>
  <c r="V55" i="94"/>
  <c r="V35" i="94"/>
  <c r="V46" i="94"/>
  <c r="V56" i="94"/>
  <c r="V57" i="94"/>
  <c r="X25" i="95"/>
  <c r="R26" i="95"/>
  <c r="Z36" i="95"/>
  <c r="R44" i="95"/>
  <c r="R61" i="95"/>
  <c r="V67" i="95"/>
  <c r="N17" i="96"/>
  <c r="J17" i="96"/>
  <c r="Z64" i="96"/>
  <c r="X64" i="96"/>
  <c r="N63" i="94"/>
  <c r="R29" i="95"/>
  <c r="R32" i="95"/>
  <c r="R50" i="95"/>
  <c r="R55" i="95"/>
  <c r="Z35" i="96"/>
  <c r="T99" i="96"/>
  <c r="L49" i="94"/>
  <c r="N49" i="94" s="1"/>
  <c r="V51" i="94"/>
  <c r="R77" i="95"/>
  <c r="R73" i="95"/>
  <c r="R82" i="95"/>
  <c r="R71" i="95"/>
  <c r="R70" i="95"/>
  <c r="R63" i="95"/>
  <c r="R57" i="95"/>
  <c r="R80" i="95"/>
  <c r="R76" i="95"/>
  <c r="R69" i="95"/>
  <c r="R53" i="95"/>
  <c r="R36" i="95"/>
  <c r="R35" i="95"/>
  <c r="R31" i="95"/>
  <c r="R27" i="95"/>
  <c r="P23" i="95"/>
  <c r="R88" i="95"/>
  <c r="R81" i="95"/>
  <c r="R64" i="95"/>
  <c r="R59" i="95"/>
  <c r="R74" i="95"/>
  <c r="R65" i="95"/>
  <c r="R60" i="95"/>
  <c r="R54" i="95"/>
  <c r="R78" i="95"/>
  <c r="R75" i="95"/>
  <c r="R67" i="95"/>
  <c r="R62" i="95"/>
  <c r="R43" i="95"/>
  <c r="R39" i="95"/>
  <c r="R18" i="95"/>
  <c r="R23" i="95"/>
  <c r="X26" i="95"/>
  <c r="Z26" i="95" s="1"/>
  <c r="R41" i="95"/>
  <c r="R47" i="95"/>
  <c r="X53" i="95"/>
  <c r="Z53" i="95" s="1"/>
  <c r="X69" i="95"/>
  <c r="V42" i="94"/>
  <c r="V45" i="94"/>
  <c r="V50" i="94"/>
  <c r="V71" i="94"/>
  <c r="X76" i="94"/>
  <c r="V79" i="94"/>
  <c r="V64" i="95"/>
  <c r="V56" i="95"/>
  <c r="V61" i="95"/>
  <c r="V73" i="95"/>
  <c r="V69" i="95"/>
  <c r="V68" i="95"/>
  <c r="V53" i="95"/>
  <c r="V52" i="95"/>
  <c r="V81" i="95"/>
  <c r="V80" i="95"/>
  <c r="V76" i="95"/>
  <c r="V88" i="95"/>
  <c r="V18" i="95"/>
  <c r="V65" i="95"/>
  <c r="V60" i="95"/>
  <c r="V59" i="95"/>
  <c r="V45" i="95"/>
  <c r="V41" i="95"/>
  <c r="V37" i="95"/>
  <c r="V74" i="95"/>
  <c r="V71" i="95"/>
  <c r="V70" i="95"/>
  <c r="V82" i="95"/>
  <c r="V77" i="95"/>
  <c r="V47" i="95"/>
  <c r="V84" i="95"/>
  <c r="V50" i="95"/>
  <c r="V34" i="95"/>
  <c r="V30" i="95"/>
  <c r="V26" i="95"/>
  <c r="T23" i="95"/>
  <c r="V25" i="95"/>
  <c r="R38" i="95"/>
  <c r="R46" i="95"/>
  <c r="Z47" i="95"/>
  <c r="V58" i="95"/>
  <c r="R66" i="95"/>
  <c r="V75" i="95"/>
  <c r="V18" i="94"/>
  <c r="V39" i="94"/>
  <c r="V59" i="94"/>
  <c r="V77" i="94"/>
  <c r="X12" i="95"/>
  <c r="Z12" i="95" s="1"/>
  <c r="R21" i="95"/>
  <c r="V23" i="95"/>
  <c r="V38" i="95"/>
  <c r="V46" i="95"/>
  <c r="V57" i="95"/>
  <c r="V63" i="95"/>
  <c r="V66" i="95"/>
  <c r="J84" i="95"/>
  <c r="J76" i="95"/>
  <c r="J72" i="95"/>
  <c r="J62" i="95"/>
  <c r="J79" i="95"/>
  <c r="J67" i="95"/>
  <c r="J57" i="95"/>
  <c r="J38" i="95"/>
  <c r="J42" i="95"/>
  <c r="J46" i="95"/>
  <c r="N48" i="96"/>
  <c r="J48" i="96"/>
  <c r="V71" i="98"/>
  <c r="X82" i="98"/>
  <c r="Z82" i="98" s="1"/>
  <c r="V84" i="98"/>
  <c r="X50" i="103"/>
  <c r="Z50" i="103" s="1"/>
  <c r="N56" i="96"/>
  <c r="X76" i="96"/>
  <c r="Z76" i="96" s="1"/>
  <c r="Z87" i="96"/>
  <c r="V25" i="101"/>
  <c r="J54" i="103"/>
  <c r="J46" i="103"/>
  <c r="J57" i="103"/>
  <c r="J49" i="103"/>
  <c r="J70" i="103"/>
  <c r="J67" i="103"/>
  <c r="J59" i="103"/>
  <c r="J53" i="103"/>
  <c r="J43" i="103"/>
  <c r="J37" i="103"/>
  <c r="J29" i="103"/>
  <c r="H16" i="103"/>
  <c r="J65" i="103"/>
  <c r="J30" i="103"/>
  <c r="J50" i="103"/>
  <c r="J44" i="103"/>
  <c r="J34" i="103"/>
  <c r="J25" i="103"/>
  <c r="J21" i="103"/>
  <c r="J61" i="103"/>
  <c r="J55" i="103"/>
  <c r="J38" i="103"/>
  <c r="J56" i="103"/>
  <c r="J31" i="103"/>
  <c r="J51" i="103"/>
  <c r="J45" i="103"/>
  <c r="J35" i="103"/>
  <c r="J26" i="103"/>
  <c r="J22" i="103"/>
  <c r="J39" i="103"/>
  <c r="J63" i="103"/>
  <c r="J40" i="103"/>
  <c r="J32" i="103"/>
  <c r="N12" i="103"/>
  <c r="J52" i="103"/>
  <c r="J47" i="103"/>
  <c r="J36" i="103"/>
  <c r="J27" i="103"/>
  <c r="J23" i="103"/>
  <c r="L12" i="103"/>
  <c r="J42" i="103"/>
  <c r="J19" i="103"/>
  <c r="J48" i="103"/>
  <c r="J58" i="103"/>
  <c r="J41" i="103"/>
  <c r="J33" i="103"/>
  <c r="J14" i="103"/>
  <c r="J20" i="103"/>
  <c r="J18" i="103"/>
  <c r="J24" i="103"/>
  <c r="J28" i="103"/>
  <c r="J16" i="103"/>
  <c r="X35" i="96"/>
  <c r="X60" i="96"/>
  <c r="Z60" i="96" s="1"/>
  <c r="V87" i="96"/>
  <c r="N59" i="98"/>
  <c r="N19" i="100"/>
  <c r="N47" i="100"/>
  <c r="J69" i="95"/>
  <c r="L50" i="96"/>
  <c r="N36" i="98"/>
  <c r="J36" i="98"/>
  <c r="N51" i="98"/>
  <c r="Z74" i="98"/>
  <c r="L69" i="95"/>
  <c r="L58" i="96"/>
  <c r="N58" i="96" s="1"/>
  <c r="H23" i="98"/>
  <c r="D12" i="96"/>
  <c r="V35" i="96"/>
  <c r="P12" i="98"/>
  <c r="L18" i="98"/>
  <c r="N18" i="98" s="1"/>
  <c r="J30" i="95"/>
  <c r="J34" i="95"/>
  <c r="J50" i="95"/>
  <c r="Z62" i="96"/>
  <c r="X97" i="96"/>
  <c r="V93" i="98"/>
  <c r="V83" i="98"/>
  <c r="V89" i="98"/>
  <c r="V78" i="98"/>
  <c r="V74" i="98"/>
  <c r="V66" i="98"/>
  <c r="V58" i="98"/>
  <c r="V50" i="98"/>
  <c r="V34" i="98"/>
  <c r="V30" i="98"/>
  <c r="V26" i="98"/>
  <c r="V73" i="98"/>
  <c r="V61" i="98"/>
  <c r="V53" i="98"/>
  <c r="V25" i="98"/>
  <c r="V23" i="98"/>
  <c r="V21" i="98"/>
  <c r="V68" i="98"/>
  <c r="V60" i="98"/>
  <c r="V52" i="98"/>
  <c r="V44" i="98"/>
  <c r="V40" i="98"/>
  <c r="V36" i="98"/>
  <c r="T23" i="98"/>
  <c r="V85" i="98"/>
  <c r="V79" i="98"/>
  <c r="V75" i="98"/>
  <c r="V67" i="98"/>
  <c r="V35" i="98"/>
  <c r="V31" i="98"/>
  <c r="V27" i="98"/>
  <c r="V86" i="98"/>
  <c r="V62" i="98"/>
  <c r="V54" i="98"/>
  <c r="V18" i="98"/>
  <c r="V69" i="98"/>
  <c r="V45" i="98"/>
  <c r="V41" i="98"/>
  <c r="V37" i="98"/>
  <c r="V80" i="98"/>
  <c r="V76" i="98"/>
  <c r="V64" i="98"/>
  <c r="V32" i="98"/>
  <c r="V28" i="98"/>
  <c r="V63" i="98"/>
  <c r="V55" i="98"/>
  <c r="V47" i="98"/>
  <c r="V19" i="98"/>
  <c r="V82" i="98"/>
  <c r="V70" i="98"/>
  <c r="V46" i="98"/>
  <c r="V42" i="98"/>
  <c r="V38" i="98"/>
  <c r="V72" i="98"/>
  <c r="V56" i="98"/>
  <c r="V48" i="98"/>
  <c r="V20" i="98"/>
  <c r="V29" i="98"/>
  <c r="V49" i="98"/>
  <c r="V51" i="98"/>
  <c r="L68" i="98"/>
  <c r="N68" i="98" s="1"/>
  <c r="X72" i="98"/>
  <c r="Z72" i="98" s="1"/>
  <c r="F32" i="99"/>
  <c r="F27" i="99"/>
  <c r="F23" i="99"/>
  <c r="F33" i="99"/>
  <c r="F37" i="99"/>
  <c r="F36" i="99"/>
  <c r="F25" i="99"/>
  <c r="F31" i="99"/>
  <c r="F22" i="99"/>
  <c r="F39" i="99"/>
  <c r="F35" i="99"/>
  <c r="F28" i="99"/>
  <c r="F16" i="99"/>
  <c r="F18" i="99"/>
  <c r="F29" i="99"/>
  <c r="F26" i="99"/>
  <c r="D18" i="99"/>
  <c r="F30" i="99"/>
  <c r="F24" i="99"/>
  <c r="F20" i="99"/>
  <c r="F21" i="99"/>
  <c r="J68" i="98"/>
  <c r="Z18" i="99"/>
  <c r="T41" i="99"/>
  <c r="Z70" i="96"/>
  <c r="Z91" i="96"/>
  <c r="V97" i="96"/>
  <c r="D12" i="98"/>
  <c r="N25" i="98"/>
  <c r="N64" i="98"/>
  <c r="H22" i="96"/>
  <c r="J35" i="96"/>
  <c r="V37" i="96"/>
  <c r="V41" i="96"/>
  <c r="V45" i="96"/>
  <c r="J53" i="96"/>
  <c r="J61" i="96"/>
  <c r="V65" i="96"/>
  <c r="J69" i="96"/>
  <c r="V77" i="96"/>
  <c r="J81" i="96"/>
  <c r="J85" i="96"/>
  <c r="V89" i="96"/>
  <c r="J93" i="96"/>
  <c r="J18" i="98"/>
  <c r="J28" i="98"/>
  <c r="J32" i="98"/>
  <c r="J76" i="98"/>
  <c r="J80" i="98"/>
  <c r="J48" i="99"/>
  <c r="J45" i="99"/>
  <c r="J27" i="99"/>
  <c r="J23" i="99"/>
  <c r="J34" i="99"/>
  <c r="J28" i="99"/>
  <c r="J24" i="99"/>
  <c r="N12" i="99"/>
  <c r="V25" i="99"/>
  <c r="R29" i="100"/>
  <c r="R55" i="100"/>
  <c r="P12" i="101"/>
  <c r="X13" i="101"/>
  <c r="Z13" i="101" s="1"/>
  <c r="F18" i="101"/>
  <c r="X25" i="101"/>
  <c r="Z25" i="101" s="1"/>
  <c r="V53" i="101"/>
  <c r="N79" i="102"/>
  <c r="R29" i="99"/>
  <c r="R28" i="99"/>
  <c r="R24" i="99"/>
  <c r="R36" i="99"/>
  <c r="R35" i="99"/>
  <c r="R37" i="99"/>
  <c r="R25" i="99"/>
  <c r="R43" i="99"/>
  <c r="R22" i="99"/>
  <c r="R31" i="99"/>
  <c r="D53" i="100"/>
  <c r="R51" i="100"/>
  <c r="J20" i="96"/>
  <c r="J50" i="96"/>
  <c r="J58" i="96"/>
  <c r="V64" i="96"/>
  <c r="J68" i="96"/>
  <c r="V76" i="96"/>
  <c r="J80" i="96"/>
  <c r="J84" i="96"/>
  <c r="J92" i="96"/>
  <c r="J23" i="98"/>
  <c r="J25" i="98"/>
  <c r="J27" i="98"/>
  <c r="J31" i="98"/>
  <c r="J35" i="98"/>
  <c r="J53" i="98"/>
  <c r="J61" i="98"/>
  <c r="J67" i="98"/>
  <c r="J75" i="98"/>
  <c r="J79" i="98"/>
  <c r="V35" i="99"/>
  <c r="V30" i="99"/>
  <c r="V20" i="99"/>
  <c r="V18" i="99"/>
  <c r="V16" i="99"/>
  <c r="Z12" i="99"/>
  <c r="V32" i="99"/>
  <c r="X16" i="99"/>
  <c r="V22" i="99"/>
  <c r="R27" i="99"/>
  <c r="V31" i="99"/>
  <c r="R34" i="99"/>
  <c r="V39" i="99"/>
  <c r="R14" i="100"/>
  <c r="H53" i="100"/>
  <c r="N17" i="100"/>
  <c r="N50" i="100"/>
  <c r="F73" i="101"/>
  <c r="F48" i="101"/>
  <c r="F47" i="101"/>
  <c r="F32" i="101"/>
  <c r="F28" i="101"/>
  <c r="F72" i="101"/>
  <c r="F59" i="101"/>
  <c r="F58" i="101"/>
  <c r="F75" i="101"/>
  <c r="F66" i="101"/>
  <c r="F50" i="101"/>
  <c r="F49" i="101"/>
  <c r="F42" i="101"/>
  <c r="F38" i="101"/>
  <c r="L12" i="101"/>
  <c r="F33" i="101"/>
  <c r="F29" i="101"/>
  <c r="F77" i="101"/>
  <c r="F60" i="101"/>
  <c r="F52" i="101"/>
  <c r="F51" i="101"/>
  <c r="F67" i="101"/>
  <c r="F43" i="101"/>
  <c r="F39" i="101"/>
  <c r="F35" i="101"/>
  <c r="F34" i="101"/>
  <c r="F62" i="101"/>
  <c r="F61" i="101"/>
  <c r="F54" i="101"/>
  <c r="F53" i="101"/>
  <c r="F30" i="101"/>
  <c r="F26" i="101"/>
  <c r="F25" i="101"/>
  <c r="F79" i="101"/>
  <c r="F69" i="101"/>
  <c r="F68" i="101"/>
  <c r="F24" i="101"/>
  <c r="F22" i="101"/>
  <c r="F64" i="101"/>
  <c r="F63" i="101"/>
  <c r="F56" i="101"/>
  <c r="F55" i="101"/>
  <c r="F44" i="101"/>
  <c r="F40" i="101"/>
  <c r="F36" i="101"/>
  <c r="D22" i="101"/>
  <c r="F31" i="101"/>
  <c r="F27" i="101"/>
  <c r="F17" i="101"/>
  <c r="F45" i="101"/>
  <c r="V52" i="101"/>
  <c r="Z44" i="103"/>
  <c r="J57" i="96"/>
  <c r="J73" i="96"/>
  <c r="V81" i="96"/>
  <c r="V85" i="96"/>
  <c r="J91" i="96"/>
  <c r="V93" i="96"/>
  <c r="L25" i="98"/>
  <c r="J26" i="98"/>
  <c r="J40" i="98"/>
  <c r="J44" i="98"/>
  <c r="X47" i="98"/>
  <c r="Z47" i="98" s="1"/>
  <c r="J52" i="98"/>
  <c r="L53" i="98"/>
  <c r="N53" i="98" s="1"/>
  <c r="J60" i="98"/>
  <c r="L61" i="98"/>
  <c r="N61" i="98" s="1"/>
  <c r="J74" i="98"/>
  <c r="X12" i="99"/>
  <c r="V27" i="99"/>
  <c r="V37" i="99"/>
  <c r="X20" i="100"/>
  <c r="Z20" i="100" s="1"/>
  <c r="R28" i="100"/>
  <c r="R31" i="100"/>
  <c r="V20" i="101"/>
  <c r="F65" i="101"/>
  <c r="Z68" i="101"/>
  <c r="L42" i="103"/>
  <c r="N42" i="103" s="1"/>
  <c r="J56" i="96"/>
  <c r="J90" i="96"/>
  <c r="V94" i="96"/>
  <c r="J21" i="98"/>
  <c r="J51" i="98"/>
  <c r="J59" i="98"/>
  <c r="J73" i="98"/>
  <c r="J84" i="98"/>
  <c r="L20" i="99"/>
  <c r="R21" i="99"/>
  <c r="V24" i="99"/>
  <c r="R33" i="99"/>
  <c r="V34" i="99"/>
  <c r="V43" i="99"/>
  <c r="L17" i="100"/>
  <c r="Z41" i="100"/>
  <c r="L34" i="101"/>
  <c r="X61" i="101"/>
  <c r="Z61" i="101" s="1"/>
  <c r="J72" i="98"/>
  <c r="J78" i="98"/>
  <c r="J89" i="98"/>
  <c r="R30" i="99"/>
  <c r="R37" i="100"/>
  <c r="R33" i="100"/>
  <c r="R20" i="100"/>
  <c r="R15" i="100"/>
  <c r="R47" i="100"/>
  <c r="R46" i="100"/>
  <c r="R38" i="100"/>
  <c r="R34" i="100"/>
  <c r="R19" i="100"/>
  <c r="R17" i="100"/>
  <c r="R48" i="100"/>
  <c r="R53" i="100"/>
  <c r="R41" i="100"/>
  <c r="R40" i="100"/>
  <c r="R36" i="100"/>
  <c r="R32" i="100"/>
  <c r="X12" i="100"/>
  <c r="P17" i="100"/>
  <c r="R22" i="100"/>
  <c r="R50" i="100"/>
  <c r="R57" i="100"/>
  <c r="V67" i="101"/>
  <c r="V63" i="101"/>
  <c r="V55" i="101"/>
  <c r="V43" i="101"/>
  <c r="V39" i="101"/>
  <c r="V35" i="101"/>
  <c r="T22" i="101"/>
  <c r="V62" i="101"/>
  <c r="V54" i="101"/>
  <c r="V30" i="101"/>
  <c r="V69" i="101"/>
  <c r="V45" i="101"/>
  <c r="V17" i="101"/>
  <c r="V64" i="101"/>
  <c r="V56" i="101"/>
  <c r="V44" i="101"/>
  <c r="V40" i="101"/>
  <c r="V36" i="101"/>
  <c r="V47" i="101"/>
  <c r="V72" i="101"/>
  <c r="V70" i="101"/>
  <c r="V58" i="101"/>
  <c r="V46" i="101"/>
  <c r="V18" i="101"/>
  <c r="V73" i="101"/>
  <c r="V65" i="101"/>
  <c r="V57" i="101"/>
  <c r="V49" i="101"/>
  <c r="V41" i="101"/>
  <c r="V37" i="101"/>
  <c r="V48" i="101"/>
  <c r="V32" i="101"/>
  <c r="V28" i="101"/>
  <c r="V59" i="101"/>
  <c r="V51" i="101"/>
  <c r="V19" i="101"/>
  <c r="V66" i="101"/>
  <c r="V50" i="101"/>
  <c r="V42" i="101"/>
  <c r="V38" i="101"/>
  <c r="V34" i="101"/>
  <c r="V24" i="101"/>
  <c r="V26" i="101"/>
  <c r="N34" i="101"/>
  <c r="J52" i="105"/>
  <c r="J34" i="105"/>
  <c r="J56" i="105"/>
  <c r="J53" i="105"/>
  <c r="J42" i="105"/>
  <c r="J48" i="105"/>
  <c r="J21" i="105"/>
  <c r="J54" i="105"/>
  <c r="J39" i="105"/>
  <c r="J35" i="105"/>
  <c r="J26" i="105"/>
  <c r="J49" i="105"/>
  <c r="J43" i="105"/>
  <c r="J31" i="105"/>
  <c r="J27" i="105"/>
  <c r="J25" i="105"/>
  <c r="J57" i="105"/>
  <c r="J36" i="105"/>
  <c r="H23" i="105"/>
  <c r="J50" i="105"/>
  <c r="J40" i="105"/>
  <c r="J58" i="105"/>
  <c r="J55" i="105"/>
  <c r="J44" i="105"/>
  <c r="J32" i="105"/>
  <c r="J28" i="105"/>
  <c r="J18" i="105"/>
  <c r="J51" i="105"/>
  <c r="J37" i="105"/>
  <c r="J19" i="105"/>
  <c r="J59" i="105"/>
  <c r="J45" i="105"/>
  <c r="J33" i="105"/>
  <c r="J29" i="105"/>
  <c r="J46" i="105"/>
  <c r="J38" i="105"/>
  <c r="J20" i="105"/>
  <c r="J61" i="105"/>
  <c r="J47" i="105"/>
  <c r="J30" i="105"/>
  <c r="J41" i="105"/>
  <c r="J65" i="105"/>
  <c r="V20" i="96"/>
  <c r="V22" i="96"/>
  <c r="V24" i="96"/>
  <c r="J28" i="96"/>
  <c r="J32" i="96"/>
  <c r="J46" i="96"/>
  <c r="V52" i="96"/>
  <c r="V60" i="96"/>
  <c r="J66" i="96"/>
  <c r="V68" i="96"/>
  <c r="J72" i="96"/>
  <c r="J78" i="96"/>
  <c r="V80" i="96"/>
  <c r="V84" i="96"/>
  <c r="J88" i="96"/>
  <c r="V92" i="96"/>
  <c r="L13" i="98"/>
  <c r="N13" i="98" s="1"/>
  <c r="J39" i="98"/>
  <c r="J43" i="98"/>
  <c r="J49" i="98"/>
  <c r="J57" i="98"/>
  <c r="J71" i="98"/>
  <c r="J83" i="98"/>
  <c r="J18" i="99"/>
  <c r="R20" i="99"/>
  <c r="V21" i="99"/>
  <c r="J32" i="99"/>
  <c r="L39" i="99"/>
  <c r="H41" i="99"/>
  <c r="V44" i="100"/>
  <c r="V46" i="100"/>
  <c r="V38" i="100"/>
  <c r="V34" i="100"/>
  <c r="V30" i="100"/>
  <c r="T17" i="100"/>
  <c r="V29" i="100"/>
  <c r="V25" i="100"/>
  <c r="V21" i="100"/>
  <c r="V53" i="100"/>
  <c r="V51" i="100"/>
  <c r="V39" i="100"/>
  <c r="V35" i="100"/>
  <c r="V31" i="100"/>
  <c r="V41" i="100"/>
  <c r="V40" i="100"/>
  <c r="V60" i="100"/>
  <c r="V57" i="100"/>
  <c r="V55" i="100"/>
  <c r="V43" i="100"/>
  <c r="V27" i="100"/>
  <c r="V23" i="100"/>
  <c r="V17" i="100"/>
  <c r="V22" i="100"/>
  <c r="R43" i="100"/>
  <c r="H75" i="101"/>
  <c r="N22" i="101"/>
  <c r="X34" i="101"/>
  <c r="Z47" i="101"/>
  <c r="V61" i="101"/>
  <c r="L49" i="98"/>
  <c r="N49" i="98" s="1"/>
  <c r="R26" i="99"/>
  <c r="R35" i="100"/>
  <c r="X43" i="100"/>
  <c r="Z43" i="100" s="1"/>
  <c r="D12" i="102"/>
  <c r="L13" i="102"/>
  <c r="N13" i="102" s="1"/>
  <c r="J86" i="96"/>
  <c r="P18" i="99"/>
  <c r="R23" i="99"/>
  <c r="R24" i="100"/>
  <c r="R27" i="100"/>
  <c r="Z34" i="101"/>
  <c r="V60" i="101"/>
  <c r="J27" i="96"/>
  <c r="J31" i="96"/>
  <c r="J63" i="96"/>
  <c r="V67" i="96"/>
  <c r="J71" i="96"/>
  <c r="J75" i="96"/>
  <c r="V79" i="96"/>
  <c r="V83" i="96"/>
  <c r="V91" i="96"/>
  <c r="V101" i="96"/>
  <c r="J85" i="98"/>
  <c r="J87" i="98"/>
  <c r="J93" i="98"/>
  <c r="J38" i="98"/>
  <c r="J42" i="98"/>
  <c r="J46" i="98"/>
  <c r="J64" i="98"/>
  <c r="J70" i="98"/>
  <c r="R18" i="99"/>
  <c r="V23" i="99"/>
  <c r="V29" i="99"/>
  <c r="R32" i="99"/>
  <c r="R21" i="100"/>
  <c r="R30" i="100"/>
  <c r="R42" i="100"/>
  <c r="R45" i="100"/>
  <c r="V22" i="101"/>
  <c r="N25" i="101"/>
  <c r="F46" i="101"/>
  <c r="X53" i="101"/>
  <c r="F57" i="101"/>
  <c r="L19" i="103"/>
  <c r="N19" i="103" s="1"/>
  <c r="F17" i="100"/>
  <c r="F19" i="100"/>
  <c r="J31" i="100"/>
  <c r="J35" i="100"/>
  <c r="J39" i="100"/>
  <c r="F47" i="100"/>
  <c r="F48" i="100"/>
  <c r="J18" i="101"/>
  <c r="J46" i="101"/>
  <c r="J70" i="101"/>
  <c r="H90" i="102"/>
  <c r="V46" i="102"/>
  <c r="V58" i="102"/>
  <c r="Z48" i="104"/>
  <c r="J45" i="101"/>
  <c r="V20" i="102"/>
  <c r="L53" i="102"/>
  <c r="V60" i="102"/>
  <c r="Z79" i="102"/>
  <c r="J64" i="101"/>
  <c r="T23" i="102"/>
  <c r="N53" i="102"/>
  <c r="D63" i="103"/>
  <c r="L16" i="103"/>
  <c r="V18" i="102"/>
  <c r="L49" i="102"/>
  <c r="N49" i="102" s="1"/>
  <c r="N51" i="102"/>
  <c r="V66" i="102"/>
  <c r="X87" i="102"/>
  <c r="Z87" i="102" s="1"/>
  <c r="Z40" i="103"/>
  <c r="J15" i="100"/>
  <c r="F24" i="100"/>
  <c r="F28" i="100"/>
  <c r="F43" i="100"/>
  <c r="F44" i="100"/>
  <c r="J45" i="100"/>
  <c r="F57" i="100"/>
  <c r="F60" i="100"/>
  <c r="J22" i="101"/>
  <c r="J24" i="101"/>
  <c r="J26" i="101"/>
  <c r="J30" i="101"/>
  <c r="J54" i="101"/>
  <c r="J62" i="101"/>
  <c r="N25" i="102"/>
  <c r="V42" i="102"/>
  <c r="Z53" i="102"/>
  <c r="N69" i="102"/>
  <c r="J33" i="100"/>
  <c r="J37" i="100"/>
  <c r="F41" i="100"/>
  <c r="F42" i="100"/>
  <c r="J43" i="100"/>
  <c r="J57" i="100"/>
  <c r="J60" i="100"/>
  <c r="J82" i="101"/>
  <c r="J79" i="101"/>
  <c r="J20" i="101"/>
  <c r="J34" i="101"/>
  <c r="J52" i="101"/>
  <c r="J60" i="101"/>
  <c r="J77" i="101"/>
  <c r="Z25" i="102"/>
  <c r="X49" i="102"/>
  <c r="Z49" i="102" s="1"/>
  <c r="Z69" i="102"/>
  <c r="Z54" i="103"/>
  <c r="F23" i="100"/>
  <c r="F27" i="100"/>
  <c r="J29" i="101"/>
  <c r="J33" i="101"/>
  <c r="J51" i="101"/>
  <c r="Z36" i="102"/>
  <c r="Z47" i="102"/>
  <c r="V69" i="104"/>
  <c r="V61" i="104"/>
  <c r="V49" i="104"/>
  <c r="V25" i="104"/>
  <c r="V21" i="104"/>
  <c r="V79" i="104"/>
  <c r="V75" i="104"/>
  <c r="V63" i="104"/>
  <c r="V51" i="104"/>
  <c r="V35" i="104"/>
  <c r="V31" i="104"/>
  <c r="V92" i="104"/>
  <c r="V82" i="104"/>
  <c r="V70" i="104"/>
  <c r="V54" i="104"/>
  <c r="V18" i="104"/>
  <c r="V81" i="104"/>
  <c r="V65" i="104"/>
  <c r="V53" i="104"/>
  <c r="V45" i="104"/>
  <c r="V41" i="104"/>
  <c r="V84" i="104"/>
  <c r="V76" i="104"/>
  <c r="V72" i="104"/>
  <c r="V56" i="104"/>
  <c r="V83" i="104"/>
  <c r="V71" i="104"/>
  <c r="V67" i="104"/>
  <c r="V55" i="104"/>
  <c r="V66" i="104"/>
  <c r="V58" i="104"/>
  <c r="V46" i="104"/>
  <c r="V42" i="104"/>
  <c r="V38" i="104"/>
  <c r="V85" i="104"/>
  <c r="V77" i="104"/>
  <c r="V73" i="104"/>
  <c r="V59" i="104"/>
  <c r="V47" i="104"/>
  <c r="V43" i="104"/>
  <c r="V39" i="104"/>
  <c r="V88" i="104"/>
  <c r="V86" i="104"/>
  <c r="V78" i="104"/>
  <c r="V74" i="104"/>
  <c r="V62" i="104"/>
  <c r="V50" i="104"/>
  <c r="V34" i="104"/>
  <c r="V30" i="104"/>
  <c r="V26" i="104"/>
  <c r="V44" i="104"/>
  <c r="V40" i="104"/>
  <c r="V36" i="104"/>
  <c r="V57" i="104"/>
  <c r="V32" i="104"/>
  <c r="V28" i="104"/>
  <c r="V37" i="104"/>
  <c r="T23" i="104"/>
  <c r="V19" i="104"/>
  <c r="V80" i="104"/>
  <c r="V64" i="104"/>
  <c r="V60" i="104"/>
  <c r="V68" i="104"/>
  <c r="V33" i="104"/>
  <c r="V29" i="104"/>
  <c r="V27" i="104"/>
  <c r="V20" i="104"/>
  <c r="V52" i="104"/>
  <c r="V48" i="104"/>
  <c r="V79" i="102"/>
  <c r="V67" i="102"/>
  <c r="V59" i="102"/>
  <c r="V51" i="102"/>
  <c r="V43" i="102"/>
  <c r="V39" i="102"/>
  <c r="V78" i="102"/>
  <c r="V74" i="102"/>
  <c r="V62" i="102"/>
  <c r="V50" i="102"/>
  <c r="V34" i="102"/>
  <c r="V30" i="102"/>
  <c r="V26" i="102"/>
  <c r="V69" i="102"/>
  <c r="V61" i="102"/>
  <c r="V53" i="102"/>
  <c r="V25" i="102"/>
  <c r="V21" i="102"/>
  <c r="V92" i="102"/>
  <c r="V80" i="102"/>
  <c r="V68" i="102"/>
  <c r="V52" i="102"/>
  <c r="V44" i="102"/>
  <c r="V40" i="102"/>
  <c r="V75" i="102"/>
  <c r="V63" i="102"/>
  <c r="V35" i="102"/>
  <c r="V31" i="102"/>
  <c r="V27" i="102"/>
  <c r="V82" i="102"/>
  <c r="V70" i="102"/>
  <c r="V54" i="102"/>
  <c r="V81" i="102"/>
  <c r="V45" i="102"/>
  <c r="V41" i="102"/>
  <c r="V37" i="102"/>
  <c r="V84" i="102"/>
  <c r="V76" i="102"/>
  <c r="V72" i="102"/>
  <c r="V64" i="102"/>
  <c r="V56" i="102"/>
  <c r="V32" i="102"/>
  <c r="V28" i="102"/>
  <c r="V83" i="102"/>
  <c r="V71" i="102"/>
  <c r="V55" i="102"/>
  <c r="V47" i="102"/>
  <c r="V19" i="102"/>
  <c r="V87" i="102"/>
  <c r="V85" i="102"/>
  <c r="V77" i="102"/>
  <c r="V73" i="102"/>
  <c r="V65" i="102"/>
  <c r="V57" i="102"/>
  <c r="V49" i="102"/>
  <c r="V33" i="102"/>
  <c r="V29" i="102"/>
  <c r="V36" i="102"/>
  <c r="D90" i="104"/>
  <c r="J75" i="101"/>
  <c r="V88" i="102"/>
  <c r="P12" i="102"/>
  <c r="J37" i="102"/>
  <c r="J41" i="102"/>
  <c r="J45" i="102"/>
  <c r="J81" i="102"/>
  <c r="F53" i="103"/>
  <c r="F45" i="103"/>
  <c r="F44" i="103"/>
  <c r="F37" i="103"/>
  <c r="F33" i="103"/>
  <c r="F65" i="103"/>
  <c r="L14" i="103"/>
  <c r="V21" i="103"/>
  <c r="V25" i="103"/>
  <c r="R30" i="103"/>
  <c r="V34" i="103"/>
  <c r="F41" i="103"/>
  <c r="R44" i="103"/>
  <c r="V50" i="103"/>
  <c r="R54" i="103"/>
  <c r="R59" i="103"/>
  <c r="V61" i="103"/>
  <c r="R65" i="103"/>
  <c r="P12" i="104"/>
  <c r="F33" i="104"/>
  <c r="J23" i="102"/>
  <c r="J25" i="102"/>
  <c r="J27" i="102"/>
  <c r="J31" i="102"/>
  <c r="J35" i="102"/>
  <c r="J53" i="102"/>
  <c r="J63" i="102"/>
  <c r="J69" i="102"/>
  <c r="J75" i="102"/>
  <c r="P16" i="103"/>
  <c r="R20" i="103"/>
  <c r="R24" i="103"/>
  <c r="R28" i="103"/>
  <c r="R29" i="103"/>
  <c r="V37" i="103"/>
  <c r="V43" i="103"/>
  <c r="V44" i="103"/>
  <c r="F46" i="103"/>
  <c r="V53" i="103"/>
  <c r="V54" i="103"/>
  <c r="F23" i="104"/>
  <c r="X25" i="104"/>
  <c r="Z25" i="104" s="1"/>
  <c r="F53" i="104"/>
  <c r="Z56" i="104"/>
  <c r="N64" i="104"/>
  <c r="N80" i="104"/>
  <c r="F53" i="106"/>
  <c r="Z64" i="106"/>
  <c r="X64" i="106"/>
  <c r="J40" i="102"/>
  <c r="J44" i="102"/>
  <c r="J52" i="102"/>
  <c r="J62" i="102"/>
  <c r="J68" i="102"/>
  <c r="J80" i="102"/>
  <c r="J92" i="102"/>
  <c r="V20" i="103"/>
  <c r="V24" i="103"/>
  <c r="V28" i="103"/>
  <c r="V33" i="103"/>
  <c r="F39" i="103"/>
  <c r="F57" i="103"/>
  <c r="F73" i="104"/>
  <c r="F84" i="104"/>
  <c r="N18" i="105"/>
  <c r="X50" i="105"/>
  <c r="Z50" i="105" s="1"/>
  <c r="L50" i="108"/>
  <c r="N50" i="108" s="1"/>
  <c r="J51" i="102"/>
  <c r="J61" i="102"/>
  <c r="J79" i="102"/>
  <c r="R58" i="103"/>
  <c r="R57" i="103"/>
  <c r="R50" i="103"/>
  <c r="R49" i="103"/>
  <c r="R63" i="103"/>
  <c r="R61" i="103"/>
  <c r="T16" i="103"/>
  <c r="R19" i="103"/>
  <c r="F22" i="103"/>
  <c r="F26" i="103"/>
  <c r="V29" i="103"/>
  <c r="F35" i="103"/>
  <c r="R41" i="103"/>
  <c r="R42" i="103"/>
  <c r="R48" i="103"/>
  <c r="F51" i="103"/>
  <c r="F56" i="103"/>
  <c r="R70" i="103"/>
  <c r="Z64" i="104"/>
  <c r="Z80" i="104"/>
  <c r="L13" i="105"/>
  <c r="D12" i="105"/>
  <c r="Z46" i="105"/>
  <c r="Z48" i="105"/>
  <c r="V48" i="105"/>
  <c r="J60" i="102"/>
  <c r="J74" i="102"/>
  <c r="J78" i="102"/>
  <c r="J90" i="102"/>
  <c r="V14" i="103"/>
  <c r="V16" i="103"/>
  <c r="V18" i="103"/>
  <c r="V41" i="103"/>
  <c r="Z42" i="103"/>
  <c r="R47" i="103"/>
  <c r="R52" i="103"/>
  <c r="N56" i="103"/>
  <c r="V58" i="103"/>
  <c r="F61" i="103"/>
  <c r="F67" i="103"/>
  <c r="F66" i="104"/>
  <c r="F46" i="104"/>
  <c r="F42" i="104"/>
  <c r="F38" i="104"/>
  <c r="F37" i="104"/>
  <c r="F68" i="104"/>
  <c r="F67" i="104"/>
  <c r="F59" i="104"/>
  <c r="F58" i="104"/>
  <c r="F47" i="104"/>
  <c r="F43" i="104"/>
  <c r="F39" i="104"/>
  <c r="F86" i="104"/>
  <c r="F78" i="104"/>
  <c r="F74" i="104"/>
  <c r="F69" i="104"/>
  <c r="F61" i="104"/>
  <c r="F60" i="104"/>
  <c r="F49" i="104"/>
  <c r="F48" i="104"/>
  <c r="F44" i="104"/>
  <c r="F40" i="104"/>
  <c r="F90" i="104"/>
  <c r="F88" i="104"/>
  <c r="F79" i="104"/>
  <c r="F75" i="104"/>
  <c r="F63" i="104"/>
  <c r="F62" i="104"/>
  <c r="F51" i="104"/>
  <c r="F50" i="104"/>
  <c r="F35" i="104"/>
  <c r="F31" i="104"/>
  <c r="F27" i="104"/>
  <c r="F26" i="104"/>
  <c r="F92" i="104"/>
  <c r="F70" i="104"/>
  <c r="F76" i="104"/>
  <c r="F36" i="104"/>
  <c r="F32" i="104"/>
  <c r="F28" i="104"/>
  <c r="L12" i="104"/>
  <c r="N12" i="104" s="1"/>
  <c r="F83" i="104"/>
  <c r="F82" i="104"/>
  <c r="F71" i="104"/>
  <c r="F55" i="104"/>
  <c r="F54" i="104"/>
  <c r="F19" i="104"/>
  <c r="F18" i="104"/>
  <c r="X58" i="104"/>
  <c r="Z58" i="104" s="1"/>
  <c r="J39" i="102"/>
  <c r="J43" i="102"/>
  <c r="J49" i="102"/>
  <c r="J59" i="102"/>
  <c r="J67" i="102"/>
  <c r="J87" i="102"/>
  <c r="J88" i="102"/>
  <c r="X12" i="103"/>
  <c r="V19" i="103"/>
  <c r="V23" i="103"/>
  <c r="V27" i="103"/>
  <c r="R32" i="103"/>
  <c r="V36" i="103"/>
  <c r="F38" i="103"/>
  <c r="V42" i="103"/>
  <c r="V47" i="103"/>
  <c r="V48" i="103"/>
  <c r="F50" i="103"/>
  <c r="V52" i="103"/>
  <c r="F55" i="103"/>
  <c r="V57" i="103"/>
  <c r="V70" i="103"/>
  <c r="F21" i="104"/>
  <c r="Z37" i="104"/>
  <c r="P12" i="105"/>
  <c r="J48" i="102"/>
  <c r="J58" i="102"/>
  <c r="J66" i="102"/>
  <c r="L87" i="102"/>
  <c r="Z12" i="103"/>
  <c r="X19" i="103"/>
  <c r="Z19" i="103" s="1"/>
  <c r="V32" i="103"/>
  <c r="R39" i="103"/>
  <c r="R40" i="103"/>
  <c r="X42" i="103"/>
  <c r="R46" i="103"/>
  <c r="X48" i="103"/>
  <c r="F54" i="103"/>
  <c r="F30" i="104"/>
  <c r="F65" i="104"/>
  <c r="F81" i="104"/>
  <c r="Z84" i="104"/>
  <c r="J29" i="102"/>
  <c r="J33" i="102"/>
  <c r="J47" i="102"/>
  <c r="J57" i="102"/>
  <c r="J65" i="102"/>
  <c r="J73" i="102"/>
  <c r="J77" i="102"/>
  <c r="J85" i="102"/>
  <c r="R22" i="103"/>
  <c r="R26" i="103"/>
  <c r="F29" i="103"/>
  <c r="F30" i="103"/>
  <c r="R35" i="103"/>
  <c r="V39" i="103"/>
  <c r="R45" i="103"/>
  <c r="R51" i="103"/>
  <c r="V63" i="103"/>
  <c r="R67" i="103"/>
  <c r="F25" i="104"/>
  <c r="F34" i="104"/>
  <c r="F52" i="104"/>
  <c r="F89" i="106"/>
  <c r="F88" i="106"/>
  <c r="F81" i="106"/>
  <c r="F77" i="106"/>
  <c r="F65" i="106"/>
  <c r="F64" i="106"/>
  <c r="F72" i="106"/>
  <c r="F36" i="106"/>
  <c r="F32" i="106"/>
  <c r="F28" i="106"/>
  <c r="L12" i="106"/>
  <c r="F91" i="106"/>
  <c r="F82" i="106"/>
  <c r="F78" i="106"/>
  <c r="F95" i="106"/>
  <c r="F73" i="106"/>
  <c r="F57" i="106"/>
  <c r="F56" i="106"/>
  <c r="F33" i="106"/>
  <c r="F29" i="106"/>
  <c r="F74" i="106"/>
  <c r="F34" i="106"/>
  <c r="F30" i="106"/>
  <c r="F80" i="106"/>
  <c r="F76" i="106"/>
  <c r="F75" i="106"/>
  <c r="F44" i="106"/>
  <c r="F40" i="106"/>
  <c r="F83" i="106"/>
  <c r="F69" i="106"/>
  <c r="F67" i="106"/>
  <c r="F60" i="106"/>
  <c r="F21" i="106"/>
  <c r="F18" i="106"/>
  <c r="F43" i="106"/>
  <c r="F27" i="106"/>
  <c r="F87" i="106"/>
  <c r="F84" i="106"/>
  <c r="F37" i="106"/>
  <c r="F50" i="106"/>
  <c r="F46" i="106"/>
  <c r="F85" i="106"/>
  <c r="F54" i="106"/>
  <c r="F23" i="106"/>
  <c r="F79" i="106"/>
  <c r="F70" i="106"/>
  <c r="F68" i="106"/>
  <c r="F62" i="106"/>
  <c r="F55" i="106"/>
  <c r="F41" i="106"/>
  <c r="F38" i="106"/>
  <c r="F35" i="106"/>
  <c r="D23" i="106"/>
  <c r="F58" i="106"/>
  <c r="F51" i="106"/>
  <c r="F47" i="106"/>
  <c r="F20" i="106"/>
  <c r="F71" i="106"/>
  <c r="F66" i="106"/>
  <c r="F63" i="106"/>
  <c r="F48" i="106"/>
  <c r="F86" i="106"/>
  <c r="F52" i="106"/>
  <c r="F49" i="106"/>
  <c r="F45" i="106"/>
  <c r="F42" i="106"/>
  <c r="F31" i="106"/>
  <c r="F26" i="106"/>
  <c r="F61" i="106"/>
  <c r="J38" i="102"/>
  <c r="J42" i="102"/>
  <c r="J46" i="102"/>
  <c r="J56" i="102"/>
  <c r="J72" i="102"/>
  <c r="J84" i="102"/>
  <c r="F16" i="103"/>
  <c r="F18" i="103"/>
  <c r="V22" i="103"/>
  <c r="V26" i="103"/>
  <c r="R31" i="103"/>
  <c r="V35" i="103"/>
  <c r="X40" i="103"/>
  <c r="F43" i="103"/>
  <c r="L44" i="103"/>
  <c r="N44" i="103" s="1"/>
  <c r="V45" i="103"/>
  <c r="V46" i="103"/>
  <c r="V51" i="103"/>
  <c r="L54" i="103"/>
  <c r="N54" i="103" s="1"/>
  <c r="R56" i="103"/>
  <c r="F59" i="103"/>
  <c r="N52" i="104"/>
  <c r="L52" i="104"/>
  <c r="L67" i="104"/>
  <c r="N67" i="104" s="1"/>
  <c r="F72" i="104"/>
  <c r="F77" i="104"/>
  <c r="F85" i="104"/>
  <c r="Z61" i="105"/>
  <c r="X61" i="105"/>
  <c r="F19" i="106"/>
  <c r="F59" i="106"/>
  <c r="J19" i="102"/>
  <c r="J55" i="102"/>
  <c r="J71" i="102"/>
  <c r="F19" i="103"/>
  <c r="F20" i="103"/>
  <c r="F24" i="103"/>
  <c r="F28" i="103"/>
  <c r="V31" i="103"/>
  <c r="R38" i="103"/>
  <c r="F42" i="103"/>
  <c r="F49" i="103"/>
  <c r="R55" i="103"/>
  <c r="X61" i="103"/>
  <c r="V67" i="103"/>
  <c r="F20" i="104"/>
  <c r="N54" i="104"/>
  <c r="F56" i="104"/>
  <c r="N37" i="106"/>
  <c r="F39" i="106"/>
  <c r="J38" i="104"/>
  <c r="J42" i="104"/>
  <c r="J46" i="104"/>
  <c r="J56" i="104"/>
  <c r="J66" i="104"/>
  <c r="J72" i="104"/>
  <c r="J84" i="104"/>
  <c r="T23" i="105"/>
  <c r="V39" i="105"/>
  <c r="V27" i="106"/>
  <c r="R34" i="106"/>
  <c r="J36" i="106"/>
  <c r="V46" i="106"/>
  <c r="R54" i="106"/>
  <c r="V57" i="106"/>
  <c r="N60" i="106"/>
  <c r="R78" i="106"/>
  <c r="J83" i="106"/>
  <c r="J89" i="106"/>
  <c r="J19" i="104"/>
  <c r="J37" i="104"/>
  <c r="J55" i="104"/>
  <c r="J71" i="104"/>
  <c r="J83" i="104"/>
  <c r="V21" i="105"/>
  <c r="V23" i="105"/>
  <c r="V25" i="105"/>
  <c r="V34" i="105"/>
  <c r="V35" i="105"/>
  <c r="V54" i="105"/>
  <c r="J18" i="106"/>
  <c r="R29" i="106"/>
  <c r="V34" i="106"/>
  <c r="R40" i="106"/>
  <c r="J42" i="106"/>
  <c r="R43" i="106"/>
  <c r="J45" i="106"/>
  <c r="V50" i="106"/>
  <c r="R53" i="106"/>
  <c r="Z54" i="106"/>
  <c r="J56" i="106"/>
  <c r="J60" i="106"/>
  <c r="V61" i="106"/>
  <c r="R64" i="106"/>
  <c r="V78" i="106"/>
  <c r="R84" i="106"/>
  <c r="R86" i="108"/>
  <c r="R85" i="108"/>
  <c r="R73" i="108"/>
  <c r="R33" i="108"/>
  <c r="R29" i="108"/>
  <c r="R68" i="108"/>
  <c r="R57" i="108"/>
  <c r="R56" i="108"/>
  <c r="R20" i="108"/>
  <c r="R87" i="108"/>
  <c r="R79" i="108"/>
  <c r="R48" i="108"/>
  <c r="R47" i="108"/>
  <c r="R43" i="108"/>
  <c r="R39" i="108"/>
  <c r="R75" i="108"/>
  <c r="R74" i="108"/>
  <c r="R59" i="108"/>
  <c r="R58" i="108"/>
  <c r="R34" i="108"/>
  <c r="R30" i="108"/>
  <c r="R69" i="108"/>
  <c r="R50" i="108"/>
  <c r="R49" i="108"/>
  <c r="R26" i="108"/>
  <c r="R88" i="108"/>
  <c r="R80" i="108"/>
  <c r="R76" i="108"/>
  <c r="R61" i="108"/>
  <c r="R60" i="108"/>
  <c r="R44" i="108"/>
  <c r="R40" i="108"/>
  <c r="R90" i="108"/>
  <c r="R51" i="108"/>
  <c r="R35" i="108"/>
  <c r="R31" i="108"/>
  <c r="R27" i="108"/>
  <c r="R84" i="108"/>
  <c r="R83" i="108"/>
  <c r="R78" i="108"/>
  <c r="R67" i="108"/>
  <c r="R66" i="108"/>
  <c r="R55" i="108"/>
  <c r="R54" i="108"/>
  <c r="R46" i="108"/>
  <c r="R42" i="108"/>
  <c r="R38" i="108"/>
  <c r="R81" i="108"/>
  <c r="R41" i="108"/>
  <c r="R28" i="108"/>
  <c r="R21" i="108"/>
  <c r="R18" i="108"/>
  <c r="X12" i="108"/>
  <c r="Z12" i="108" s="1"/>
  <c r="R94" i="108"/>
  <c r="R72" i="108"/>
  <c r="R70" i="108"/>
  <c r="R62" i="108"/>
  <c r="R53" i="108"/>
  <c r="R45" i="108"/>
  <c r="R82" i="108"/>
  <c r="R64" i="108"/>
  <c r="R32" i="108"/>
  <c r="R19" i="108"/>
  <c r="R71" i="108"/>
  <c r="R36" i="108"/>
  <c r="P23" i="108"/>
  <c r="R23" i="108" s="1"/>
  <c r="R65" i="108"/>
  <c r="R25" i="108"/>
  <c r="R37" i="108"/>
  <c r="L48" i="108"/>
  <c r="N48" i="108" s="1"/>
  <c r="R52" i="108"/>
  <c r="J81" i="104"/>
  <c r="J72" i="106"/>
  <c r="J66" i="106"/>
  <c r="J91" i="106"/>
  <c r="J67" i="106"/>
  <c r="J55" i="106"/>
  <c r="J37" i="106"/>
  <c r="J19" i="106"/>
  <c r="J95" i="106"/>
  <c r="J73" i="106"/>
  <c r="J68" i="106"/>
  <c r="J58" i="106"/>
  <c r="J20" i="106"/>
  <c r="J85" i="106"/>
  <c r="J75" i="106"/>
  <c r="J69" i="106"/>
  <c r="J61" i="106"/>
  <c r="J49" i="106"/>
  <c r="J21" i="106"/>
  <c r="J87" i="106"/>
  <c r="J71" i="106"/>
  <c r="J63" i="106"/>
  <c r="J51" i="106"/>
  <c r="J35" i="106"/>
  <c r="J31" i="106"/>
  <c r="J27" i="106"/>
  <c r="J25" i="106"/>
  <c r="J23" i="106"/>
  <c r="N25" i="106"/>
  <c r="J39" i="106"/>
  <c r="J48" i="106"/>
  <c r="J59" i="106"/>
  <c r="R71" i="106"/>
  <c r="J77" i="106"/>
  <c r="J82" i="106"/>
  <c r="R83" i="106"/>
  <c r="R89" i="106"/>
  <c r="H23" i="104"/>
  <c r="J52" i="104"/>
  <c r="J64" i="104"/>
  <c r="J70" i="104"/>
  <c r="J80" i="104"/>
  <c r="J92" i="104"/>
  <c r="X15" i="105"/>
  <c r="V20" i="105"/>
  <c r="V38" i="105"/>
  <c r="N12" i="106"/>
  <c r="J28" i="106"/>
  <c r="R42" i="106"/>
  <c r="R56" i="106"/>
  <c r="R60" i="106"/>
  <c r="V63" i="106"/>
  <c r="V71" i="106"/>
  <c r="J23" i="104"/>
  <c r="J25" i="104"/>
  <c r="J27" i="104"/>
  <c r="J31" i="104"/>
  <c r="J35" i="104"/>
  <c r="J51" i="104"/>
  <c r="J63" i="104"/>
  <c r="J75" i="104"/>
  <c r="J79" i="104"/>
  <c r="V29" i="105"/>
  <c r="V33" i="105"/>
  <c r="V45" i="105"/>
  <c r="R95" i="106"/>
  <c r="R73" i="106"/>
  <c r="R68" i="106"/>
  <c r="R20" i="106"/>
  <c r="R75" i="106"/>
  <c r="R74" i="106"/>
  <c r="R86" i="106"/>
  <c r="R85" i="106"/>
  <c r="R70" i="106"/>
  <c r="R69" i="106"/>
  <c r="R62" i="106"/>
  <c r="R61" i="106"/>
  <c r="R50" i="106"/>
  <c r="R49" i="106"/>
  <c r="R26" i="106"/>
  <c r="R21" i="106"/>
  <c r="R91" i="106"/>
  <c r="R72" i="106"/>
  <c r="R37" i="106"/>
  <c r="R36" i="106"/>
  <c r="R32" i="106"/>
  <c r="R28" i="106"/>
  <c r="X12" i="106"/>
  <c r="Z12" i="106" s="1"/>
  <c r="R18" i="106"/>
  <c r="J30" i="106"/>
  <c r="R33" i="106"/>
  <c r="J44" i="106"/>
  <c r="J47" i="106"/>
  <c r="R52" i="106"/>
  <c r="R77" i="106"/>
  <c r="J88" i="106"/>
  <c r="L14" i="109"/>
  <c r="D16" i="109"/>
  <c r="X28" i="109"/>
  <c r="Z28" i="109" s="1"/>
  <c r="J40" i="104"/>
  <c r="J44" i="104"/>
  <c r="J50" i="104"/>
  <c r="J62" i="104"/>
  <c r="J88" i="104"/>
  <c r="V58" i="105"/>
  <c r="V61" i="105"/>
  <c r="V59" i="105"/>
  <c r="V51" i="105"/>
  <c r="V46" i="105"/>
  <c r="V41" i="105"/>
  <c r="V52" i="105"/>
  <c r="V84" i="106"/>
  <c r="V68" i="106"/>
  <c r="V83" i="106"/>
  <c r="V79" i="106"/>
  <c r="V75" i="106"/>
  <c r="V59" i="106"/>
  <c r="V47" i="106"/>
  <c r="V43" i="106"/>
  <c r="V39" i="106"/>
  <c r="V85" i="106"/>
  <c r="V69" i="106"/>
  <c r="V88" i="106"/>
  <c r="V80" i="106"/>
  <c r="V76" i="106"/>
  <c r="V64" i="106"/>
  <c r="V52" i="106"/>
  <c r="V44" i="106"/>
  <c r="V40" i="106"/>
  <c r="T23" i="106"/>
  <c r="V91" i="106"/>
  <c r="V89" i="106"/>
  <c r="V81" i="106"/>
  <c r="V77" i="106"/>
  <c r="V65" i="106"/>
  <c r="V53" i="106"/>
  <c r="V45" i="106"/>
  <c r="V41" i="106"/>
  <c r="V37" i="106"/>
  <c r="V67" i="106"/>
  <c r="V55" i="106"/>
  <c r="V19" i="106"/>
  <c r="R25" i="106"/>
  <c r="V26" i="106"/>
  <c r="V33" i="106"/>
  <c r="J38" i="106"/>
  <c r="R39" i="106"/>
  <c r="J41" i="106"/>
  <c r="R48" i="106"/>
  <c r="R51" i="106"/>
  <c r="V56" i="106"/>
  <c r="R59" i="106"/>
  <c r="V60" i="106"/>
  <c r="J65" i="106"/>
  <c r="R66" i="106"/>
  <c r="J74" i="106"/>
  <c r="Z75" i="106"/>
  <c r="J79" i="106"/>
  <c r="R82" i="106"/>
  <c r="V86" i="106"/>
  <c r="X65" i="108"/>
  <c r="Z65" i="108" s="1"/>
  <c r="R77" i="108"/>
  <c r="J49" i="104"/>
  <c r="J61" i="104"/>
  <c r="J69" i="104"/>
  <c r="V19" i="105"/>
  <c r="V37" i="105"/>
  <c r="V55" i="105"/>
  <c r="H23" i="106"/>
  <c r="R30" i="106"/>
  <c r="J32" i="106"/>
  <c r="R35" i="106"/>
  <c r="V51" i="106"/>
  <c r="J62" i="106"/>
  <c r="J70" i="106"/>
  <c r="V82" i="106"/>
  <c r="J30" i="104"/>
  <c r="J34" i="104"/>
  <c r="J48" i="104"/>
  <c r="J60" i="104"/>
  <c r="J74" i="104"/>
  <c r="J78" i="104"/>
  <c r="J86" i="104"/>
  <c r="V28" i="105"/>
  <c r="V32" i="105"/>
  <c r="V44" i="105"/>
  <c r="V25" i="106"/>
  <c r="V30" i="106"/>
  <c r="V35" i="106"/>
  <c r="R41" i="106"/>
  <c r="R44" i="106"/>
  <c r="J46" i="106"/>
  <c r="R47" i="106"/>
  <c r="V48" i="106"/>
  <c r="J54" i="106"/>
  <c r="R55" i="106"/>
  <c r="X58" i="106"/>
  <c r="Z58" i="106" s="1"/>
  <c r="L64" i="106"/>
  <c r="N64" i="106" s="1"/>
  <c r="R65" i="106"/>
  <c r="V66" i="106"/>
  <c r="V74" i="106"/>
  <c r="J76" i="106"/>
  <c r="J81" i="106"/>
  <c r="R88" i="106"/>
  <c r="N91" i="106"/>
  <c r="V95" i="106"/>
  <c r="Z37" i="108"/>
  <c r="J39" i="104"/>
  <c r="J43" i="104"/>
  <c r="J47" i="104"/>
  <c r="J59" i="104"/>
  <c r="V40" i="105"/>
  <c r="L54" i="105"/>
  <c r="N54" i="105" s="1"/>
  <c r="P23" i="106"/>
  <c r="R38" i="106"/>
  <c r="J50" i="106"/>
  <c r="J57" i="106"/>
  <c r="R58" i="106"/>
  <c r="J78" i="106"/>
  <c r="R79" i="106"/>
  <c r="T23" i="108"/>
  <c r="X18" i="108"/>
  <c r="R63" i="108"/>
  <c r="J64" i="106"/>
  <c r="Z70" i="106"/>
  <c r="V72" i="106"/>
  <c r="J84" i="106"/>
  <c r="R87" i="106"/>
  <c r="Z88" i="106"/>
  <c r="F61" i="110"/>
  <c r="F60" i="110"/>
  <c r="F72" i="110"/>
  <c r="F27" i="110"/>
  <c r="F23" i="110"/>
  <c r="F62" i="110"/>
  <c r="F54" i="110"/>
  <c r="F53" i="110"/>
  <c r="F42" i="110"/>
  <c r="F41" i="110"/>
  <c r="F56" i="110"/>
  <c r="F55" i="110"/>
  <c r="F63" i="110"/>
  <c r="F58" i="110"/>
  <c r="F57" i="110"/>
  <c r="F46" i="110"/>
  <c r="F45" i="110"/>
  <c r="F38" i="110"/>
  <c r="F34" i="110"/>
  <c r="F65" i="110"/>
  <c r="F64" i="110"/>
  <c r="F29" i="110"/>
  <c r="F25" i="110"/>
  <c r="F21" i="110"/>
  <c r="F20" i="110"/>
  <c r="F68" i="110"/>
  <c r="F59" i="110"/>
  <c r="F39" i="110"/>
  <c r="F35" i="110"/>
  <c r="F31" i="110"/>
  <c r="F30" i="110"/>
  <c r="F67" i="110"/>
  <c r="F51" i="110"/>
  <c r="F22" i="110"/>
  <c r="F40" i="110"/>
  <c r="F19" i="110"/>
  <c r="F52" i="110"/>
  <c r="F49" i="110"/>
  <c r="F43" i="110"/>
  <c r="F36" i="110"/>
  <c r="F32" i="110"/>
  <c r="F50" i="110"/>
  <c r="L12" i="110"/>
  <c r="N12" i="110" s="1"/>
  <c r="F33" i="110"/>
  <c r="F24" i="110"/>
  <c r="F48" i="110"/>
  <c r="D17" i="110"/>
  <c r="F44" i="110"/>
  <c r="F15" i="110"/>
  <c r="J29" i="104"/>
  <c r="J33" i="104"/>
  <c r="J57" i="104"/>
  <c r="J67" i="104"/>
  <c r="J73" i="104"/>
  <c r="J77" i="104"/>
  <c r="V27" i="105"/>
  <c r="V31" i="105"/>
  <c r="V43" i="105"/>
  <c r="V49" i="105"/>
  <c r="V50" i="105"/>
  <c r="V23" i="106"/>
  <c r="R27" i="106"/>
  <c r="J29" i="106"/>
  <c r="R46" i="106"/>
  <c r="X50" i="106"/>
  <c r="Z50" i="106" s="1"/>
  <c r="L52" i="106"/>
  <c r="N52" i="106" s="1"/>
  <c r="J53" i="106"/>
  <c r="L56" i="106"/>
  <c r="N56" i="106" s="1"/>
  <c r="R57" i="106"/>
  <c r="V58" i="106"/>
  <c r="V62" i="106"/>
  <c r="V70" i="106"/>
  <c r="R76" i="106"/>
  <c r="R81" i="106"/>
  <c r="V87" i="106"/>
  <c r="Z18" i="108"/>
  <c r="F90" i="108"/>
  <c r="F81" i="108"/>
  <c r="F77" i="108"/>
  <c r="F45" i="108"/>
  <c r="F41" i="108"/>
  <c r="D23" i="108"/>
  <c r="F94" i="108"/>
  <c r="F72" i="108"/>
  <c r="F71" i="108"/>
  <c r="F64" i="108"/>
  <c r="F63" i="108"/>
  <c r="F52" i="108"/>
  <c r="F36" i="108"/>
  <c r="F32" i="108"/>
  <c r="F28" i="108"/>
  <c r="L12" i="108"/>
  <c r="N12" i="108" s="1"/>
  <c r="F83" i="108"/>
  <c r="F82" i="108"/>
  <c r="F78" i="108"/>
  <c r="F66" i="108"/>
  <c r="F65" i="108"/>
  <c r="F54" i="108"/>
  <c r="F53" i="108"/>
  <c r="F46" i="108"/>
  <c r="F42" i="108"/>
  <c r="F38" i="108"/>
  <c r="F37" i="108"/>
  <c r="F85" i="108"/>
  <c r="F84" i="108"/>
  <c r="F73" i="108"/>
  <c r="F33" i="108"/>
  <c r="F29" i="108"/>
  <c r="F68" i="108"/>
  <c r="F67" i="108"/>
  <c r="F56" i="108"/>
  <c r="F55" i="108"/>
  <c r="F87" i="108"/>
  <c r="F86" i="108"/>
  <c r="F79" i="108"/>
  <c r="F47" i="108"/>
  <c r="F43" i="108"/>
  <c r="F39" i="108"/>
  <c r="F51" i="108"/>
  <c r="F50" i="108"/>
  <c r="F35" i="108"/>
  <c r="F31" i="108"/>
  <c r="F27" i="108"/>
  <c r="F26" i="108"/>
  <c r="F70" i="108"/>
  <c r="F62" i="108"/>
  <c r="F61" i="108"/>
  <c r="F25" i="108"/>
  <c r="F23" i="108"/>
  <c r="H23" i="108"/>
  <c r="V26" i="108"/>
  <c r="F44" i="108"/>
  <c r="F48" i="108"/>
  <c r="N65" i="108"/>
  <c r="F69" i="108"/>
  <c r="V77" i="108"/>
  <c r="V83" i="108"/>
  <c r="Z16" i="109"/>
  <c r="Z40" i="109"/>
  <c r="J27" i="108"/>
  <c r="V37" i="108"/>
  <c r="J40" i="108"/>
  <c r="J50" i="108"/>
  <c r="V52" i="108"/>
  <c r="F60" i="108"/>
  <c r="J80" i="108"/>
  <c r="N55" i="110"/>
  <c r="F34" i="108"/>
  <c r="Z63" i="108"/>
  <c r="V65" i="108"/>
  <c r="V67" i="108"/>
  <c r="F74" i="108"/>
  <c r="J76" i="108"/>
  <c r="F21" i="108"/>
  <c r="F30" i="108"/>
  <c r="Z71" i="108"/>
  <c r="F88" i="108"/>
  <c r="H74" i="110"/>
  <c r="J74" i="110" s="1"/>
  <c r="J94" i="108"/>
  <c r="J82" i="108"/>
  <c r="J72" i="108"/>
  <c r="J64" i="108"/>
  <c r="J52" i="108"/>
  <c r="J36" i="108"/>
  <c r="J32" i="108"/>
  <c r="J28" i="108"/>
  <c r="J83" i="108"/>
  <c r="J65" i="108"/>
  <c r="J53" i="108"/>
  <c r="J37" i="108"/>
  <c r="J19" i="108"/>
  <c r="J84" i="108"/>
  <c r="J78" i="108"/>
  <c r="J66" i="108"/>
  <c r="J54" i="108"/>
  <c r="J46" i="108"/>
  <c r="J42" i="108"/>
  <c r="J38" i="108"/>
  <c r="J85" i="108"/>
  <c r="J73" i="108"/>
  <c r="J67" i="108"/>
  <c r="J55" i="108"/>
  <c r="J33" i="108"/>
  <c r="J29" i="108"/>
  <c r="J86" i="108"/>
  <c r="J68" i="108"/>
  <c r="J56" i="108"/>
  <c r="J87" i="108"/>
  <c r="J79" i="108"/>
  <c r="J57" i="108"/>
  <c r="J47" i="108"/>
  <c r="J43" i="108"/>
  <c r="J39" i="108"/>
  <c r="J74" i="108"/>
  <c r="J58" i="108"/>
  <c r="J48" i="108"/>
  <c r="J34" i="108"/>
  <c r="J30" i="108"/>
  <c r="J90" i="108"/>
  <c r="J70" i="108"/>
  <c r="J62" i="108"/>
  <c r="J81" i="108"/>
  <c r="J77" i="108"/>
  <c r="J71" i="108"/>
  <c r="J63" i="108"/>
  <c r="J45" i="108"/>
  <c r="J41" i="108"/>
  <c r="J21" i="108"/>
  <c r="J88" i="108"/>
  <c r="T50" i="109"/>
  <c r="N60" i="110"/>
  <c r="Z64" i="110"/>
  <c r="N26" i="108"/>
  <c r="V68" i="108"/>
  <c r="V56" i="108"/>
  <c r="V48" i="108"/>
  <c r="V20" i="108"/>
  <c r="V87" i="108"/>
  <c r="V79" i="108"/>
  <c r="V75" i="108"/>
  <c r="V59" i="108"/>
  <c r="V47" i="108"/>
  <c r="V43" i="108"/>
  <c r="V39" i="108"/>
  <c r="V74" i="108"/>
  <c r="V58" i="108"/>
  <c r="V50" i="108"/>
  <c r="V69" i="108"/>
  <c r="V61" i="108"/>
  <c r="V49" i="108"/>
  <c r="V25" i="108"/>
  <c r="V23" i="108"/>
  <c r="V21" i="108"/>
  <c r="V90" i="108"/>
  <c r="V88" i="108"/>
  <c r="V80" i="108"/>
  <c r="V76" i="108"/>
  <c r="V60" i="108"/>
  <c r="V44" i="108"/>
  <c r="V40" i="108"/>
  <c r="V71" i="108"/>
  <c r="V63" i="108"/>
  <c r="V51" i="108"/>
  <c r="V35" i="108"/>
  <c r="V82" i="108"/>
  <c r="V70" i="108"/>
  <c r="V62" i="108"/>
  <c r="V86" i="108"/>
  <c r="V78" i="108"/>
  <c r="V66" i="108"/>
  <c r="V54" i="108"/>
  <c r="V46" i="108"/>
  <c r="V42" i="108"/>
  <c r="V38" i="108"/>
  <c r="V85" i="108"/>
  <c r="V73" i="108"/>
  <c r="V57" i="108"/>
  <c r="V33" i="108"/>
  <c r="V29" i="108"/>
  <c r="J26" i="108"/>
  <c r="F59" i="108"/>
  <c r="V64" i="108"/>
  <c r="L75" i="108"/>
  <c r="Z82" i="108"/>
  <c r="Z84" i="108"/>
  <c r="L26" i="108"/>
  <c r="J35" i="108"/>
  <c r="X53" i="108"/>
  <c r="Z53" i="108" s="1"/>
  <c r="N59" i="108"/>
  <c r="L59" i="108"/>
  <c r="N75" i="108"/>
  <c r="Z59" i="108"/>
  <c r="R41" i="109"/>
  <c r="R40" i="109"/>
  <c r="R48" i="109"/>
  <c r="R19" i="109"/>
  <c r="J41" i="109"/>
  <c r="V43" i="109"/>
  <c r="N45" i="110"/>
  <c r="X49" i="110"/>
  <c r="Z49" i="110" s="1"/>
  <c r="V57" i="110"/>
  <c r="V42" i="109"/>
  <c r="V37" i="109"/>
  <c r="V14" i="109"/>
  <c r="V16" i="109"/>
  <c r="V18" i="109"/>
  <c r="J22" i="109"/>
  <c r="R23" i="109"/>
  <c r="J26" i="109"/>
  <c r="R27" i="109"/>
  <c r="R28" i="109"/>
  <c r="F31" i="109"/>
  <c r="F35" i="109"/>
  <c r="J40" i="109"/>
  <c r="F46" i="109"/>
  <c r="V27" i="110"/>
  <c r="Z43" i="110"/>
  <c r="N64" i="110"/>
  <c r="V26" i="109"/>
  <c r="J30" i="109"/>
  <c r="R31" i="109"/>
  <c r="J34" i="109"/>
  <c r="R35" i="109"/>
  <c r="H16" i="109"/>
  <c r="V31" i="109"/>
  <c r="V35" i="109"/>
  <c r="V40" i="109"/>
  <c r="R46" i="109"/>
  <c r="F50" i="109"/>
  <c r="T17" i="110"/>
  <c r="V26" i="110"/>
  <c r="N30" i="110"/>
  <c r="V37" i="110"/>
  <c r="V39" i="110"/>
  <c r="V45" i="110"/>
  <c r="V51" i="110"/>
  <c r="J14" i="109"/>
  <c r="J16" i="109"/>
  <c r="J18" i="109"/>
  <c r="J20" i="109"/>
  <c r="R21" i="109"/>
  <c r="J24" i="109"/>
  <c r="R25" i="109"/>
  <c r="F28" i="109"/>
  <c r="F29" i="109"/>
  <c r="F33" i="109"/>
  <c r="F37" i="109"/>
  <c r="R38" i="109"/>
  <c r="J43" i="109"/>
  <c r="P12" i="110"/>
  <c r="N57" i="110"/>
  <c r="J19" i="109"/>
  <c r="V21" i="109"/>
  <c r="V25" i="109"/>
  <c r="J29" i="109"/>
  <c r="R30" i="109"/>
  <c r="J33" i="109"/>
  <c r="R34" i="109"/>
  <c r="V38" i="109"/>
  <c r="R44" i="109"/>
  <c r="V46" i="109"/>
  <c r="V64" i="110"/>
  <c r="V56" i="110"/>
  <c r="V44" i="110"/>
  <c r="V28" i="110"/>
  <c r="V24" i="110"/>
  <c r="V20" i="110"/>
  <c r="V63" i="110"/>
  <c r="V58" i="110"/>
  <c r="V46" i="110"/>
  <c r="V38" i="110"/>
  <c r="V34" i="110"/>
  <c r="V30" i="110"/>
  <c r="V67" i="110"/>
  <c r="V65" i="110"/>
  <c r="V49" i="110"/>
  <c r="V29" i="110"/>
  <c r="V25" i="110"/>
  <c r="V21" i="110"/>
  <c r="V68" i="110"/>
  <c r="V59" i="110"/>
  <c r="V50" i="110"/>
  <c r="V61" i="110"/>
  <c r="V53" i="110"/>
  <c r="V41" i="110"/>
  <c r="V72" i="110"/>
  <c r="V52" i="110"/>
  <c r="V40" i="110"/>
  <c r="V36" i="110"/>
  <c r="V32" i="110"/>
  <c r="V62" i="110"/>
  <c r="V54" i="110"/>
  <c r="V42" i="110"/>
  <c r="X15" i="110"/>
  <c r="N67" i="110"/>
  <c r="J53" i="109"/>
  <c r="J50" i="109"/>
  <c r="J44" i="109"/>
  <c r="J28" i="109"/>
  <c r="V34" i="109"/>
  <c r="F42" i="109"/>
  <c r="V44" i="109"/>
  <c r="R53" i="109"/>
  <c r="V47" i="110"/>
  <c r="Z55" i="110"/>
  <c r="L12" i="109"/>
  <c r="P16" i="109"/>
  <c r="R20" i="109"/>
  <c r="J23" i="109"/>
  <c r="R24" i="109"/>
  <c r="J27" i="109"/>
  <c r="F32" i="109"/>
  <c r="F36" i="109"/>
  <c r="D40" i="109"/>
  <c r="L40" i="109" s="1"/>
  <c r="N40" i="109" s="1"/>
  <c r="J42" i="109"/>
  <c r="F48" i="109"/>
  <c r="V53" i="109"/>
  <c r="V15" i="110"/>
  <c r="V23" i="110"/>
  <c r="N49" i="110"/>
  <c r="V55" i="110"/>
  <c r="N12" i="109"/>
  <c r="R14" i="109"/>
  <c r="R16" i="109"/>
  <c r="R18" i="109"/>
  <c r="V24" i="109"/>
  <c r="R29" i="109"/>
  <c r="J32" i="109"/>
  <c r="R33" i="109"/>
  <c r="J36" i="109"/>
  <c r="R37" i="109"/>
  <c r="F40" i="109"/>
  <c r="F41" i="109"/>
  <c r="R43" i="109"/>
  <c r="J48" i="109"/>
  <c r="R50" i="109"/>
  <c r="J50" i="110"/>
  <c r="J60" i="110"/>
  <c r="J70" i="110"/>
  <c r="J30" i="110"/>
  <c r="J48" i="110"/>
  <c r="L68" i="110"/>
  <c r="N68" i="110" s="1"/>
  <c r="J15" i="110"/>
  <c r="J17" i="110"/>
  <c r="J19" i="110"/>
  <c r="J21" i="110"/>
  <c r="J25" i="110"/>
  <c r="J29" i="110"/>
  <c r="J47" i="110"/>
  <c r="J65" i="110"/>
  <c r="J46" i="110"/>
  <c r="J58" i="110"/>
  <c r="J64" i="110"/>
  <c r="J57" i="110"/>
  <c r="J63" i="110"/>
  <c r="J33" i="110"/>
  <c r="J37" i="110"/>
  <c r="J43" i="110"/>
  <c r="J55" i="110"/>
  <c r="J42" i="110"/>
  <c r="J54" i="110"/>
  <c r="J62" i="110"/>
  <c r="J32" i="110"/>
  <c r="J36" i="110"/>
  <c r="J40" i="110"/>
  <c r="J52" i="110"/>
  <c r="X16" i="59" l="1"/>
  <c r="P71" i="59"/>
  <c r="H99" i="9"/>
  <c r="N16" i="9"/>
  <c r="Z16" i="59"/>
  <c r="T71" i="59"/>
  <c r="H70" i="48"/>
  <c r="N17" i="48"/>
  <c r="T27" i="46"/>
  <c r="Z18" i="46"/>
  <c r="H27" i="7"/>
  <c r="N18" i="7"/>
  <c r="H90" i="104"/>
  <c r="P41" i="99"/>
  <c r="X18" i="99"/>
  <c r="P53" i="100"/>
  <c r="X17" i="100"/>
  <c r="F89" i="98"/>
  <c r="F93" i="98"/>
  <c r="F63" i="98"/>
  <c r="F55" i="98"/>
  <c r="F19" i="98"/>
  <c r="F18" i="98"/>
  <c r="F87" i="98"/>
  <c r="F70" i="98"/>
  <c r="F46" i="98"/>
  <c r="F42" i="98"/>
  <c r="F38" i="98"/>
  <c r="F81" i="98"/>
  <c r="F77" i="98"/>
  <c r="F65" i="98"/>
  <c r="F64" i="98"/>
  <c r="F33" i="98"/>
  <c r="F29" i="98"/>
  <c r="F56" i="98"/>
  <c r="F48" i="98"/>
  <c r="F47" i="98"/>
  <c r="F20" i="98"/>
  <c r="F83" i="98"/>
  <c r="F82" i="98"/>
  <c r="F71" i="98"/>
  <c r="F43" i="98"/>
  <c r="F39" i="98"/>
  <c r="F78" i="98"/>
  <c r="F66" i="98"/>
  <c r="F58" i="98"/>
  <c r="F57" i="98"/>
  <c r="F50" i="98"/>
  <c r="F49" i="98"/>
  <c r="F34" i="98"/>
  <c r="F30" i="98"/>
  <c r="F73" i="98"/>
  <c r="F72" i="98"/>
  <c r="F21" i="98"/>
  <c r="F85" i="98"/>
  <c r="F84" i="98"/>
  <c r="F60" i="98"/>
  <c r="F59" i="98"/>
  <c r="F52" i="98"/>
  <c r="F51" i="98"/>
  <c r="F44" i="98"/>
  <c r="F40" i="98"/>
  <c r="F79" i="98"/>
  <c r="F75" i="98"/>
  <c r="F74" i="98"/>
  <c r="F67" i="98"/>
  <c r="F35" i="98"/>
  <c r="F31" i="98"/>
  <c r="F27" i="98"/>
  <c r="F26" i="98"/>
  <c r="F69" i="98"/>
  <c r="F68" i="98"/>
  <c r="F45" i="98"/>
  <c r="F41" i="98"/>
  <c r="F37" i="98"/>
  <c r="F36" i="98"/>
  <c r="D23" i="98"/>
  <c r="F23" i="98" s="1"/>
  <c r="F54" i="98"/>
  <c r="F80" i="98"/>
  <c r="F62" i="98"/>
  <c r="F25" i="98"/>
  <c r="F86" i="98"/>
  <c r="F32" i="98"/>
  <c r="L12" i="98"/>
  <c r="N12" i="98" s="1"/>
  <c r="F53" i="98"/>
  <c r="F61" i="98"/>
  <c r="F28" i="98"/>
  <c r="F76" i="98"/>
  <c r="H83" i="93"/>
  <c r="J22" i="93"/>
  <c r="T100" i="84"/>
  <c r="X20" i="86"/>
  <c r="P32" i="86"/>
  <c r="X56" i="77"/>
  <c r="P107" i="77"/>
  <c r="T87" i="76"/>
  <c r="P71" i="79"/>
  <c r="X24" i="79"/>
  <c r="X16" i="68"/>
  <c r="P64" i="68"/>
  <c r="N16" i="58"/>
  <c r="H76" i="58"/>
  <c r="H61" i="60"/>
  <c r="N16" i="60"/>
  <c r="D62" i="61"/>
  <c r="L16" i="61"/>
  <c r="N16" i="54"/>
  <c r="H22" i="54"/>
  <c r="L16" i="56"/>
  <c r="D81" i="56"/>
  <c r="N16" i="56"/>
  <c r="H81" i="56"/>
  <c r="R114" i="27"/>
  <c r="R107" i="27"/>
  <c r="R106" i="27"/>
  <c r="R91" i="27"/>
  <c r="R90" i="27"/>
  <c r="R54" i="27"/>
  <c r="R50" i="27"/>
  <c r="R46" i="27"/>
  <c r="R42" i="27"/>
  <c r="R117" i="27"/>
  <c r="R116" i="27"/>
  <c r="R82" i="27"/>
  <c r="R81" i="27"/>
  <c r="R77" i="27"/>
  <c r="R73" i="27"/>
  <c r="R118" i="27"/>
  <c r="R108" i="27"/>
  <c r="R101" i="27"/>
  <c r="R100" i="27"/>
  <c r="R92" i="27"/>
  <c r="R68" i="27"/>
  <c r="R64" i="27"/>
  <c r="R119" i="27"/>
  <c r="R84" i="27"/>
  <c r="R83" i="27"/>
  <c r="R60" i="27"/>
  <c r="R55" i="27"/>
  <c r="R51" i="27"/>
  <c r="R47" i="27"/>
  <c r="R43" i="27"/>
  <c r="R120" i="27"/>
  <c r="R103" i="27"/>
  <c r="R102" i="27"/>
  <c r="R78" i="27"/>
  <c r="R74" i="27"/>
  <c r="R59" i="27"/>
  <c r="R57" i="27"/>
  <c r="X12" i="27"/>
  <c r="Z12" i="27" s="1"/>
  <c r="R110" i="27"/>
  <c r="R109" i="27"/>
  <c r="R94" i="27"/>
  <c r="R93" i="27"/>
  <c r="R85" i="27"/>
  <c r="R69" i="27"/>
  <c r="R65" i="27"/>
  <c r="R61" i="27"/>
  <c r="P57" i="27"/>
  <c r="R104" i="27"/>
  <c r="R52" i="27"/>
  <c r="R48" i="27"/>
  <c r="R44" i="27"/>
  <c r="R112" i="27"/>
  <c r="R111" i="27"/>
  <c r="R96" i="27"/>
  <c r="R95" i="27"/>
  <c r="R79" i="27"/>
  <c r="R75" i="27"/>
  <c r="R124" i="27"/>
  <c r="R87" i="27"/>
  <c r="R86" i="27"/>
  <c r="R71" i="27"/>
  <c r="R70" i="27"/>
  <c r="R66" i="27"/>
  <c r="R62" i="27"/>
  <c r="R113" i="27"/>
  <c r="R105" i="27"/>
  <c r="R98" i="27"/>
  <c r="R97" i="27"/>
  <c r="R53" i="27"/>
  <c r="R49" i="27"/>
  <c r="R45" i="27"/>
  <c r="R89" i="27"/>
  <c r="R88" i="27"/>
  <c r="R80" i="27"/>
  <c r="R76" i="27"/>
  <c r="R72" i="27"/>
  <c r="R41" i="27"/>
  <c r="R67" i="27"/>
  <c r="R99" i="27"/>
  <c r="R63" i="27"/>
  <c r="R82" i="21"/>
  <c r="R71" i="21"/>
  <c r="R70" i="21"/>
  <c r="R38" i="21"/>
  <c r="R34" i="21"/>
  <c r="R94" i="21"/>
  <c r="R93" i="21"/>
  <c r="R89" i="21"/>
  <c r="R61" i="21"/>
  <c r="R25" i="21"/>
  <c r="R118" i="21"/>
  <c r="R105" i="21"/>
  <c r="R104" i="21"/>
  <c r="R100" i="21"/>
  <c r="R73" i="21"/>
  <c r="R72" i="21"/>
  <c r="R53" i="21"/>
  <c r="R52" i="21"/>
  <c r="R48" i="21"/>
  <c r="R44" i="21"/>
  <c r="R96" i="21"/>
  <c r="R95" i="21"/>
  <c r="R83" i="21"/>
  <c r="R39" i="21"/>
  <c r="R35" i="21"/>
  <c r="R107" i="21"/>
  <c r="R106" i="21"/>
  <c r="R90" i="21"/>
  <c r="R75" i="21"/>
  <c r="R74" i="21"/>
  <c r="R63" i="21"/>
  <c r="R62" i="21"/>
  <c r="R55" i="21"/>
  <c r="R54" i="21"/>
  <c r="R26" i="21"/>
  <c r="R101" i="21"/>
  <c r="R97" i="21"/>
  <c r="R49" i="21"/>
  <c r="R45" i="21"/>
  <c r="R109" i="21"/>
  <c r="R108" i="21"/>
  <c r="R85" i="21"/>
  <c r="R84" i="21"/>
  <c r="R77" i="21"/>
  <c r="R76" i="21"/>
  <c r="R65" i="21"/>
  <c r="R64" i="21"/>
  <c r="R57" i="21"/>
  <c r="R56" i="21"/>
  <c r="R40" i="21"/>
  <c r="R36" i="21"/>
  <c r="X12" i="21"/>
  <c r="Z12" i="21" s="1"/>
  <c r="R91" i="21"/>
  <c r="R32" i="21"/>
  <c r="R27" i="21"/>
  <c r="R111" i="21"/>
  <c r="R110" i="21"/>
  <c r="R102" i="21"/>
  <c r="R98" i="21"/>
  <c r="R86" i="21"/>
  <c r="R79" i="21"/>
  <c r="R78" i="21"/>
  <c r="R67" i="21"/>
  <c r="R66" i="21"/>
  <c r="R59" i="21"/>
  <c r="R58" i="21"/>
  <c r="R50" i="21"/>
  <c r="R46" i="21"/>
  <c r="R31" i="21"/>
  <c r="R29" i="21"/>
  <c r="R42" i="21"/>
  <c r="R41" i="21"/>
  <c r="R37" i="21"/>
  <c r="R33" i="21"/>
  <c r="P29" i="21"/>
  <c r="R112" i="21"/>
  <c r="R92" i="21"/>
  <c r="R81" i="21"/>
  <c r="R80" i="21"/>
  <c r="R69" i="21"/>
  <c r="R68" i="21"/>
  <c r="R60" i="21"/>
  <c r="R87" i="21"/>
  <c r="R51" i="21"/>
  <c r="R103" i="21"/>
  <c r="R43" i="21"/>
  <c r="R88" i="21"/>
  <c r="R114" i="21"/>
  <c r="R47" i="21"/>
  <c r="R99" i="21"/>
  <c r="R24" i="21"/>
  <c r="N16" i="6"/>
  <c r="H22" i="6"/>
  <c r="F309" i="3"/>
  <c r="F290" i="3"/>
  <c r="F289" i="3"/>
  <c r="F310" i="3"/>
  <c r="F297" i="3"/>
  <c r="F285" i="3"/>
  <c r="F281" i="3"/>
  <c r="F311" i="3"/>
  <c r="F312" i="3"/>
  <c r="F299" i="3"/>
  <c r="F298" i="3"/>
  <c r="F291" i="3"/>
  <c r="F286" i="3"/>
  <c r="F282" i="3"/>
  <c r="F302" i="3"/>
  <c r="F293" i="3"/>
  <c r="F292" i="3"/>
  <c r="F316" i="3"/>
  <c r="F303" i="3"/>
  <c r="F301" i="3"/>
  <c r="F304" i="3"/>
  <c r="F295" i="3"/>
  <c r="F294" i="3"/>
  <c r="F287" i="3"/>
  <c r="F283" i="3"/>
  <c r="F279" i="3"/>
  <c r="F278" i="3"/>
  <c r="F305" i="3"/>
  <c r="F321" i="3"/>
  <c r="F320" i="3"/>
  <c r="F306" i="3"/>
  <c r="F307" i="3"/>
  <c r="F296" i="3"/>
  <c r="F288" i="3"/>
  <c r="F284" i="3"/>
  <c r="F280" i="3"/>
  <c r="F308" i="3"/>
  <c r="F259" i="3"/>
  <c r="F258" i="3"/>
  <c r="F247" i="3"/>
  <c r="F246" i="3"/>
  <c r="F239" i="3"/>
  <c r="F238" i="3"/>
  <c r="F231" i="3"/>
  <c r="F203" i="3"/>
  <c r="F199" i="3"/>
  <c r="F274" i="3"/>
  <c r="F270" i="3"/>
  <c r="F226" i="3"/>
  <c r="F218" i="3"/>
  <c r="F217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265" i="3"/>
  <c r="F249" i="3"/>
  <c r="F248" i="3"/>
  <c r="F241" i="3"/>
  <c r="F240" i="3"/>
  <c r="F233" i="3"/>
  <c r="F232" i="3"/>
  <c r="F213" i="3"/>
  <c r="F209" i="3"/>
  <c r="L12" i="3"/>
  <c r="N12" i="3" s="1"/>
  <c r="F276" i="3"/>
  <c r="F275" i="3"/>
  <c r="F260" i="3"/>
  <c r="F220" i="3"/>
  <c r="F219" i="3"/>
  <c r="F204" i="3"/>
  <c r="F200" i="3"/>
  <c r="F196" i="3"/>
  <c r="F195" i="3"/>
  <c r="F271" i="3"/>
  <c r="F251" i="3"/>
  <c r="F250" i="3"/>
  <c r="F227" i="3"/>
  <c r="F194" i="3"/>
  <c r="F192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212" i="3"/>
  <c r="F266" i="3"/>
  <c r="F242" i="3"/>
  <c r="F234" i="3"/>
  <c r="F214" i="3"/>
  <c r="F210" i="3"/>
  <c r="D192" i="3"/>
  <c r="F264" i="3"/>
  <c r="F261" i="3"/>
  <c r="F253" i="3"/>
  <c r="F252" i="3"/>
  <c r="F221" i="3"/>
  <c r="F205" i="3"/>
  <c r="F201" i="3"/>
  <c r="F197" i="3"/>
  <c r="F272" i="3"/>
  <c r="F244" i="3"/>
  <c r="F243" i="3"/>
  <c r="F228" i="3"/>
  <c r="F188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267" i="3"/>
  <c r="F255" i="3"/>
  <c r="F254" i="3"/>
  <c r="F235" i="3"/>
  <c r="F223" i="3"/>
  <c r="F222" i="3"/>
  <c r="F215" i="3"/>
  <c r="F211" i="3"/>
  <c r="F207" i="3"/>
  <c r="F206" i="3"/>
  <c r="F263" i="3"/>
  <c r="F277" i="3"/>
  <c r="F262" i="3"/>
  <c r="F230" i="3"/>
  <c r="F229" i="3"/>
  <c r="F202" i="3"/>
  <c r="F198" i="3"/>
  <c r="F273" i="3"/>
  <c r="F269" i="3"/>
  <c r="F268" i="3"/>
  <c r="F257" i="3"/>
  <c r="F256" i="3"/>
  <c r="F245" i="3"/>
  <c r="F237" i="3"/>
  <c r="F236" i="3"/>
  <c r="F225" i="3"/>
  <c r="F224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133" i="3"/>
  <c r="F132" i="3"/>
  <c r="F216" i="3"/>
  <c r="F208" i="3"/>
  <c r="T27" i="112"/>
  <c r="Z18" i="112"/>
  <c r="X18" i="112"/>
  <c r="P27" i="112"/>
  <c r="T27" i="40"/>
  <c r="Z18" i="40"/>
  <c r="L18" i="37"/>
  <c r="D27" i="37"/>
  <c r="T27" i="35"/>
  <c r="Z18" i="35"/>
  <c r="T27" i="29"/>
  <c r="Z18" i="29"/>
  <c r="P27" i="31"/>
  <c r="X18" i="31"/>
  <c r="H27" i="26"/>
  <c r="N18" i="26"/>
  <c r="L18" i="19"/>
  <c r="D27" i="19"/>
  <c r="X18" i="13"/>
  <c r="P27" i="13"/>
  <c r="T27" i="16"/>
  <c r="Z18" i="16"/>
  <c r="H27" i="4"/>
  <c r="N18" i="4"/>
  <c r="T27" i="7"/>
  <c r="Z18" i="7"/>
  <c r="T27" i="14"/>
  <c r="Z18" i="14"/>
  <c r="T90" i="102"/>
  <c r="R109" i="69"/>
  <c r="R108" i="69"/>
  <c r="R101" i="69"/>
  <c r="R100" i="69"/>
  <c r="R121" i="69"/>
  <c r="R112" i="69"/>
  <c r="R111" i="69"/>
  <c r="R97" i="69"/>
  <c r="R96" i="69"/>
  <c r="R117" i="69"/>
  <c r="R99" i="69"/>
  <c r="R98" i="69"/>
  <c r="R93" i="69"/>
  <c r="R69" i="69"/>
  <c r="R64" i="69"/>
  <c r="R60" i="69"/>
  <c r="R56" i="69"/>
  <c r="R52" i="69"/>
  <c r="R48" i="69"/>
  <c r="R114" i="69"/>
  <c r="R94" i="69"/>
  <c r="R87" i="69"/>
  <c r="R83" i="69"/>
  <c r="R68" i="69"/>
  <c r="R44" i="69"/>
  <c r="R107" i="69"/>
  <c r="R79" i="69"/>
  <c r="R78" i="69"/>
  <c r="R74" i="69"/>
  <c r="R70" i="69"/>
  <c r="P66" i="69"/>
  <c r="R102" i="69"/>
  <c r="R61" i="69"/>
  <c r="R57" i="69"/>
  <c r="R53" i="69"/>
  <c r="R49" i="69"/>
  <c r="R45" i="69"/>
  <c r="R88" i="69"/>
  <c r="R84" i="69"/>
  <c r="R80" i="69"/>
  <c r="X12" i="69"/>
  <c r="Z12" i="69" s="1"/>
  <c r="R105" i="69"/>
  <c r="R75" i="69"/>
  <c r="R71" i="69"/>
  <c r="R103" i="69"/>
  <c r="R62" i="69"/>
  <c r="R58" i="69"/>
  <c r="R54" i="69"/>
  <c r="R50" i="69"/>
  <c r="R46" i="69"/>
  <c r="R95" i="69"/>
  <c r="R90" i="69"/>
  <c r="R89" i="69"/>
  <c r="R85" i="69"/>
  <c r="R81" i="69"/>
  <c r="R115" i="69"/>
  <c r="R110" i="69"/>
  <c r="R106" i="69"/>
  <c r="R76" i="69"/>
  <c r="R72" i="69"/>
  <c r="R92" i="69"/>
  <c r="R63" i="69"/>
  <c r="R104" i="69"/>
  <c r="R59" i="69"/>
  <c r="R55" i="69"/>
  <c r="R113" i="69"/>
  <c r="R86" i="69"/>
  <c r="R82" i="69"/>
  <c r="R51" i="69"/>
  <c r="R73" i="69"/>
  <c r="R47" i="69"/>
  <c r="R91" i="69"/>
  <c r="R77" i="69"/>
  <c r="X18" i="53"/>
  <c r="P27" i="53"/>
  <c r="H27" i="40"/>
  <c r="N18" i="40"/>
  <c r="T27" i="10"/>
  <c r="Z18" i="10"/>
  <c r="X18" i="44"/>
  <c r="P27" i="44"/>
  <c r="H27" i="32"/>
  <c r="N18" i="32"/>
  <c r="H27" i="28"/>
  <c r="N18" i="28"/>
  <c r="X18" i="26"/>
  <c r="P27" i="26"/>
  <c r="T53" i="109"/>
  <c r="P93" i="106"/>
  <c r="X23" i="106"/>
  <c r="R23" i="106"/>
  <c r="H93" i="106"/>
  <c r="D93" i="106"/>
  <c r="L23" i="106"/>
  <c r="N23" i="106" s="1"/>
  <c r="T63" i="103"/>
  <c r="Z16" i="103"/>
  <c r="L18" i="99"/>
  <c r="D41" i="99"/>
  <c r="F44" i="96"/>
  <c r="F40" i="96"/>
  <c r="F36" i="96"/>
  <c r="F35" i="96"/>
  <c r="F95" i="96"/>
  <c r="F94" i="96"/>
  <c r="F77" i="96"/>
  <c r="F76" i="96"/>
  <c r="F65" i="96"/>
  <c r="F64" i="96"/>
  <c r="F45" i="96"/>
  <c r="F41" i="96"/>
  <c r="F37" i="96"/>
  <c r="F101" i="96"/>
  <c r="F83" i="96"/>
  <c r="F79" i="96"/>
  <c r="F78" i="96"/>
  <c r="F67" i="96"/>
  <c r="F66" i="96"/>
  <c r="F55" i="96"/>
  <c r="F47" i="96"/>
  <c r="F46" i="96"/>
  <c r="F90" i="96"/>
  <c r="F89" i="96"/>
  <c r="F73" i="96"/>
  <c r="F57" i="96"/>
  <c r="F56" i="96"/>
  <c r="F49" i="96"/>
  <c r="F48" i="96"/>
  <c r="F33" i="96"/>
  <c r="F29" i="96"/>
  <c r="F74" i="96"/>
  <c r="F34" i="96"/>
  <c r="F30" i="96"/>
  <c r="F26" i="96"/>
  <c r="F25" i="96"/>
  <c r="F87" i="96"/>
  <c r="F17" i="96"/>
  <c r="F85" i="96"/>
  <c r="F81" i="96"/>
  <c r="F72" i="96"/>
  <c r="F69" i="96"/>
  <c r="F60" i="96"/>
  <c r="F42" i="96"/>
  <c r="F39" i="96"/>
  <c r="F31" i="96"/>
  <c r="F18" i="96"/>
  <c r="L12" i="96"/>
  <c r="N12" i="96" s="1"/>
  <c r="F52" i="96"/>
  <c r="F22" i="96"/>
  <c r="F93" i="96"/>
  <c r="F61" i="96"/>
  <c r="F27" i="96"/>
  <c r="D22" i="96"/>
  <c r="F88" i="96"/>
  <c r="F43" i="96"/>
  <c r="F91" i="96"/>
  <c r="F70" i="96"/>
  <c r="F58" i="96"/>
  <c r="F53" i="96"/>
  <c r="F32" i="96"/>
  <c r="F24" i="96"/>
  <c r="F19" i="96"/>
  <c r="F97" i="96"/>
  <c r="F86" i="96"/>
  <c r="F84" i="96"/>
  <c r="F82" i="96"/>
  <c r="F80" i="96"/>
  <c r="F62" i="96"/>
  <c r="F50" i="96"/>
  <c r="F63" i="96"/>
  <c r="F59" i="96"/>
  <c r="F54" i="96"/>
  <c r="F38" i="96"/>
  <c r="F71" i="96"/>
  <c r="F75" i="96"/>
  <c r="F68" i="96"/>
  <c r="F28" i="96"/>
  <c r="F20" i="96"/>
  <c r="F51" i="96"/>
  <c r="F92" i="96"/>
  <c r="P86" i="95"/>
  <c r="X23" i="95"/>
  <c r="H86" i="95"/>
  <c r="J23" i="95"/>
  <c r="L23" i="94"/>
  <c r="D79" i="94"/>
  <c r="T85" i="89"/>
  <c r="F72" i="89"/>
  <c r="F83" i="89"/>
  <c r="F52" i="89"/>
  <c r="F51" i="89"/>
  <c r="F44" i="89"/>
  <c r="F40" i="89"/>
  <c r="F77" i="89"/>
  <c r="F35" i="89"/>
  <c r="F31" i="89"/>
  <c r="F27" i="89"/>
  <c r="F26" i="89"/>
  <c r="F73" i="89"/>
  <c r="F54" i="89"/>
  <c r="F53" i="89"/>
  <c r="F25" i="89"/>
  <c r="F70" i="89"/>
  <c r="F62" i="89"/>
  <c r="F45" i="89"/>
  <c r="F41" i="89"/>
  <c r="F37" i="89"/>
  <c r="F36" i="89"/>
  <c r="D23" i="89"/>
  <c r="F23" i="89" s="1"/>
  <c r="F78" i="89"/>
  <c r="F66" i="89"/>
  <c r="F32" i="89"/>
  <c r="F28" i="89"/>
  <c r="L12" i="89"/>
  <c r="N12" i="89" s="1"/>
  <c r="F87" i="89"/>
  <c r="F79" i="89"/>
  <c r="F74" i="89"/>
  <c r="F55" i="89"/>
  <c r="F19" i="89"/>
  <c r="F18" i="89"/>
  <c r="F71" i="89"/>
  <c r="F63" i="89"/>
  <c r="F46" i="89"/>
  <c r="F42" i="89"/>
  <c r="F38" i="89"/>
  <c r="F75" i="89"/>
  <c r="F67" i="89"/>
  <c r="F57" i="89"/>
  <c r="F56" i="89"/>
  <c r="F33" i="89"/>
  <c r="F29" i="89"/>
  <c r="F80" i="89"/>
  <c r="F48" i="89"/>
  <c r="F47" i="89"/>
  <c r="F20" i="89"/>
  <c r="F68" i="89"/>
  <c r="F64" i="89"/>
  <c r="F50" i="89"/>
  <c r="F49" i="89"/>
  <c r="F34" i="89"/>
  <c r="F30" i="89"/>
  <c r="F81" i="89"/>
  <c r="F60" i="89"/>
  <c r="F58" i="89"/>
  <c r="F69" i="89"/>
  <c r="F76" i="89"/>
  <c r="F21" i="89"/>
  <c r="F61" i="89"/>
  <c r="F39" i="89"/>
  <c r="F59" i="89"/>
  <c r="F65" i="89"/>
  <c r="F43" i="89"/>
  <c r="T86" i="81"/>
  <c r="R84" i="81"/>
  <c r="R75" i="81"/>
  <c r="R46" i="81"/>
  <c r="R45" i="81"/>
  <c r="R41" i="81"/>
  <c r="R37" i="81"/>
  <c r="R65" i="81"/>
  <c r="R64" i="81"/>
  <c r="R57" i="81"/>
  <c r="R56" i="81"/>
  <c r="R32" i="81"/>
  <c r="R28" i="81"/>
  <c r="R71" i="81"/>
  <c r="R48" i="81"/>
  <c r="R47" i="81"/>
  <c r="R19" i="81"/>
  <c r="R76" i="81"/>
  <c r="R66" i="81"/>
  <c r="R59" i="81"/>
  <c r="R58" i="81"/>
  <c r="R42" i="81"/>
  <c r="R38" i="81"/>
  <c r="X12" i="81"/>
  <c r="Z12" i="81" s="1"/>
  <c r="R77" i="81"/>
  <c r="R50" i="81"/>
  <c r="R49" i="81"/>
  <c r="R33" i="81"/>
  <c r="R29" i="81"/>
  <c r="R72" i="81"/>
  <c r="R61" i="81"/>
  <c r="R60" i="81"/>
  <c r="R25" i="81"/>
  <c r="R20" i="81"/>
  <c r="R67" i="81"/>
  <c r="R52" i="81"/>
  <c r="R51" i="81"/>
  <c r="R43" i="81"/>
  <c r="R39" i="81"/>
  <c r="R24" i="81"/>
  <c r="R78" i="81"/>
  <c r="R62" i="81"/>
  <c r="R35" i="81"/>
  <c r="R34" i="81"/>
  <c r="R30" i="81"/>
  <c r="R26" i="81"/>
  <c r="P22" i="81"/>
  <c r="R22" i="81" s="1"/>
  <c r="R73" i="81"/>
  <c r="R53" i="81"/>
  <c r="R18" i="81"/>
  <c r="R69" i="81"/>
  <c r="R54" i="81"/>
  <c r="R31" i="81"/>
  <c r="R27" i="81"/>
  <c r="R17" i="81"/>
  <c r="R63" i="81"/>
  <c r="R40" i="81"/>
  <c r="R74" i="81"/>
  <c r="R70" i="81"/>
  <c r="R68" i="81"/>
  <c r="R80" i="81"/>
  <c r="R55" i="81"/>
  <c r="R36" i="81"/>
  <c r="R44" i="81"/>
  <c r="D82" i="81"/>
  <c r="L22" i="81"/>
  <c r="N22" i="81" s="1"/>
  <c r="J29" i="76"/>
  <c r="H87" i="76"/>
  <c r="X29" i="76"/>
  <c r="Z29" i="76" s="1"/>
  <c r="P87" i="76"/>
  <c r="P61" i="60"/>
  <c r="X16" i="60"/>
  <c r="D119" i="69"/>
  <c r="L66" i="69"/>
  <c r="F66" i="69"/>
  <c r="D105" i="64"/>
  <c r="T105" i="64"/>
  <c r="Z16" i="64"/>
  <c r="D81" i="57"/>
  <c r="R99" i="51"/>
  <c r="R98" i="51"/>
  <c r="R91" i="51"/>
  <c r="R90" i="51"/>
  <c r="R66" i="51"/>
  <c r="R62" i="51"/>
  <c r="R53" i="51"/>
  <c r="R49" i="51"/>
  <c r="R45" i="51"/>
  <c r="R41" i="51"/>
  <c r="R104" i="51"/>
  <c r="R94" i="51"/>
  <c r="R83" i="51"/>
  <c r="R82" i="51"/>
  <c r="R85" i="51"/>
  <c r="R84" i="51"/>
  <c r="R68" i="51"/>
  <c r="R64" i="51"/>
  <c r="R60" i="51"/>
  <c r="P56" i="51"/>
  <c r="R96" i="51"/>
  <c r="R95" i="51"/>
  <c r="R51" i="51"/>
  <c r="R47" i="51"/>
  <c r="R43" i="51"/>
  <c r="R93" i="51"/>
  <c r="R72" i="51"/>
  <c r="R59" i="51"/>
  <c r="R42" i="51"/>
  <c r="R81" i="51"/>
  <c r="R75" i="51"/>
  <c r="R48" i="51"/>
  <c r="R103" i="51"/>
  <c r="R78" i="51"/>
  <c r="R69" i="51"/>
  <c r="R88" i="51"/>
  <c r="R73" i="51"/>
  <c r="R70" i="51"/>
  <c r="R67" i="51"/>
  <c r="R54" i="51"/>
  <c r="R46" i="51"/>
  <c r="R40" i="51"/>
  <c r="R100" i="51"/>
  <c r="R76" i="51"/>
  <c r="R97" i="51"/>
  <c r="R79" i="51"/>
  <c r="X12" i="51"/>
  <c r="Z12" i="51" s="1"/>
  <c r="R65" i="51"/>
  <c r="R52" i="51"/>
  <c r="R109" i="51"/>
  <c r="R105" i="51"/>
  <c r="R89" i="51"/>
  <c r="R71" i="51"/>
  <c r="R56" i="51"/>
  <c r="R44" i="51"/>
  <c r="R102" i="51"/>
  <c r="R80" i="51"/>
  <c r="R58" i="51"/>
  <c r="R50" i="51"/>
  <c r="R86" i="51"/>
  <c r="R92" i="51"/>
  <c r="R74" i="51"/>
  <c r="R87" i="51"/>
  <c r="R61" i="51"/>
  <c r="R63" i="51"/>
  <c r="R77" i="51"/>
  <c r="L17" i="48"/>
  <c r="D70" i="48"/>
  <c r="L22" i="54"/>
  <c r="D26" i="54"/>
  <c r="T116" i="21"/>
  <c r="P261" i="15"/>
  <c r="X154" i="15"/>
  <c r="T27" i="47"/>
  <c r="Z18" i="47"/>
  <c r="H27" i="47"/>
  <c r="N18" i="47"/>
  <c r="P27" i="52"/>
  <c r="X18" i="52"/>
  <c r="L18" i="38"/>
  <c r="D27" i="38"/>
  <c r="H27" i="44"/>
  <c r="N18" i="44"/>
  <c r="H27" i="35"/>
  <c r="N18" i="35"/>
  <c r="L18" i="20"/>
  <c r="D27" i="20"/>
  <c r="X18" i="22"/>
  <c r="P27" i="22"/>
  <c r="T27" i="20"/>
  <c r="Z18" i="20"/>
  <c r="H27" i="20"/>
  <c r="N18" i="20"/>
  <c r="X18" i="11"/>
  <c r="P27" i="11"/>
  <c r="L18" i="11"/>
  <c r="D27" i="11"/>
  <c r="D27" i="10"/>
  <c r="L18" i="10"/>
  <c r="N16" i="109"/>
  <c r="H46" i="109"/>
  <c r="H63" i="105"/>
  <c r="F61" i="95"/>
  <c r="F60" i="95"/>
  <c r="F78" i="95"/>
  <c r="F74" i="95"/>
  <c r="F66" i="95"/>
  <c r="F65" i="95"/>
  <c r="F72" i="95"/>
  <c r="F55" i="95"/>
  <c r="F84" i="95"/>
  <c r="F56" i="95"/>
  <c r="F43" i="95"/>
  <c r="F39" i="95"/>
  <c r="F67" i="95"/>
  <c r="F62" i="95"/>
  <c r="F57" i="95"/>
  <c r="F50" i="95"/>
  <c r="F49" i="95"/>
  <c r="F34" i="95"/>
  <c r="F79" i="95"/>
  <c r="F73" i="95"/>
  <c r="F63" i="95"/>
  <c r="F76" i="95"/>
  <c r="F68" i="95"/>
  <c r="F52" i="95"/>
  <c r="F51" i="95"/>
  <c r="F88" i="95"/>
  <c r="F80" i="95"/>
  <c r="F19" i="95"/>
  <c r="F18" i="95"/>
  <c r="F70" i="95"/>
  <c r="F54" i="95"/>
  <c r="F45" i="95"/>
  <c r="F37" i="95"/>
  <c r="F40" i="95"/>
  <c r="F20" i="95"/>
  <c r="F31" i="95"/>
  <c r="F28" i="95"/>
  <c r="F77" i="95"/>
  <c r="F75" i="95"/>
  <c r="F71" i="95"/>
  <c r="F46" i="95"/>
  <c r="F38" i="95"/>
  <c r="F21" i="95"/>
  <c r="L12" i="95"/>
  <c r="N12" i="95" s="1"/>
  <c r="F82" i="95"/>
  <c r="F69" i="95"/>
  <c r="F41" i="95"/>
  <c r="F58" i="95"/>
  <c r="F53" i="95"/>
  <c r="F47" i="95"/>
  <c r="F44" i="95"/>
  <c r="F35" i="95"/>
  <c r="F32" i="95"/>
  <c r="F29" i="95"/>
  <c r="F64" i="95"/>
  <c r="D23" i="95"/>
  <c r="F48" i="95"/>
  <c r="F42" i="95"/>
  <c r="F36" i="95"/>
  <c r="F33" i="95"/>
  <c r="F30" i="95"/>
  <c r="F23" i="95"/>
  <c r="F81" i="95"/>
  <c r="F26" i="95"/>
  <c r="F59" i="95"/>
  <c r="F27" i="95"/>
  <c r="F25" i="95"/>
  <c r="D92" i="108"/>
  <c r="L23" i="108"/>
  <c r="R65" i="105"/>
  <c r="R55" i="105"/>
  <c r="R54" i="105"/>
  <c r="R39" i="105"/>
  <c r="R35" i="105"/>
  <c r="R25" i="105"/>
  <c r="R23" i="105"/>
  <c r="R57" i="105"/>
  <c r="R50" i="105"/>
  <c r="R36" i="105"/>
  <c r="R58" i="105"/>
  <c r="R40" i="105"/>
  <c r="R18" i="105"/>
  <c r="R44" i="105"/>
  <c r="R32" i="105"/>
  <c r="R28" i="105"/>
  <c r="X12" i="105"/>
  <c r="Z12" i="105" s="1"/>
  <c r="R51" i="105"/>
  <c r="R37" i="105"/>
  <c r="R19" i="105"/>
  <c r="R41" i="105"/>
  <c r="R59" i="105"/>
  <c r="R52" i="105"/>
  <c r="R46" i="105"/>
  <c r="R45" i="105"/>
  <c r="R33" i="105"/>
  <c r="R29" i="105"/>
  <c r="R38" i="105"/>
  <c r="R20" i="105"/>
  <c r="R61" i="105"/>
  <c r="R56" i="105"/>
  <c r="R48" i="105"/>
  <c r="R47" i="105"/>
  <c r="R30" i="105"/>
  <c r="R34" i="105"/>
  <c r="R26" i="105"/>
  <c r="R21" i="105"/>
  <c r="R49" i="105"/>
  <c r="R43" i="105"/>
  <c r="R53" i="105"/>
  <c r="R27" i="105"/>
  <c r="R31" i="105"/>
  <c r="P23" i="105"/>
  <c r="R42" i="105"/>
  <c r="H93" i="74"/>
  <c r="H122" i="71"/>
  <c r="J57" i="71"/>
  <c r="H109" i="64"/>
  <c r="D107" i="51"/>
  <c r="L56" i="51"/>
  <c r="N56" i="51" s="1"/>
  <c r="X18" i="32"/>
  <c r="P27" i="32"/>
  <c r="H79" i="101"/>
  <c r="J23" i="105"/>
  <c r="T75" i="101"/>
  <c r="T91" i="98"/>
  <c r="H91" i="98"/>
  <c r="H63" i="103"/>
  <c r="N16" i="103"/>
  <c r="T86" i="95"/>
  <c r="Z23" i="95"/>
  <c r="R97" i="88"/>
  <c r="R76" i="88"/>
  <c r="R75" i="88"/>
  <c r="R68" i="88"/>
  <c r="R67" i="88"/>
  <c r="R60" i="88"/>
  <c r="R59" i="88"/>
  <c r="R52" i="88"/>
  <c r="R51" i="88"/>
  <c r="R43" i="88"/>
  <c r="R39" i="88"/>
  <c r="R24" i="88"/>
  <c r="R86" i="88"/>
  <c r="R85" i="88"/>
  <c r="R81" i="88"/>
  <c r="R77" i="88"/>
  <c r="R70" i="88"/>
  <c r="R69" i="88"/>
  <c r="R62" i="88"/>
  <c r="R61" i="88"/>
  <c r="R53" i="88"/>
  <c r="R44" i="88"/>
  <c r="R40" i="88"/>
  <c r="R36" i="88"/>
  <c r="R17" i="88"/>
  <c r="R88" i="88"/>
  <c r="R87" i="88"/>
  <c r="R71" i="88"/>
  <c r="R64" i="88"/>
  <c r="R63" i="88"/>
  <c r="R31" i="88"/>
  <c r="R27" i="88"/>
  <c r="R82" i="88"/>
  <c r="R78" i="88"/>
  <c r="R54" i="88"/>
  <c r="R18" i="88"/>
  <c r="R90" i="88"/>
  <c r="R89" i="88"/>
  <c r="R65" i="88"/>
  <c r="R46" i="88"/>
  <c r="R45" i="88"/>
  <c r="R41" i="88"/>
  <c r="R37" i="88"/>
  <c r="R72" i="88"/>
  <c r="R32" i="88"/>
  <c r="R28" i="88"/>
  <c r="R91" i="88"/>
  <c r="R83" i="88"/>
  <c r="R79" i="88"/>
  <c r="R56" i="88"/>
  <c r="R55" i="88"/>
  <c r="R48" i="88"/>
  <c r="R47" i="88"/>
  <c r="R19" i="88"/>
  <c r="R74" i="88"/>
  <c r="R73" i="88"/>
  <c r="R58" i="88"/>
  <c r="R57" i="88"/>
  <c r="R50" i="88"/>
  <c r="R49" i="88"/>
  <c r="R33" i="88"/>
  <c r="R29" i="88"/>
  <c r="R66" i="88"/>
  <c r="R35" i="88"/>
  <c r="R25" i="88"/>
  <c r="X12" i="88"/>
  <c r="Z12" i="88" s="1"/>
  <c r="R42" i="88"/>
  <c r="P22" i="88"/>
  <c r="R80" i="88"/>
  <c r="R38" i="88"/>
  <c r="R26" i="88"/>
  <c r="R84" i="88"/>
  <c r="R20" i="88"/>
  <c r="R30" i="88"/>
  <c r="R34" i="88"/>
  <c r="R93" i="88"/>
  <c r="D96" i="84"/>
  <c r="L22" i="84"/>
  <c r="N22" i="84" s="1"/>
  <c r="F64" i="79"/>
  <c r="R56" i="75"/>
  <c r="R51" i="75"/>
  <c r="R47" i="75"/>
  <c r="R43" i="75"/>
  <c r="R39" i="75"/>
  <c r="R99" i="75"/>
  <c r="R98" i="75"/>
  <c r="R91" i="75"/>
  <c r="R90" i="75"/>
  <c r="R74" i="75"/>
  <c r="R70" i="75"/>
  <c r="R55" i="75"/>
  <c r="R53" i="75"/>
  <c r="R35" i="75"/>
  <c r="X12" i="75"/>
  <c r="Z12" i="75" s="1"/>
  <c r="R113" i="75"/>
  <c r="R105" i="75"/>
  <c r="R82" i="75"/>
  <c r="R81" i="75"/>
  <c r="R66" i="75"/>
  <c r="R65" i="75"/>
  <c r="R61" i="75"/>
  <c r="R57" i="75"/>
  <c r="P53" i="75"/>
  <c r="R116" i="75"/>
  <c r="R115" i="75"/>
  <c r="R100" i="75"/>
  <c r="R93" i="75"/>
  <c r="R92" i="75"/>
  <c r="R48" i="75"/>
  <c r="R44" i="75"/>
  <c r="R40" i="75"/>
  <c r="R36" i="75"/>
  <c r="R117" i="75"/>
  <c r="R84" i="75"/>
  <c r="R83" i="75"/>
  <c r="R75" i="75"/>
  <c r="R71" i="75"/>
  <c r="R67" i="75"/>
  <c r="R118" i="75"/>
  <c r="R107" i="75"/>
  <c r="R106" i="75"/>
  <c r="R95" i="75"/>
  <c r="R94" i="75"/>
  <c r="R62" i="75"/>
  <c r="R58" i="75"/>
  <c r="R102" i="75"/>
  <c r="R101" i="75"/>
  <c r="R85" i="75"/>
  <c r="R109" i="75"/>
  <c r="R108" i="75"/>
  <c r="R96" i="75"/>
  <c r="R77" i="75"/>
  <c r="R76" i="75"/>
  <c r="R72" i="75"/>
  <c r="R68" i="75"/>
  <c r="R103" i="75"/>
  <c r="R63" i="75"/>
  <c r="R59" i="75"/>
  <c r="R110" i="75"/>
  <c r="R86" i="75"/>
  <c r="R60" i="75"/>
  <c r="R89" i="75"/>
  <c r="R64" i="75"/>
  <c r="R50" i="75"/>
  <c r="R41" i="75"/>
  <c r="R122" i="75"/>
  <c r="R104" i="75"/>
  <c r="R79" i="75"/>
  <c r="R111" i="75"/>
  <c r="R87" i="75"/>
  <c r="R46" i="75"/>
  <c r="R37" i="75"/>
  <c r="R73" i="75"/>
  <c r="R69" i="75"/>
  <c r="R49" i="75"/>
  <c r="R42" i="75"/>
  <c r="R88" i="75"/>
  <c r="R80" i="75"/>
  <c r="R112" i="75"/>
  <c r="R97" i="75"/>
  <c r="R78" i="75"/>
  <c r="R45" i="75"/>
  <c r="R38" i="75"/>
  <c r="T119" i="69"/>
  <c r="V66" i="69"/>
  <c r="R117" i="71"/>
  <c r="R116" i="71"/>
  <c r="R82" i="71"/>
  <c r="R81" i="71"/>
  <c r="R77" i="71"/>
  <c r="R73" i="71"/>
  <c r="R118" i="71"/>
  <c r="R108" i="71"/>
  <c r="R101" i="71"/>
  <c r="R100" i="71"/>
  <c r="R92" i="71"/>
  <c r="R68" i="71"/>
  <c r="R64" i="71"/>
  <c r="R119" i="71"/>
  <c r="R84" i="71"/>
  <c r="R83" i="71"/>
  <c r="R60" i="71"/>
  <c r="R55" i="71"/>
  <c r="R51" i="71"/>
  <c r="R47" i="71"/>
  <c r="R43" i="71"/>
  <c r="R120" i="71"/>
  <c r="R103" i="71"/>
  <c r="R102" i="71"/>
  <c r="R78" i="71"/>
  <c r="R74" i="71"/>
  <c r="R59" i="71"/>
  <c r="R57" i="71"/>
  <c r="X12" i="71"/>
  <c r="Z12" i="71" s="1"/>
  <c r="R110" i="71"/>
  <c r="R109" i="71"/>
  <c r="R94" i="71"/>
  <c r="R93" i="71"/>
  <c r="R85" i="71"/>
  <c r="R69" i="71"/>
  <c r="R65" i="71"/>
  <c r="R61" i="71"/>
  <c r="P57" i="71"/>
  <c r="R104" i="71"/>
  <c r="R52" i="71"/>
  <c r="R48" i="71"/>
  <c r="R44" i="71"/>
  <c r="R112" i="71"/>
  <c r="R111" i="71"/>
  <c r="R96" i="71"/>
  <c r="R95" i="71"/>
  <c r="R79" i="71"/>
  <c r="R75" i="71"/>
  <c r="R113" i="71"/>
  <c r="R105" i="71"/>
  <c r="R98" i="71"/>
  <c r="R97" i="71"/>
  <c r="R53" i="71"/>
  <c r="R49" i="71"/>
  <c r="R45" i="71"/>
  <c r="R99" i="71"/>
  <c r="R67" i="71"/>
  <c r="R63" i="71"/>
  <c r="R107" i="71"/>
  <c r="R88" i="71"/>
  <c r="R80" i="71"/>
  <c r="R71" i="71"/>
  <c r="R54" i="71"/>
  <c r="R50" i="71"/>
  <c r="R86" i="71"/>
  <c r="R46" i="71"/>
  <c r="R42" i="71"/>
  <c r="R91" i="71"/>
  <c r="R62" i="71"/>
  <c r="R89" i="71"/>
  <c r="R87" i="71"/>
  <c r="R72" i="71"/>
  <c r="R66" i="71"/>
  <c r="R106" i="71"/>
  <c r="R124" i="71"/>
  <c r="R114" i="71"/>
  <c r="R41" i="71"/>
  <c r="R90" i="71"/>
  <c r="R70" i="71"/>
  <c r="R76" i="71"/>
  <c r="L16" i="59"/>
  <c r="D71" i="59"/>
  <c r="Z16" i="55"/>
  <c r="T31" i="55"/>
  <c r="H111" i="51"/>
  <c r="L16" i="54"/>
  <c r="H104" i="33"/>
  <c r="H122" i="27"/>
  <c r="H130" i="24"/>
  <c r="F87" i="24"/>
  <c r="F83" i="24"/>
  <c r="F79" i="24"/>
  <c r="F78" i="24"/>
  <c r="F122" i="24"/>
  <c r="F114" i="24"/>
  <c r="F77" i="24"/>
  <c r="F75" i="24"/>
  <c r="F70" i="24"/>
  <c r="F66" i="24"/>
  <c r="F62" i="24"/>
  <c r="F58" i="24"/>
  <c r="F105" i="24"/>
  <c r="F97" i="24"/>
  <c r="F93" i="24"/>
  <c r="F89" i="24"/>
  <c r="F88" i="24"/>
  <c r="D75" i="24"/>
  <c r="F124" i="24"/>
  <c r="F123" i="24"/>
  <c r="F116" i="24"/>
  <c r="F115" i="24"/>
  <c r="F84" i="24"/>
  <c r="F80" i="24"/>
  <c r="F107" i="24"/>
  <c r="F106" i="24"/>
  <c r="F71" i="24"/>
  <c r="F67" i="24"/>
  <c r="F63" i="24"/>
  <c r="F59" i="24"/>
  <c r="F55" i="24"/>
  <c r="F126" i="24"/>
  <c r="F125" i="24"/>
  <c r="F98" i="24"/>
  <c r="F94" i="24"/>
  <c r="F90" i="24"/>
  <c r="F117" i="24"/>
  <c r="F109" i="24"/>
  <c r="F108" i="24"/>
  <c r="F85" i="24"/>
  <c r="F81" i="24"/>
  <c r="F100" i="24"/>
  <c r="F99" i="24"/>
  <c r="F72" i="24"/>
  <c r="F68" i="24"/>
  <c r="F64" i="24"/>
  <c r="F60" i="24"/>
  <c r="F56" i="24"/>
  <c r="F128" i="24"/>
  <c r="F119" i="24"/>
  <c r="F118" i="24"/>
  <c r="F111" i="24"/>
  <c r="F110" i="24"/>
  <c r="F95" i="24"/>
  <c r="F91" i="24"/>
  <c r="F132" i="24"/>
  <c r="F102" i="24"/>
  <c r="F101" i="24"/>
  <c r="F86" i="24"/>
  <c r="F82" i="24"/>
  <c r="F121" i="24"/>
  <c r="F120" i="24"/>
  <c r="F113" i="24"/>
  <c r="F112" i="24"/>
  <c r="F73" i="24"/>
  <c r="F69" i="24"/>
  <c r="F65" i="24"/>
  <c r="F61" i="24"/>
  <c r="F57" i="24"/>
  <c r="F53" i="24"/>
  <c r="F104" i="24"/>
  <c r="F92" i="24"/>
  <c r="F103" i="24"/>
  <c r="F50" i="24"/>
  <c r="F49" i="24"/>
  <c r="L12" i="24"/>
  <c r="N12" i="24" s="1"/>
  <c r="F96" i="24"/>
  <c r="F54" i="24"/>
  <c r="F51" i="24"/>
  <c r="F52" i="24"/>
  <c r="H261" i="15"/>
  <c r="Z16" i="6"/>
  <c r="T22" i="6"/>
  <c r="T274" i="12"/>
  <c r="F247" i="15"/>
  <c r="F235" i="15"/>
  <c r="F219" i="15"/>
  <c r="F218" i="15"/>
  <c r="F211" i="15"/>
  <c r="F210" i="15"/>
  <c r="F187" i="15"/>
  <c r="F186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263" i="15"/>
  <c r="F249" i="15"/>
  <c r="F248" i="15"/>
  <c r="F241" i="15"/>
  <c r="F225" i="15"/>
  <c r="F213" i="15"/>
  <c r="F212" i="15"/>
  <c r="F193" i="15"/>
  <c r="F165" i="15"/>
  <c r="F161" i="15"/>
  <c r="F236" i="15"/>
  <c r="F232" i="15"/>
  <c r="F231" i="15"/>
  <c r="F220" i="15"/>
  <c r="F188" i="15"/>
  <c r="F180" i="15"/>
  <c r="F179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104" i="15"/>
  <c r="F103" i="15"/>
  <c r="F252" i="15"/>
  <c r="F243" i="15"/>
  <c r="F242" i="15"/>
  <c r="F215" i="15"/>
  <c r="F214" i="15"/>
  <c r="F203" i="15"/>
  <c r="F195" i="15"/>
  <c r="F194" i="15"/>
  <c r="F175" i="15"/>
  <c r="F171" i="15"/>
  <c r="F253" i="15"/>
  <c r="F251" i="15"/>
  <c r="F226" i="15"/>
  <c r="F182" i="15"/>
  <c r="F181" i="15"/>
  <c r="F166" i="15"/>
  <c r="F162" i="15"/>
  <c r="F158" i="15"/>
  <c r="F157" i="15"/>
  <c r="F254" i="15"/>
  <c r="F245" i="15"/>
  <c r="F244" i="15"/>
  <c r="F237" i="15"/>
  <c r="F233" i="15"/>
  <c r="F221" i="15"/>
  <c r="F205" i="15"/>
  <c r="F204" i="15"/>
  <c r="F189" i="15"/>
  <c r="F156" i="15"/>
  <c r="F255" i="15"/>
  <c r="F216" i="15"/>
  <c r="F196" i="15"/>
  <c r="F176" i="15"/>
  <c r="F172" i="15"/>
  <c r="D154" i="15"/>
  <c r="F256" i="15"/>
  <c r="F227" i="15"/>
  <c r="F207" i="15"/>
  <c r="F206" i="15"/>
  <c r="F183" i="15"/>
  <c r="F167" i="15"/>
  <c r="F163" i="15"/>
  <c r="F159" i="15"/>
  <c r="F257" i="15"/>
  <c r="F246" i="15"/>
  <c r="F238" i="15"/>
  <c r="F234" i="15"/>
  <c r="F222" i="15"/>
  <c r="F198" i="15"/>
  <c r="F197" i="15"/>
  <c r="F190" i="15"/>
  <c r="F150" i="15"/>
  <c r="F146" i="15"/>
  <c r="F142" i="15"/>
  <c r="F138" i="15"/>
  <c r="F134" i="15"/>
  <c r="F130" i="15"/>
  <c r="F126" i="15"/>
  <c r="F122" i="15"/>
  <c r="F118" i="15"/>
  <c r="F114" i="15"/>
  <c r="F110" i="15"/>
  <c r="F106" i="15"/>
  <c r="F258" i="15"/>
  <c r="F229" i="15"/>
  <c r="F228" i="15"/>
  <c r="F217" i="15"/>
  <c r="F209" i="15"/>
  <c r="F208" i="15"/>
  <c r="F185" i="15"/>
  <c r="F184" i="15"/>
  <c r="F177" i="15"/>
  <c r="F173" i="15"/>
  <c r="F169" i="15"/>
  <c r="F168" i="15"/>
  <c r="F178" i="15"/>
  <c r="F125" i="15"/>
  <c r="F202" i="15"/>
  <c r="F200" i="15"/>
  <c r="F170" i="15"/>
  <c r="L12" i="15"/>
  <c r="N12" i="15" s="1"/>
  <c r="F239" i="15"/>
  <c r="F149" i="15"/>
  <c r="F145" i="15"/>
  <c r="F141" i="15"/>
  <c r="F230" i="15"/>
  <c r="F223" i="15"/>
  <c r="F154" i="15"/>
  <c r="F137" i="15"/>
  <c r="F121" i="15"/>
  <c r="F259" i="15"/>
  <c r="F160" i="15"/>
  <c r="F109" i="15"/>
  <c r="F191" i="15"/>
  <c r="F133" i="15"/>
  <c r="F117" i="15"/>
  <c r="F201" i="15"/>
  <c r="F199" i="15"/>
  <c r="F174" i="15"/>
  <c r="F240" i="15"/>
  <c r="F164" i="15"/>
  <c r="F224" i="15"/>
  <c r="F129" i="15"/>
  <c r="F105" i="15"/>
  <c r="F113" i="15"/>
  <c r="F192" i="15"/>
  <c r="X18" i="47"/>
  <c r="P27" i="47"/>
  <c r="T27" i="52"/>
  <c r="Z18" i="52"/>
  <c r="D27" i="49"/>
  <c r="L18" i="49"/>
  <c r="T27" i="44"/>
  <c r="Z18" i="44"/>
  <c r="H27" i="17"/>
  <c r="N18" i="17"/>
  <c r="L18" i="25"/>
  <c r="D27" i="25"/>
  <c r="L18" i="5"/>
  <c r="D27" i="5"/>
  <c r="T130" i="24"/>
  <c r="R89" i="98"/>
  <c r="R83" i="98"/>
  <c r="R72" i="98"/>
  <c r="R71" i="98"/>
  <c r="R43" i="98"/>
  <c r="R39" i="98"/>
  <c r="R84" i="98"/>
  <c r="R78" i="98"/>
  <c r="R66" i="98"/>
  <c r="R59" i="98"/>
  <c r="R58" i="98"/>
  <c r="R51" i="98"/>
  <c r="R50" i="98"/>
  <c r="R34" i="98"/>
  <c r="R30" i="98"/>
  <c r="R74" i="98"/>
  <c r="R73" i="98"/>
  <c r="R26" i="98"/>
  <c r="R21" i="98"/>
  <c r="R61" i="98"/>
  <c r="R60" i="98"/>
  <c r="R53" i="98"/>
  <c r="R52" i="98"/>
  <c r="R44" i="98"/>
  <c r="R40" i="98"/>
  <c r="R25" i="98"/>
  <c r="R23" i="98"/>
  <c r="R85" i="98"/>
  <c r="R79" i="98"/>
  <c r="R75" i="98"/>
  <c r="R68" i="98"/>
  <c r="R67" i="98"/>
  <c r="R36" i="98"/>
  <c r="R35" i="98"/>
  <c r="R31" i="98"/>
  <c r="R27" i="98"/>
  <c r="P23" i="98"/>
  <c r="R62" i="98"/>
  <c r="R54" i="98"/>
  <c r="R86" i="98"/>
  <c r="R69" i="98"/>
  <c r="R45" i="98"/>
  <c r="R41" i="98"/>
  <c r="R37" i="98"/>
  <c r="R18" i="98"/>
  <c r="R80" i="98"/>
  <c r="R76" i="98"/>
  <c r="R32" i="98"/>
  <c r="R28" i="98"/>
  <c r="X12" i="98"/>
  <c r="Z12" i="98" s="1"/>
  <c r="R64" i="98"/>
  <c r="R63" i="98"/>
  <c r="R55" i="98"/>
  <c r="R87" i="98"/>
  <c r="R82" i="98"/>
  <c r="R81" i="98"/>
  <c r="R77" i="98"/>
  <c r="R65" i="98"/>
  <c r="R33" i="98"/>
  <c r="R29" i="98"/>
  <c r="R46" i="98"/>
  <c r="R20" i="98"/>
  <c r="R70" i="98"/>
  <c r="R47" i="98"/>
  <c r="R49" i="98"/>
  <c r="R57" i="98"/>
  <c r="R38" i="98"/>
  <c r="R19" i="98"/>
  <c r="R48" i="98"/>
  <c r="R42" i="98"/>
  <c r="R93" i="98"/>
  <c r="R56" i="98"/>
  <c r="R88" i="102"/>
  <c r="R87" i="102"/>
  <c r="R49" i="102"/>
  <c r="R48" i="102"/>
  <c r="R20" i="102"/>
  <c r="R67" i="102"/>
  <c r="R60" i="102"/>
  <c r="R59" i="102"/>
  <c r="R43" i="102"/>
  <c r="R39" i="102"/>
  <c r="R79" i="102"/>
  <c r="R78" i="102"/>
  <c r="R74" i="102"/>
  <c r="R51" i="102"/>
  <c r="R50" i="102"/>
  <c r="R34" i="102"/>
  <c r="R30" i="102"/>
  <c r="R62" i="102"/>
  <c r="R61" i="102"/>
  <c r="R92" i="102"/>
  <c r="R80" i="102"/>
  <c r="R69" i="102"/>
  <c r="R68" i="102"/>
  <c r="R53" i="102"/>
  <c r="R52" i="102"/>
  <c r="R44" i="102"/>
  <c r="R40" i="102"/>
  <c r="R25" i="102"/>
  <c r="R23" i="102"/>
  <c r="R75" i="102"/>
  <c r="R63" i="102"/>
  <c r="R70" i="102"/>
  <c r="R54" i="102"/>
  <c r="R82" i="102"/>
  <c r="R81" i="102"/>
  <c r="R45" i="102"/>
  <c r="R41" i="102"/>
  <c r="R37" i="102"/>
  <c r="R18" i="102"/>
  <c r="R76" i="102"/>
  <c r="R64" i="102"/>
  <c r="R32" i="102"/>
  <c r="R28" i="102"/>
  <c r="X12" i="102"/>
  <c r="Z12" i="102" s="1"/>
  <c r="R47" i="102"/>
  <c r="R46" i="102"/>
  <c r="R42" i="102"/>
  <c r="R38" i="102"/>
  <c r="R85" i="102"/>
  <c r="R83" i="102"/>
  <c r="R56" i="102"/>
  <c r="R21" i="102"/>
  <c r="R65" i="102"/>
  <c r="R19" i="102"/>
  <c r="R36" i="102"/>
  <c r="R84" i="102"/>
  <c r="R73" i="102"/>
  <c r="R71" i="102"/>
  <c r="R57" i="102"/>
  <c r="R26" i="102"/>
  <c r="R77" i="102"/>
  <c r="R66" i="102"/>
  <c r="R55" i="102"/>
  <c r="P23" i="102"/>
  <c r="R27" i="102"/>
  <c r="R29" i="102"/>
  <c r="R31" i="102"/>
  <c r="R33" i="102"/>
  <c r="R72" i="102"/>
  <c r="R35" i="102"/>
  <c r="R58" i="102"/>
  <c r="F76" i="102"/>
  <c r="F64" i="102"/>
  <c r="F32" i="102"/>
  <c r="F28" i="102"/>
  <c r="L12" i="102"/>
  <c r="N12" i="102" s="1"/>
  <c r="F83" i="102"/>
  <c r="F82" i="102"/>
  <c r="F71" i="102"/>
  <c r="F55" i="102"/>
  <c r="F19" i="102"/>
  <c r="F18" i="102"/>
  <c r="F46" i="102"/>
  <c r="F42" i="102"/>
  <c r="F38" i="102"/>
  <c r="F85" i="102"/>
  <c r="F84" i="102"/>
  <c r="F77" i="102"/>
  <c r="F73" i="102"/>
  <c r="F72" i="102"/>
  <c r="F65" i="102"/>
  <c r="F57" i="102"/>
  <c r="F56" i="102"/>
  <c r="F48" i="102"/>
  <c r="F47" i="102"/>
  <c r="F20" i="102"/>
  <c r="F88" i="102"/>
  <c r="F67" i="102"/>
  <c r="F66" i="102"/>
  <c r="F59" i="102"/>
  <c r="F58" i="102"/>
  <c r="F87" i="102"/>
  <c r="F78" i="102"/>
  <c r="F74" i="102"/>
  <c r="F50" i="102"/>
  <c r="F49" i="102"/>
  <c r="F34" i="102"/>
  <c r="F30" i="102"/>
  <c r="F61" i="102"/>
  <c r="F60" i="102"/>
  <c r="F21" i="102"/>
  <c r="F92" i="102"/>
  <c r="F80" i="102"/>
  <c r="F79" i="102"/>
  <c r="F68" i="102"/>
  <c r="F52" i="102"/>
  <c r="F51" i="102"/>
  <c r="F44" i="102"/>
  <c r="F40" i="102"/>
  <c r="F70" i="102"/>
  <c r="F69" i="102"/>
  <c r="F54" i="102"/>
  <c r="F53" i="102"/>
  <c r="F25" i="102"/>
  <c r="F62" i="102"/>
  <c r="F26" i="102"/>
  <c r="F81" i="102"/>
  <c r="F43" i="102"/>
  <c r="F41" i="102"/>
  <c r="F27" i="102"/>
  <c r="F35" i="102"/>
  <c r="F33" i="102"/>
  <c r="F31" i="102"/>
  <c r="F29" i="102"/>
  <c r="F63" i="102"/>
  <c r="F45" i="102"/>
  <c r="F36" i="102"/>
  <c r="F75" i="102"/>
  <c r="F39" i="102"/>
  <c r="D23" i="102"/>
  <c r="F37" i="102"/>
  <c r="P93" i="92"/>
  <c r="R20" i="86"/>
  <c r="T131" i="85"/>
  <c r="L22" i="80"/>
  <c r="N22" i="80" s="1"/>
  <c r="D81" i="80"/>
  <c r="T107" i="77"/>
  <c r="Z56" i="77"/>
  <c r="H86" i="81"/>
  <c r="P109" i="64"/>
  <c r="X105" i="64"/>
  <c r="T62" i="61"/>
  <c r="Z16" i="61"/>
  <c r="T107" i="51"/>
  <c r="X17" i="48"/>
  <c r="X16" i="54"/>
  <c r="P22" i="54"/>
  <c r="R77" i="45"/>
  <c r="R76" i="45"/>
  <c r="R92" i="45"/>
  <c r="R91" i="45"/>
  <c r="R87" i="45"/>
  <c r="R83" i="45"/>
  <c r="R72" i="45"/>
  <c r="R71" i="45"/>
  <c r="R60" i="45"/>
  <c r="R59" i="45"/>
  <c r="R104" i="45"/>
  <c r="R78" i="45"/>
  <c r="R94" i="45"/>
  <c r="R93" i="45"/>
  <c r="R73" i="45"/>
  <c r="R62" i="45"/>
  <c r="R61" i="45"/>
  <c r="R88" i="45"/>
  <c r="R84" i="45"/>
  <c r="R96" i="45"/>
  <c r="R95" i="45"/>
  <c r="R79" i="45"/>
  <c r="R64" i="45"/>
  <c r="R63" i="45"/>
  <c r="R74" i="45"/>
  <c r="R97" i="45"/>
  <c r="R89" i="45"/>
  <c r="R85" i="45"/>
  <c r="R66" i="45"/>
  <c r="R65" i="45"/>
  <c r="R80" i="45"/>
  <c r="R98" i="45"/>
  <c r="R90" i="45"/>
  <c r="R86" i="45"/>
  <c r="R69" i="45"/>
  <c r="R55" i="45"/>
  <c r="R54" i="45"/>
  <c r="R39" i="45"/>
  <c r="R38" i="45"/>
  <c r="R34" i="45"/>
  <c r="R30" i="45"/>
  <c r="R21" i="45"/>
  <c r="R67" i="45"/>
  <c r="R56" i="45"/>
  <c r="R48" i="45"/>
  <c r="R44" i="45"/>
  <c r="R40" i="45"/>
  <c r="X12" i="45"/>
  <c r="Z12" i="45" s="1"/>
  <c r="R82" i="45"/>
  <c r="R57" i="45"/>
  <c r="R35" i="45"/>
  <c r="R31" i="45"/>
  <c r="R22" i="45"/>
  <c r="R68" i="45"/>
  <c r="R50" i="45"/>
  <c r="R49" i="45"/>
  <c r="R45" i="45"/>
  <c r="R41" i="45"/>
  <c r="R75" i="45"/>
  <c r="R70" i="45"/>
  <c r="R36" i="45"/>
  <c r="R32" i="45"/>
  <c r="R58" i="45"/>
  <c r="R46" i="45"/>
  <c r="R42" i="45"/>
  <c r="R27" i="45"/>
  <c r="R81" i="45"/>
  <c r="R53" i="45"/>
  <c r="R37" i="45"/>
  <c r="R33" i="45"/>
  <c r="R29" i="45"/>
  <c r="P25" i="45"/>
  <c r="R25" i="45" s="1"/>
  <c r="R23" i="45"/>
  <c r="R43" i="45"/>
  <c r="R100" i="45"/>
  <c r="R47" i="45"/>
  <c r="R20" i="45"/>
  <c r="R51" i="45"/>
  <c r="R28" i="45"/>
  <c r="R52" i="45"/>
  <c r="T106" i="45"/>
  <c r="V102" i="45"/>
  <c r="P136" i="36"/>
  <c r="X31" i="36"/>
  <c r="Z31" i="36" s="1"/>
  <c r="H274" i="12"/>
  <c r="X18" i="111"/>
  <c r="P27" i="111"/>
  <c r="L18" i="46"/>
  <c r="D27" i="46"/>
  <c r="T27" i="38"/>
  <c r="Z18" i="38"/>
  <c r="H27" i="31"/>
  <c r="N18" i="31"/>
  <c r="L18" i="26"/>
  <c r="D27" i="26"/>
  <c r="H27" i="16"/>
  <c r="N18" i="16"/>
  <c r="T27" i="19"/>
  <c r="Z18" i="19"/>
  <c r="L18" i="7"/>
  <c r="D27" i="7"/>
  <c r="T27" i="11"/>
  <c r="Z18" i="11"/>
  <c r="X18" i="7"/>
  <c r="P27" i="7"/>
  <c r="F65" i="105"/>
  <c r="F55" i="105"/>
  <c r="F54" i="105"/>
  <c r="F56" i="105"/>
  <c r="F59" i="105"/>
  <c r="F58" i="105"/>
  <c r="F51" i="105"/>
  <c r="F50" i="105"/>
  <c r="F43" i="105"/>
  <c r="F39" i="105"/>
  <c r="F52" i="105"/>
  <c r="F38" i="105"/>
  <c r="F20" i="105"/>
  <c r="F47" i="105"/>
  <c r="F34" i="105"/>
  <c r="F30" i="105"/>
  <c r="F61" i="105"/>
  <c r="F21" i="105"/>
  <c r="F48" i="105"/>
  <c r="F49" i="105"/>
  <c r="F35" i="105"/>
  <c r="F31" i="105"/>
  <c r="F27" i="105"/>
  <c r="F26" i="105"/>
  <c r="F57" i="105"/>
  <c r="F36" i="105"/>
  <c r="F25" i="105"/>
  <c r="F40" i="105"/>
  <c r="D23" i="105"/>
  <c r="F44" i="105"/>
  <c r="F32" i="105"/>
  <c r="F28" i="105"/>
  <c r="L12" i="105"/>
  <c r="N12" i="105" s="1"/>
  <c r="F41" i="105"/>
  <c r="F45" i="105"/>
  <c r="F33" i="105"/>
  <c r="F29" i="105"/>
  <c r="F42" i="105"/>
  <c r="F19" i="105"/>
  <c r="F37" i="105"/>
  <c r="F53" i="105"/>
  <c r="F18" i="105"/>
  <c r="F46" i="105"/>
  <c r="H36" i="86"/>
  <c r="D122" i="27"/>
  <c r="L57" i="27"/>
  <c r="N57" i="27" s="1"/>
  <c r="H314" i="3"/>
  <c r="T70" i="110"/>
  <c r="V17" i="110"/>
  <c r="P63" i="103"/>
  <c r="X16" i="103"/>
  <c r="R86" i="104"/>
  <c r="R78" i="104"/>
  <c r="R74" i="104"/>
  <c r="R34" i="104"/>
  <c r="R30" i="104"/>
  <c r="R44" i="104"/>
  <c r="R40" i="104"/>
  <c r="R80" i="104"/>
  <c r="R79" i="104"/>
  <c r="R75" i="104"/>
  <c r="R64" i="104"/>
  <c r="R63" i="104"/>
  <c r="R52" i="104"/>
  <c r="R51" i="104"/>
  <c r="R35" i="104"/>
  <c r="R31" i="104"/>
  <c r="R27" i="104"/>
  <c r="P23" i="104"/>
  <c r="R92" i="104"/>
  <c r="R70" i="104"/>
  <c r="R82" i="104"/>
  <c r="R81" i="104"/>
  <c r="R65" i="104"/>
  <c r="R54" i="104"/>
  <c r="R53" i="104"/>
  <c r="R45" i="104"/>
  <c r="R41" i="104"/>
  <c r="R76" i="104"/>
  <c r="R37" i="104"/>
  <c r="R36" i="104"/>
  <c r="R32" i="104"/>
  <c r="R28" i="104"/>
  <c r="R84" i="104"/>
  <c r="R83" i="104"/>
  <c r="R72" i="104"/>
  <c r="R71" i="104"/>
  <c r="R56" i="104"/>
  <c r="R55" i="104"/>
  <c r="R19" i="104"/>
  <c r="R67" i="104"/>
  <c r="R68" i="104"/>
  <c r="R20" i="104"/>
  <c r="R60" i="104"/>
  <c r="R59" i="104"/>
  <c r="R48" i="104"/>
  <c r="R47" i="104"/>
  <c r="R43" i="104"/>
  <c r="R39" i="104"/>
  <c r="R61" i="104"/>
  <c r="R46" i="104"/>
  <c r="R42" i="104"/>
  <c r="R21" i="104"/>
  <c r="R69" i="104"/>
  <c r="R26" i="104"/>
  <c r="R57" i="104"/>
  <c r="R73" i="104"/>
  <c r="R62" i="104"/>
  <c r="R49" i="104"/>
  <c r="R23" i="104"/>
  <c r="R66" i="104"/>
  <c r="R58" i="104"/>
  <c r="R33" i="104"/>
  <c r="R29" i="104"/>
  <c r="X12" i="104"/>
  <c r="Z12" i="104" s="1"/>
  <c r="R85" i="104"/>
  <c r="R77" i="104"/>
  <c r="R50" i="104"/>
  <c r="R38" i="104"/>
  <c r="R88" i="104"/>
  <c r="R25" i="104"/>
  <c r="R18" i="104"/>
  <c r="H45" i="99"/>
  <c r="N41" i="99"/>
  <c r="D75" i="101"/>
  <c r="L22" i="101"/>
  <c r="N53" i="100"/>
  <c r="H57" i="100"/>
  <c r="Z41" i="99"/>
  <c r="T45" i="99"/>
  <c r="X22" i="96"/>
  <c r="Z22" i="96" s="1"/>
  <c r="P99" i="96"/>
  <c r="R68" i="94"/>
  <c r="R64" i="94"/>
  <c r="R57" i="94"/>
  <c r="R56" i="94"/>
  <c r="R73" i="94"/>
  <c r="R72" i="94"/>
  <c r="R61" i="94"/>
  <c r="R60" i="94"/>
  <c r="R53" i="94"/>
  <c r="R52" i="94"/>
  <c r="R44" i="94"/>
  <c r="R40" i="94"/>
  <c r="R76" i="94"/>
  <c r="R54" i="94"/>
  <c r="R31" i="94"/>
  <c r="R27" i="94"/>
  <c r="P23" i="94"/>
  <c r="R23" i="94" s="1"/>
  <c r="R77" i="94"/>
  <c r="R59" i="94"/>
  <c r="R55" i="94"/>
  <c r="R39" i="94"/>
  <c r="R71" i="94"/>
  <c r="R67" i="94"/>
  <c r="R50" i="94"/>
  <c r="R45" i="94"/>
  <c r="R42" i="94"/>
  <c r="R35" i="94"/>
  <c r="R51" i="94"/>
  <c r="R36" i="94"/>
  <c r="R19" i="94"/>
  <c r="R46" i="94"/>
  <c r="R65" i="94"/>
  <c r="R47" i="94"/>
  <c r="R43" i="94"/>
  <c r="R37" i="94"/>
  <c r="R33" i="94"/>
  <c r="R29" i="94"/>
  <c r="R32" i="94"/>
  <c r="R74" i="94"/>
  <c r="R70" i="94"/>
  <c r="R49" i="94"/>
  <c r="R30" i="94"/>
  <c r="R66" i="94"/>
  <c r="R41" i="94"/>
  <c r="R25" i="94"/>
  <c r="R20" i="94"/>
  <c r="R81" i="94"/>
  <c r="R62" i="94"/>
  <c r="R58" i="94"/>
  <c r="R28" i="94"/>
  <c r="R26" i="94"/>
  <c r="R18" i="94"/>
  <c r="R38" i="94"/>
  <c r="R21" i="94"/>
  <c r="R63" i="94"/>
  <c r="R69" i="94"/>
  <c r="R48" i="94"/>
  <c r="X12" i="94"/>
  <c r="Z12" i="94" s="1"/>
  <c r="R34" i="94"/>
  <c r="F66" i="93"/>
  <c r="F65" i="93"/>
  <c r="F42" i="93"/>
  <c r="F38" i="93"/>
  <c r="F77" i="93"/>
  <c r="F76" i="93"/>
  <c r="F57" i="93"/>
  <c r="F56" i="93"/>
  <c r="F49" i="93"/>
  <c r="F48" i="93"/>
  <c r="F34" i="93"/>
  <c r="F30" i="93"/>
  <c r="F26" i="93"/>
  <c r="F73" i="93"/>
  <c r="F81" i="93"/>
  <c r="F68" i="93"/>
  <c r="F85" i="93"/>
  <c r="F79" i="93"/>
  <c r="F69" i="93"/>
  <c r="F63" i="93"/>
  <c r="F53" i="93"/>
  <c r="F60" i="93"/>
  <c r="F44" i="93"/>
  <c r="F74" i="93"/>
  <c r="F61" i="93"/>
  <c r="F41" i="93"/>
  <c r="F20" i="93"/>
  <c r="F72" i="93"/>
  <c r="F70" i="93"/>
  <c r="F67" i="93"/>
  <c r="F64" i="93"/>
  <c r="F25" i="93"/>
  <c r="F45" i="93"/>
  <c r="F35" i="93"/>
  <c r="F24" i="93"/>
  <c r="F54" i="93"/>
  <c r="F50" i="93"/>
  <c r="F39" i="93"/>
  <c r="F32" i="93"/>
  <c r="F29" i="93"/>
  <c r="D22" i="93"/>
  <c r="F22" i="93" s="1"/>
  <c r="F36" i="93"/>
  <c r="F78" i="93"/>
  <c r="F75" i="93"/>
  <c r="F62" i="93"/>
  <c r="F58" i="93"/>
  <c r="F51" i="93"/>
  <c r="F46" i="93"/>
  <c r="F47" i="93"/>
  <c r="F33" i="93"/>
  <c r="F59" i="93"/>
  <c r="F52" i="93"/>
  <c r="F37" i="93"/>
  <c r="F27" i="93"/>
  <c r="F18" i="93"/>
  <c r="L12" i="93"/>
  <c r="N12" i="93" s="1"/>
  <c r="F43" i="93"/>
  <c r="F31" i="93"/>
  <c r="F19" i="93"/>
  <c r="F40" i="93"/>
  <c r="F28" i="93"/>
  <c r="F71" i="93"/>
  <c r="F55" i="93"/>
  <c r="L24" i="79"/>
  <c r="D71" i="79"/>
  <c r="R94" i="84"/>
  <c r="R83" i="84"/>
  <c r="R79" i="84"/>
  <c r="R67" i="84"/>
  <c r="R56" i="84"/>
  <c r="R55" i="84"/>
  <c r="R48" i="84"/>
  <c r="R47" i="84"/>
  <c r="R19" i="84"/>
  <c r="R42" i="84"/>
  <c r="R38" i="84"/>
  <c r="X12" i="84"/>
  <c r="Z12" i="84" s="1"/>
  <c r="R73" i="84"/>
  <c r="R58" i="84"/>
  <c r="R57" i="84"/>
  <c r="R50" i="84"/>
  <c r="R49" i="84"/>
  <c r="R33" i="84"/>
  <c r="R29" i="84"/>
  <c r="R85" i="84"/>
  <c r="R84" i="84"/>
  <c r="R80" i="84"/>
  <c r="R68" i="84"/>
  <c r="R25" i="84"/>
  <c r="R20" i="84"/>
  <c r="R60" i="84"/>
  <c r="R59" i="84"/>
  <c r="R52" i="84"/>
  <c r="R51" i="84"/>
  <c r="R43" i="84"/>
  <c r="R39" i="84"/>
  <c r="R24" i="84"/>
  <c r="R87" i="84"/>
  <c r="R86" i="84"/>
  <c r="R75" i="84"/>
  <c r="R74" i="84"/>
  <c r="R98" i="84"/>
  <c r="R81" i="84"/>
  <c r="R70" i="84"/>
  <c r="R69" i="84"/>
  <c r="R62" i="84"/>
  <c r="R61" i="84"/>
  <c r="R53" i="84"/>
  <c r="R89" i="84"/>
  <c r="R88" i="84"/>
  <c r="R77" i="84"/>
  <c r="R76" i="84"/>
  <c r="R71" i="84"/>
  <c r="R64" i="84"/>
  <c r="R63" i="84"/>
  <c r="R31" i="84"/>
  <c r="R27" i="84"/>
  <c r="R91" i="84"/>
  <c r="R65" i="84"/>
  <c r="R54" i="84"/>
  <c r="R72" i="84"/>
  <c r="R45" i="84"/>
  <c r="R37" i="84"/>
  <c r="R34" i="84"/>
  <c r="P22" i="84"/>
  <c r="R40" i="84"/>
  <c r="R32" i="84"/>
  <c r="R35" i="84"/>
  <c r="R30" i="84"/>
  <c r="R28" i="84"/>
  <c r="R17" i="84"/>
  <c r="R66" i="84"/>
  <c r="R26" i="84"/>
  <c r="R46" i="84"/>
  <c r="R92" i="84"/>
  <c r="R90" i="84"/>
  <c r="R44" i="84"/>
  <c r="R41" i="84"/>
  <c r="R36" i="84"/>
  <c r="R18" i="84"/>
  <c r="R78" i="84"/>
  <c r="R82" i="84"/>
  <c r="T93" i="74"/>
  <c r="Z54" i="74"/>
  <c r="N16" i="61"/>
  <c r="H62" i="61"/>
  <c r="J17" i="48"/>
  <c r="H71" i="59"/>
  <c r="N16" i="59"/>
  <c r="P74" i="48"/>
  <c r="F108" i="42"/>
  <c r="F104" i="42"/>
  <c r="F80" i="42"/>
  <c r="F79" i="42"/>
  <c r="F40" i="42"/>
  <c r="F36" i="42"/>
  <c r="F124" i="42"/>
  <c r="F115" i="42"/>
  <c r="F114" i="42"/>
  <c r="F99" i="42"/>
  <c r="F98" i="42"/>
  <c r="F87" i="42"/>
  <c r="F71" i="42"/>
  <c r="F70" i="42"/>
  <c r="F63" i="42"/>
  <c r="F27" i="42"/>
  <c r="F125" i="42"/>
  <c r="F123" i="42"/>
  <c r="F94" i="42"/>
  <c r="F82" i="42"/>
  <c r="F81" i="42"/>
  <c r="F54" i="42"/>
  <c r="F50" i="42"/>
  <c r="F46" i="42"/>
  <c r="F126" i="42"/>
  <c r="F117" i="42"/>
  <c r="F116" i="42"/>
  <c r="F109" i="42"/>
  <c r="F105" i="42"/>
  <c r="F101" i="42"/>
  <c r="F100" i="42"/>
  <c r="F89" i="42"/>
  <c r="F88" i="42"/>
  <c r="F73" i="42"/>
  <c r="F72" i="42"/>
  <c r="F41" i="42"/>
  <c r="F37" i="42"/>
  <c r="F127" i="42"/>
  <c r="F84" i="42"/>
  <c r="F83" i="42"/>
  <c r="F64" i="42"/>
  <c r="F56" i="42"/>
  <c r="F55" i="42"/>
  <c r="F28" i="42"/>
  <c r="F95" i="42"/>
  <c r="F51" i="42"/>
  <c r="F47" i="42"/>
  <c r="F118" i="42"/>
  <c r="F110" i="42"/>
  <c r="F106" i="42"/>
  <c r="F102" i="42"/>
  <c r="F90" i="42"/>
  <c r="F74" i="42"/>
  <c r="F58" i="42"/>
  <c r="F57" i="42"/>
  <c r="F42" i="42"/>
  <c r="F38" i="42"/>
  <c r="F34" i="42"/>
  <c r="F33" i="42"/>
  <c r="F112" i="42"/>
  <c r="F111" i="42"/>
  <c r="F96" i="42"/>
  <c r="F76" i="42"/>
  <c r="F75" i="42"/>
  <c r="F60" i="42"/>
  <c r="F59" i="42"/>
  <c r="F52" i="42"/>
  <c r="F48" i="42"/>
  <c r="D30" i="42"/>
  <c r="F119" i="42"/>
  <c r="F107" i="42"/>
  <c r="F103" i="42"/>
  <c r="F91" i="42"/>
  <c r="F67" i="42"/>
  <c r="F66" i="42"/>
  <c r="F43" i="42"/>
  <c r="F39" i="42"/>
  <c r="F35" i="42"/>
  <c r="F86" i="42"/>
  <c r="F78" i="42"/>
  <c r="F77" i="42"/>
  <c r="F62" i="42"/>
  <c r="F61" i="42"/>
  <c r="F26" i="42"/>
  <c r="F25" i="42"/>
  <c r="L12" i="42"/>
  <c r="N12" i="42" s="1"/>
  <c r="F121" i="42"/>
  <c r="F113" i="42"/>
  <c r="F131" i="42"/>
  <c r="F49" i="42"/>
  <c r="F65" i="42"/>
  <c r="F30" i="42"/>
  <c r="F93" i="42"/>
  <c r="F69" i="42"/>
  <c r="F44" i="42"/>
  <c r="F53" i="42"/>
  <c r="F120" i="42"/>
  <c r="F97" i="42"/>
  <c r="F68" i="42"/>
  <c r="F45" i="42"/>
  <c r="F92" i="42"/>
  <c r="F85" i="42"/>
  <c r="F32" i="42"/>
  <c r="T143" i="36"/>
  <c r="L36" i="39"/>
  <c r="N36" i="39" s="1"/>
  <c r="D142" i="39"/>
  <c r="R69" i="33"/>
  <c r="R68" i="33"/>
  <c r="R32" i="33"/>
  <c r="R92" i="33"/>
  <c r="R91" i="33"/>
  <c r="R80" i="33"/>
  <c r="R79" i="33"/>
  <c r="R59" i="33"/>
  <c r="R55" i="33"/>
  <c r="R51" i="33"/>
  <c r="R106" i="33"/>
  <c r="R86" i="33"/>
  <c r="R71" i="33"/>
  <c r="R70" i="33"/>
  <c r="R46" i="33"/>
  <c r="R42" i="33"/>
  <c r="R93" i="33"/>
  <c r="R81" i="33"/>
  <c r="R33" i="33"/>
  <c r="R96" i="33"/>
  <c r="R95" i="33"/>
  <c r="R72" i="33"/>
  <c r="R61" i="33"/>
  <c r="R60" i="33"/>
  <c r="R56" i="33"/>
  <c r="R52" i="33"/>
  <c r="R97" i="33"/>
  <c r="R87" i="33"/>
  <c r="R47" i="33"/>
  <c r="R43" i="33"/>
  <c r="R98" i="33"/>
  <c r="R83" i="33"/>
  <c r="R82" i="33"/>
  <c r="R63" i="33"/>
  <c r="R62" i="33"/>
  <c r="R34" i="33"/>
  <c r="R99" i="33"/>
  <c r="R74" i="33"/>
  <c r="R73" i="33"/>
  <c r="R57" i="33"/>
  <c r="R53" i="33"/>
  <c r="R30" i="33"/>
  <c r="R100" i="33"/>
  <c r="R89" i="33"/>
  <c r="R88" i="33"/>
  <c r="R84" i="33"/>
  <c r="R65" i="33"/>
  <c r="R64" i="33"/>
  <c r="R48" i="33"/>
  <c r="R44" i="33"/>
  <c r="X12" i="33"/>
  <c r="Z12" i="33" s="1"/>
  <c r="R101" i="33"/>
  <c r="R76" i="33"/>
  <c r="R75" i="33"/>
  <c r="R40" i="33"/>
  <c r="R35" i="33"/>
  <c r="R31" i="33"/>
  <c r="R102" i="33"/>
  <c r="R90" i="33"/>
  <c r="R67" i="33"/>
  <c r="R66" i="33"/>
  <c r="R58" i="33"/>
  <c r="R54" i="33"/>
  <c r="R39" i="33"/>
  <c r="R37" i="33"/>
  <c r="R41" i="33"/>
  <c r="R50" i="33"/>
  <c r="R85" i="33"/>
  <c r="R78" i="33"/>
  <c r="R45" i="33"/>
  <c r="P37" i="33"/>
  <c r="R49" i="33"/>
  <c r="R77" i="33"/>
  <c r="V75" i="24"/>
  <c r="L16" i="9"/>
  <c r="D99" i="9"/>
  <c r="H27" i="111"/>
  <c r="N18" i="111"/>
  <c r="L18" i="111"/>
  <c r="D27" i="111"/>
  <c r="X18" i="113"/>
  <c r="P27" i="113"/>
  <c r="X18" i="46"/>
  <c r="P27" i="46"/>
  <c r="H27" i="46"/>
  <c r="N18" i="46"/>
  <c r="L18" i="40"/>
  <c r="D27" i="40"/>
  <c r="T27" i="43"/>
  <c r="Z18" i="43"/>
  <c r="X18" i="41"/>
  <c r="P27" i="41"/>
  <c r="X18" i="34"/>
  <c r="P27" i="34"/>
  <c r="L18" i="29"/>
  <c r="D27" i="29"/>
  <c r="T27" i="22"/>
  <c r="Z18" i="22"/>
  <c r="T27" i="17"/>
  <c r="Z18" i="17"/>
  <c r="L18" i="8"/>
  <c r="D27" i="8"/>
  <c r="H119" i="69"/>
  <c r="N66" i="69"/>
  <c r="T68" i="60"/>
  <c r="T142" i="39"/>
  <c r="H27" i="50"/>
  <c r="N18" i="50"/>
  <c r="T84" i="73"/>
  <c r="Z16" i="9"/>
  <c r="T99" i="9"/>
  <c r="H27" i="53"/>
  <c r="N18" i="53"/>
  <c r="T27" i="37"/>
  <c r="Z18" i="37"/>
  <c r="V23" i="102"/>
  <c r="L53" i="100"/>
  <c r="D57" i="100"/>
  <c r="H85" i="89"/>
  <c r="J32" i="86"/>
  <c r="H32" i="83"/>
  <c r="R96" i="85"/>
  <c r="R95" i="85"/>
  <c r="R84" i="85"/>
  <c r="R83" i="85"/>
  <c r="R59" i="85"/>
  <c r="R55" i="85"/>
  <c r="R109" i="85"/>
  <c r="R97" i="85"/>
  <c r="R86" i="85"/>
  <c r="R85" i="85"/>
  <c r="R69" i="85"/>
  <c r="R65" i="85"/>
  <c r="R117" i="85"/>
  <c r="R116" i="85"/>
  <c r="R104" i="85"/>
  <c r="R76" i="85"/>
  <c r="R60" i="85"/>
  <c r="R56" i="85"/>
  <c r="R88" i="85"/>
  <c r="R87" i="85"/>
  <c r="R52" i="85"/>
  <c r="R106" i="85"/>
  <c r="R105" i="85"/>
  <c r="R90" i="85"/>
  <c r="R89" i="85"/>
  <c r="R78" i="85"/>
  <c r="R77" i="85"/>
  <c r="R62" i="85"/>
  <c r="R61" i="85"/>
  <c r="R57" i="85"/>
  <c r="R53" i="85"/>
  <c r="P49" i="85"/>
  <c r="R120" i="85"/>
  <c r="R100" i="85"/>
  <c r="R122" i="85"/>
  <c r="R112" i="85"/>
  <c r="R111" i="85"/>
  <c r="R107" i="85"/>
  <c r="R92" i="85"/>
  <c r="R91" i="85"/>
  <c r="R80" i="85"/>
  <c r="R79" i="85"/>
  <c r="R71" i="85"/>
  <c r="R67" i="85"/>
  <c r="R63" i="85"/>
  <c r="R113" i="85"/>
  <c r="R101" i="85"/>
  <c r="R94" i="85"/>
  <c r="R93" i="85"/>
  <c r="R82" i="85"/>
  <c r="R81" i="85"/>
  <c r="R115" i="85"/>
  <c r="R49" i="85"/>
  <c r="R39" i="85"/>
  <c r="X12" i="85"/>
  <c r="Z12" i="85" s="1"/>
  <c r="R36" i="85"/>
  <c r="R103" i="85"/>
  <c r="R74" i="85"/>
  <c r="R46" i="85"/>
  <c r="R33" i="85"/>
  <c r="R118" i="85"/>
  <c r="R51" i="85"/>
  <c r="R43" i="85"/>
  <c r="R119" i="85"/>
  <c r="R98" i="85"/>
  <c r="R40" i="85"/>
  <c r="R99" i="85"/>
  <c r="R75" i="85"/>
  <c r="R37" i="85"/>
  <c r="R34" i="85"/>
  <c r="R47" i="85"/>
  <c r="R44" i="85"/>
  <c r="R114" i="85"/>
  <c r="R72" i="85"/>
  <c r="R54" i="85"/>
  <c r="R41" i="85"/>
  <c r="R38" i="85"/>
  <c r="R45" i="85"/>
  <c r="R126" i="85"/>
  <c r="R73" i="85"/>
  <c r="R58" i="85"/>
  <c r="R102" i="85"/>
  <c r="R35" i="85"/>
  <c r="R108" i="85"/>
  <c r="R64" i="85"/>
  <c r="R42" i="85"/>
  <c r="R110" i="85"/>
  <c r="R70" i="85"/>
  <c r="R68" i="85"/>
  <c r="R66" i="85"/>
  <c r="H81" i="80"/>
  <c r="F88" i="77"/>
  <c r="F87" i="77"/>
  <c r="F52" i="77"/>
  <c r="F48" i="77"/>
  <c r="F44" i="77"/>
  <c r="F79" i="77"/>
  <c r="F75" i="77"/>
  <c r="F71" i="77"/>
  <c r="F70" i="77"/>
  <c r="F98" i="77"/>
  <c r="F90" i="77"/>
  <c r="F89" i="77"/>
  <c r="F66" i="77"/>
  <c r="F62" i="77"/>
  <c r="F53" i="77"/>
  <c r="F49" i="77"/>
  <c r="F45" i="77"/>
  <c r="F41" i="77"/>
  <c r="F40" i="77"/>
  <c r="F100" i="77"/>
  <c r="F99" i="77"/>
  <c r="F92" i="77"/>
  <c r="F91" i="77"/>
  <c r="F80" i="77"/>
  <c r="F76" i="77"/>
  <c r="F72" i="77"/>
  <c r="F104" i="77"/>
  <c r="F102" i="77"/>
  <c r="F77" i="77"/>
  <c r="F73" i="77"/>
  <c r="F105" i="77"/>
  <c r="F84" i="77"/>
  <c r="F83" i="77"/>
  <c r="F68" i="77"/>
  <c r="F64" i="77"/>
  <c r="F60" i="77"/>
  <c r="F59" i="77"/>
  <c r="F93" i="77"/>
  <c r="L12" i="77"/>
  <c r="N12" i="77" s="1"/>
  <c r="F42" i="77"/>
  <c r="F86" i="77"/>
  <c r="F58" i="77"/>
  <c r="F54" i="77"/>
  <c r="F47" i="77"/>
  <c r="F103" i="77"/>
  <c r="F96" i="77"/>
  <c r="F82" i="77"/>
  <c r="F67" i="77"/>
  <c r="F63" i="77"/>
  <c r="F94" i="77"/>
  <c r="F61" i="77"/>
  <c r="F50" i="77"/>
  <c r="F43" i="77"/>
  <c r="F109" i="77"/>
  <c r="F69" i="77"/>
  <c r="F65" i="77"/>
  <c r="F85" i="77"/>
  <c r="F78" i="77"/>
  <c r="D56" i="77"/>
  <c r="F56" i="77" s="1"/>
  <c r="F81" i="77"/>
  <c r="F74" i="77"/>
  <c r="F46" i="77"/>
  <c r="F95" i="77"/>
  <c r="F97" i="77"/>
  <c r="F51" i="77"/>
  <c r="D87" i="76"/>
  <c r="L29" i="76"/>
  <c r="N29" i="76" s="1"/>
  <c r="N16" i="68"/>
  <c r="H64" i="68"/>
  <c r="X54" i="74"/>
  <c r="P93" i="74"/>
  <c r="X16" i="61"/>
  <c r="N16" i="55"/>
  <c r="H31" i="55"/>
  <c r="L16" i="55"/>
  <c r="D31" i="55"/>
  <c r="P129" i="42"/>
  <c r="X30" i="42"/>
  <c r="F80" i="45"/>
  <c r="F75" i="45"/>
  <c r="F67" i="45"/>
  <c r="F66" i="45"/>
  <c r="F98" i="45"/>
  <c r="F90" i="45"/>
  <c r="F86" i="45"/>
  <c r="F81" i="45"/>
  <c r="F69" i="45"/>
  <c r="F68" i="45"/>
  <c r="F76" i="45"/>
  <c r="F100" i="45"/>
  <c r="F91" i="45"/>
  <c r="F87" i="45"/>
  <c r="F83" i="45"/>
  <c r="F82" i="45"/>
  <c r="F71" i="45"/>
  <c r="F70" i="45"/>
  <c r="F59" i="45"/>
  <c r="F104" i="45"/>
  <c r="F78" i="45"/>
  <c r="F77" i="45"/>
  <c r="F93" i="45"/>
  <c r="F92" i="45"/>
  <c r="F73" i="45"/>
  <c r="F72" i="45"/>
  <c r="F61" i="45"/>
  <c r="F60" i="45"/>
  <c r="F88" i="45"/>
  <c r="F84" i="45"/>
  <c r="F74" i="45"/>
  <c r="F97" i="45"/>
  <c r="F95" i="45"/>
  <c r="F46" i="45"/>
  <c r="F42" i="45"/>
  <c r="F53" i="45"/>
  <c r="F52" i="45"/>
  <c r="F37" i="45"/>
  <c r="F33" i="45"/>
  <c r="F29" i="45"/>
  <c r="F28" i="45"/>
  <c r="F65" i="45"/>
  <c r="F63" i="45"/>
  <c r="F27" i="45"/>
  <c r="F25" i="45"/>
  <c r="F47" i="45"/>
  <c r="F43" i="45"/>
  <c r="D25" i="45"/>
  <c r="F85" i="45"/>
  <c r="F54" i="45"/>
  <c r="F38" i="45"/>
  <c r="F34" i="45"/>
  <c r="F30" i="45"/>
  <c r="F21" i="45"/>
  <c r="F20" i="45"/>
  <c r="F96" i="45"/>
  <c r="F56" i="45"/>
  <c r="F55" i="45"/>
  <c r="F48" i="45"/>
  <c r="F44" i="45"/>
  <c r="F40" i="45"/>
  <c r="F39" i="45"/>
  <c r="L12" i="45"/>
  <c r="N12" i="45" s="1"/>
  <c r="F64" i="45"/>
  <c r="F22" i="45"/>
  <c r="F62" i="45"/>
  <c r="F57" i="45"/>
  <c r="F49" i="45"/>
  <c r="F45" i="45"/>
  <c r="F41" i="45"/>
  <c r="F79" i="45"/>
  <c r="F36" i="45"/>
  <c r="F32" i="45"/>
  <c r="F23" i="45"/>
  <c r="F50" i="45"/>
  <c r="F35" i="45"/>
  <c r="F94" i="45"/>
  <c r="F58" i="45"/>
  <c r="F51" i="45"/>
  <c r="F89" i="45"/>
  <c r="F31" i="45"/>
  <c r="F136" i="39"/>
  <c r="F99" i="33"/>
  <c r="F88" i="33"/>
  <c r="F84" i="33"/>
  <c r="F83" i="33"/>
  <c r="F64" i="33"/>
  <c r="F63" i="33"/>
  <c r="F48" i="33"/>
  <c r="F44" i="33"/>
  <c r="L12" i="33"/>
  <c r="N12" i="33" s="1"/>
  <c r="F100" i="33"/>
  <c r="F75" i="33"/>
  <c r="F74" i="33"/>
  <c r="F35" i="33"/>
  <c r="F31" i="33"/>
  <c r="F30" i="33"/>
  <c r="F101" i="33"/>
  <c r="F90" i="33"/>
  <c r="F89" i="33"/>
  <c r="F66" i="33"/>
  <c r="F65" i="33"/>
  <c r="F58" i="33"/>
  <c r="F54" i="33"/>
  <c r="F102" i="33"/>
  <c r="F85" i="33"/>
  <c r="F77" i="33"/>
  <c r="F76" i="33"/>
  <c r="F49" i="33"/>
  <c r="F45" i="33"/>
  <c r="F41" i="33"/>
  <c r="F40" i="33"/>
  <c r="F68" i="33"/>
  <c r="F67" i="33"/>
  <c r="F39" i="33"/>
  <c r="F37" i="33"/>
  <c r="F32" i="33"/>
  <c r="F91" i="33"/>
  <c r="F79" i="33"/>
  <c r="F78" i="33"/>
  <c r="F59" i="33"/>
  <c r="F55" i="33"/>
  <c r="F51" i="33"/>
  <c r="F50" i="33"/>
  <c r="D37" i="33"/>
  <c r="F106" i="33"/>
  <c r="F86" i="33"/>
  <c r="F70" i="33"/>
  <c r="F69" i="33"/>
  <c r="F46" i="33"/>
  <c r="F42" i="33"/>
  <c r="F93" i="33"/>
  <c r="F92" i="33"/>
  <c r="F81" i="33"/>
  <c r="F80" i="33"/>
  <c r="F33" i="33"/>
  <c r="F72" i="33"/>
  <c r="F71" i="33"/>
  <c r="F60" i="33"/>
  <c r="F56" i="33"/>
  <c r="F52" i="33"/>
  <c r="F96" i="33"/>
  <c r="F87" i="33"/>
  <c r="F47" i="33"/>
  <c r="F43" i="33"/>
  <c r="F97" i="33"/>
  <c r="F95" i="33"/>
  <c r="F82" i="33"/>
  <c r="F62" i="33"/>
  <c r="F61" i="33"/>
  <c r="F34" i="33"/>
  <c r="F73" i="33"/>
  <c r="F98" i="33"/>
  <c r="F53" i="33"/>
  <c r="F57" i="33"/>
  <c r="R145" i="30"/>
  <c r="R144" i="30"/>
  <c r="R137" i="30"/>
  <c r="R136" i="30"/>
  <c r="R132" i="30"/>
  <c r="R109" i="30"/>
  <c r="R108" i="30"/>
  <c r="R120" i="30"/>
  <c r="R119" i="30"/>
  <c r="R100" i="30"/>
  <c r="R99" i="30"/>
  <c r="R146" i="30"/>
  <c r="R138" i="30"/>
  <c r="R126" i="30"/>
  <c r="R111" i="30"/>
  <c r="R110" i="30"/>
  <c r="R149" i="30"/>
  <c r="R148" i="30"/>
  <c r="R133" i="30"/>
  <c r="R121" i="30"/>
  <c r="R102" i="30"/>
  <c r="R101" i="30"/>
  <c r="R150" i="30"/>
  <c r="R113" i="30"/>
  <c r="R112" i="30"/>
  <c r="R151" i="30"/>
  <c r="R140" i="30"/>
  <c r="R139" i="30"/>
  <c r="R128" i="30"/>
  <c r="R127" i="30"/>
  <c r="R104" i="30"/>
  <c r="R103" i="30"/>
  <c r="R142" i="30"/>
  <c r="R141" i="30"/>
  <c r="R129" i="30"/>
  <c r="R105" i="30"/>
  <c r="R117" i="30"/>
  <c r="R116" i="30"/>
  <c r="R97" i="30"/>
  <c r="R155" i="30"/>
  <c r="R143" i="30"/>
  <c r="R135" i="30"/>
  <c r="R124" i="30"/>
  <c r="R123" i="30"/>
  <c r="R131" i="30"/>
  <c r="R130" i="30"/>
  <c r="R118" i="30"/>
  <c r="R107" i="30"/>
  <c r="R106" i="30"/>
  <c r="R98" i="30"/>
  <c r="R87" i="30"/>
  <c r="R83" i="30"/>
  <c r="R68" i="30"/>
  <c r="R66" i="30"/>
  <c r="R94" i="30"/>
  <c r="R79" i="30"/>
  <c r="R78" i="30"/>
  <c r="R74" i="30"/>
  <c r="R70" i="30"/>
  <c r="P66" i="30"/>
  <c r="R114" i="30"/>
  <c r="R61" i="30"/>
  <c r="R57" i="30"/>
  <c r="R53" i="30"/>
  <c r="R49" i="30"/>
  <c r="R45" i="30"/>
  <c r="R95" i="30"/>
  <c r="R88" i="30"/>
  <c r="R84" i="30"/>
  <c r="R80" i="30"/>
  <c r="R125" i="30"/>
  <c r="R75" i="30"/>
  <c r="R71" i="30"/>
  <c r="R62" i="30"/>
  <c r="R58" i="30"/>
  <c r="R54" i="30"/>
  <c r="R50" i="30"/>
  <c r="R46" i="30"/>
  <c r="R134" i="30"/>
  <c r="R90" i="30"/>
  <c r="R89" i="30"/>
  <c r="R85" i="30"/>
  <c r="R81" i="30"/>
  <c r="R42" i="30"/>
  <c r="R96" i="30"/>
  <c r="R76" i="30"/>
  <c r="R72" i="30"/>
  <c r="X12" i="30"/>
  <c r="Z12" i="30" s="1"/>
  <c r="R122" i="30"/>
  <c r="R115" i="30"/>
  <c r="R92" i="30"/>
  <c r="R91" i="30"/>
  <c r="R63" i="30"/>
  <c r="R59" i="30"/>
  <c r="R55" i="30"/>
  <c r="R51" i="30"/>
  <c r="R47" i="30"/>
  <c r="R43" i="30"/>
  <c r="R86" i="30"/>
  <c r="R82" i="30"/>
  <c r="R93" i="30"/>
  <c r="R77" i="30"/>
  <c r="R73" i="30"/>
  <c r="R52" i="30"/>
  <c r="R56" i="30"/>
  <c r="R60" i="30"/>
  <c r="R69" i="30"/>
  <c r="R64" i="30"/>
  <c r="R48" i="30"/>
  <c r="R44" i="30"/>
  <c r="T261" i="15"/>
  <c r="Z154" i="15"/>
  <c r="R108" i="24"/>
  <c r="R107" i="24"/>
  <c r="R71" i="24"/>
  <c r="R67" i="24"/>
  <c r="R63" i="24"/>
  <c r="R59" i="24"/>
  <c r="R55" i="24"/>
  <c r="R126" i="24"/>
  <c r="R99" i="24"/>
  <c r="R98" i="24"/>
  <c r="R94" i="24"/>
  <c r="R90" i="24"/>
  <c r="R128" i="24"/>
  <c r="R118" i="24"/>
  <c r="R117" i="24"/>
  <c r="R110" i="24"/>
  <c r="R109" i="24"/>
  <c r="R85" i="24"/>
  <c r="R81" i="24"/>
  <c r="R101" i="24"/>
  <c r="R100" i="24"/>
  <c r="R72" i="24"/>
  <c r="R68" i="24"/>
  <c r="R64" i="24"/>
  <c r="R60" i="24"/>
  <c r="R56" i="24"/>
  <c r="R52" i="24"/>
  <c r="R120" i="24"/>
  <c r="R119" i="24"/>
  <c r="R112" i="24"/>
  <c r="R111" i="24"/>
  <c r="R95" i="24"/>
  <c r="R91" i="24"/>
  <c r="R132" i="24"/>
  <c r="R103" i="24"/>
  <c r="R102" i="24"/>
  <c r="R86" i="24"/>
  <c r="R82" i="24"/>
  <c r="R121" i="24"/>
  <c r="R113" i="24"/>
  <c r="R78" i="24"/>
  <c r="R104" i="24"/>
  <c r="R96" i="24"/>
  <c r="R92" i="24"/>
  <c r="R77" i="24"/>
  <c r="R88" i="24"/>
  <c r="R87" i="24"/>
  <c r="R83" i="24"/>
  <c r="R79" i="24"/>
  <c r="P75" i="24"/>
  <c r="R75" i="24" s="1"/>
  <c r="R123" i="24"/>
  <c r="R122" i="24"/>
  <c r="R115" i="24"/>
  <c r="R114" i="24"/>
  <c r="R70" i="24"/>
  <c r="R66" i="24"/>
  <c r="R62" i="24"/>
  <c r="R58" i="24"/>
  <c r="R54" i="24"/>
  <c r="R106" i="24"/>
  <c r="R105" i="24"/>
  <c r="R97" i="24"/>
  <c r="R93" i="24"/>
  <c r="R89" i="24"/>
  <c r="R124" i="24"/>
  <c r="R53" i="24"/>
  <c r="R50" i="24"/>
  <c r="X12" i="24"/>
  <c r="Z12" i="24" s="1"/>
  <c r="R116" i="24"/>
  <c r="R84" i="24"/>
  <c r="R51" i="24"/>
  <c r="R125" i="24"/>
  <c r="R69" i="24"/>
  <c r="R65" i="24"/>
  <c r="R73" i="24"/>
  <c r="R61" i="24"/>
  <c r="R57" i="24"/>
  <c r="R49" i="24"/>
  <c r="R80" i="24"/>
  <c r="R283" i="18"/>
  <c r="R271" i="18"/>
  <c r="R264" i="18"/>
  <c r="R263" i="18"/>
  <c r="R259" i="18"/>
  <c r="R248" i="18"/>
  <c r="R247" i="18"/>
  <c r="R224" i="18"/>
  <c r="R223" i="18"/>
  <c r="R216" i="18"/>
  <c r="R215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123" i="18"/>
  <c r="R284" i="18"/>
  <c r="R254" i="18"/>
  <c r="R243" i="18"/>
  <c r="R242" i="18"/>
  <c r="R285" i="18"/>
  <c r="R265" i="18"/>
  <c r="R249" i="18"/>
  <c r="R226" i="18"/>
  <c r="R225" i="18"/>
  <c r="R217" i="18"/>
  <c r="R189" i="18"/>
  <c r="R185" i="18"/>
  <c r="R286" i="18"/>
  <c r="R273" i="18"/>
  <c r="R272" i="18"/>
  <c r="R260" i="18"/>
  <c r="R244" i="18"/>
  <c r="R237" i="18"/>
  <c r="R236" i="18"/>
  <c r="R212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56" i="18"/>
  <c r="R255" i="18"/>
  <c r="R227" i="18"/>
  <c r="R204" i="18"/>
  <c r="R203" i="18"/>
  <c r="R199" i="18"/>
  <c r="R195" i="18"/>
  <c r="R274" i="18"/>
  <c r="R267" i="18"/>
  <c r="R266" i="18"/>
  <c r="R250" i="18"/>
  <c r="R239" i="18"/>
  <c r="R238" i="18"/>
  <c r="R219" i="18"/>
  <c r="R218" i="18"/>
  <c r="R190" i="18"/>
  <c r="R186" i="18"/>
  <c r="R277" i="18"/>
  <c r="R276" i="18"/>
  <c r="R261" i="18"/>
  <c r="R257" i="18"/>
  <c r="R245" i="18"/>
  <c r="R213" i="18"/>
  <c r="R206" i="18"/>
  <c r="R205" i="18"/>
  <c r="R182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90" i="18"/>
  <c r="R278" i="18"/>
  <c r="R269" i="18"/>
  <c r="R268" i="18"/>
  <c r="R240" i="18"/>
  <c r="R229" i="18"/>
  <c r="R228" i="18"/>
  <c r="R220" i="18"/>
  <c r="R200" i="18"/>
  <c r="R196" i="18"/>
  <c r="R181" i="18"/>
  <c r="R179" i="18"/>
  <c r="R121" i="18"/>
  <c r="R279" i="18"/>
  <c r="R251" i="18"/>
  <c r="R207" i="18"/>
  <c r="R191" i="18"/>
  <c r="R187" i="18"/>
  <c r="R183" i="18"/>
  <c r="P179" i="18"/>
  <c r="R280" i="18"/>
  <c r="R270" i="18"/>
  <c r="R262" i="18"/>
  <c r="R258" i="18"/>
  <c r="R246" i="18"/>
  <c r="R231" i="18"/>
  <c r="R230" i="18"/>
  <c r="R214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122" i="18"/>
  <c r="X12" i="18"/>
  <c r="Z12" i="18" s="1"/>
  <c r="R281" i="18"/>
  <c r="R241" i="18"/>
  <c r="R222" i="18"/>
  <c r="R221" i="18"/>
  <c r="R201" i="18"/>
  <c r="R197" i="18"/>
  <c r="R252" i="18"/>
  <c r="R282" i="18"/>
  <c r="R198" i="18"/>
  <c r="R193" i="18"/>
  <c r="R235" i="18"/>
  <c r="R211" i="18"/>
  <c r="R253" i="18"/>
  <c r="R233" i="18"/>
  <c r="R209" i="18"/>
  <c r="R188" i="18"/>
  <c r="R202" i="18"/>
  <c r="R192" i="18"/>
  <c r="R234" i="18"/>
  <c r="R210" i="18"/>
  <c r="R194" i="18"/>
  <c r="R184" i="18"/>
  <c r="R208" i="18"/>
  <c r="R232" i="18"/>
  <c r="L18" i="112"/>
  <c r="D27" i="112"/>
  <c r="H27" i="113"/>
  <c r="N18" i="113"/>
  <c r="T27" i="53"/>
  <c r="Z18" i="53"/>
  <c r="T27" i="49"/>
  <c r="Z18" i="49"/>
  <c r="X18" i="49"/>
  <c r="P27" i="49"/>
  <c r="H27" i="49"/>
  <c r="N18" i="49"/>
  <c r="H27" i="41"/>
  <c r="N18" i="41"/>
  <c r="L18" i="31"/>
  <c r="D27" i="31"/>
  <c r="H27" i="25"/>
  <c r="N18" i="25"/>
  <c r="X18" i="19"/>
  <c r="P27" i="19"/>
  <c r="T27" i="4"/>
  <c r="Z18" i="4"/>
  <c r="H27" i="5"/>
  <c r="N18" i="5"/>
  <c r="H27" i="8"/>
  <c r="N18" i="8"/>
  <c r="L18" i="44"/>
  <c r="D27" i="44"/>
  <c r="T92" i="108"/>
  <c r="T87" i="93"/>
  <c r="V83" i="93"/>
  <c r="T99" i="88"/>
  <c r="Z20" i="86"/>
  <c r="V20" i="86"/>
  <c r="T32" i="86"/>
  <c r="F111" i="85"/>
  <c r="F107" i="85"/>
  <c r="F106" i="85"/>
  <c r="F91" i="85"/>
  <c r="F90" i="85"/>
  <c r="F79" i="85"/>
  <c r="F78" i="85"/>
  <c r="F71" i="85"/>
  <c r="F67" i="85"/>
  <c r="F63" i="85"/>
  <c r="F62" i="85"/>
  <c r="D49" i="85"/>
  <c r="F49" i="85" s="1"/>
  <c r="F122" i="85"/>
  <c r="F113" i="85"/>
  <c r="F112" i="85"/>
  <c r="F101" i="85"/>
  <c r="F93" i="85"/>
  <c r="F92" i="85"/>
  <c r="F81" i="85"/>
  <c r="F80" i="85"/>
  <c r="F45" i="85"/>
  <c r="F41" i="85"/>
  <c r="F37" i="85"/>
  <c r="F126" i="85"/>
  <c r="F108" i="85"/>
  <c r="F72" i="85"/>
  <c r="F68" i="85"/>
  <c r="F64" i="85"/>
  <c r="F95" i="85"/>
  <c r="F94" i="85"/>
  <c r="F83" i="85"/>
  <c r="F82" i="85"/>
  <c r="F59" i="85"/>
  <c r="F55" i="85"/>
  <c r="F109" i="85"/>
  <c r="F97" i="85"/>
  <c r="F96" i="85"/>
  <c r="F85" i="85"/>
  <c r="F84" i="85"/>
  <c r="F69" i="85"/>
  <c r="F65" i="85"/>
  <c r="F116" i="85"/>
  <c r="F115" i="85"/>
  <c r="F104" i="85"/>
  <c r="F103" i="85"/>
  <c r="F87" i="85"/>
  <c r="F86" i="85"/>
  <c r="F47" i="85"/>
  <c r="F43" i="85"/>
  <c r="F39" i="85"/>
  <c r="F35" i="85"/>
  <c r="F105" i="85"/>
  <c r="F89" i="85"/>
  <c r="F88" i="85"/>
  <c r="F77" i="85"/>
  <c r="F61" i="85"/>
  <c r="F57" i="85"/>
  <c r="F53" i="85"/>
  <c r="F52" i="85"/>
  <c r="F100" i="85"/>
  <c r="F76" i="85"/>
  <c r="F60" i="85"/>
  <c r="F38" i="85"/>
  <c r="F117" i="85"/>
  <c r="F110" i="85"/>
  <c r="F102" i="85"/>
  <c r="F66" i="85"/>
  <c r="F58" i="85"/>
  <c r="F73" i="85"/>
  <c r="F42" i="85"/>
  <c r="L12" i="85"/>
  <c r="N12" i="85" s="1"/>
  <c r="F118" i="85"/>
  <c r="F74" i="85"/>
  <c r="F36" i="85"/>
  <c r="F98" i="85"/>
  <c r="F46" i="85"/>
  <c r="F33" i="85"/>
  <c r="F51" i="85"/>
  <c r="F40" i="85"/>
  <c r="F54" i="85"/>
  <c r="F114" i="85"/>
  <c r="F99" i="85"/>
  <c r="F56" i="85"/>
  <c r="F75" i="85"/>
  <c r="F34" i="85"/>
  <c r="F119" i="85"/>
  <c r="F44" i="85"/>
  <c r="F120" i="85"/>
  <c r="F70" i="85"/>
  <c r="R77" i="73"/>
  <c r="R76" i="73"/>
  <c r="R73" i="73"/>
  <c r="R82" i="73"/>
  <c r="R74" i="73"/>
  <c r="R21" i="73"/>
  <c r="R69" i="73"/>
  <c r="R68" i="73"/>
  <c r="R61" i="73"/>
  <c r="R60" i="73"/>
  <c r="R49" i="73"/>
  <c r="R48" i="73"/>
  <c r="R44" i="73"/>
  <c r="R40" i="73"/>
  <c r="X12" i="73"/>
  <c r="Z12" i="73" s="1"/>
  <c r="R35" i="73"/>
  <c r="R31" i="73"/>
  <c r="R80" i="73"/>
  <c r="R71" i="73"/>
  <c r="R70" i="73"/>
  <c r="R63" i="73"/>
  <c r="R62" i="73"/>
  <c r="R51" i="73"/>
  <c r="R50" i="73"/>
  <c r="R22" i="73"/>
  <c r="R45" i="73"/>
  <c r="R41" i="73"/>
  <c r="R72" i="73"/>
  <c r="R65" i="73"/>
  <c r="R64" i="73"/>
  <c r="R53" i="73"/>
  <c r="R52" i="73"/>
  <c r="R36" i="73"/>
  <c r="R32" i="73"/>
  <c r="R75" i="73"/>
  <c r="R28" i="73"/>
  <c r="R23" i="73"/>
  <c r="R78" i="73"/>
  <c r="R38" i="73"/>
  <c r="R37" i="73"/>
  <c r="R33" i="73"/>
  <c r="R29" i="73"/>
  <c r="P25" i="73"/>
  <c r="R67" i="73"/>
  <c r="R47" i="73"/>
  <c r="R43" i="73"/>
  <c r="R39" i="73"/>
  <c r="R20" i="73"/>
  <c r="R86" i="73"/>
  <c r="R57" i="73"/>
  <c r="R55" i="73"/>
  <c r="R42" i="73"/>
  <c r="R27" i="73"/>
  <c r="R46" i="73"/>
  <c r="R79" i="73"/>
  <c r="R58" i="73"/>
  <c r="R66" i="73"/>
  <c r="R56" i="73"/>
  <c r="R30" i="73"/>
  <c r="R54" i="73"/>
  <c r="R25" i="73"/>
  <c r="R59" i="73"/>
  <c r="R34" i="73"/>
  <c r="D76" i="70"/>
  <c r="L22" i="70"/>
  <c r="N22" i="70" s="1"/>
  <c r="D68" i="68"/>
  <c r="L64" i="68"/>
  <c r="T76" i="58"/>
  <c r="X16" i="58"/>
  <c r="Z16" i="58"/>
  <c r="T77" i="57"/>
  <c r="Z16" i="57"/>
  <c r="H149" i="39"/>
  <c r="Z30" i="42"/>
  <c r="T129" i="42"/>
  <c r="P142" i="39"/>
  <c r="X36" i="39"/>
  <c r="Z36" i="39" s="1"/>
  <c r="H136" i="36"/>
  <c r="T122" i="27"/>
  <c r="F116" i="30"/>
  <c r="F115" i="30"/>
  <c r="F96" i="30"/>
  <c r="F95" i="30"/>
  <c r="F155" i="30"/>
  <c r="F143" i="30"/>
  <c r="F142" i="30"/>
  <c r="F135" i="30"/>
  <c r="F123" i="30"/>
  <c r="F130" i="30"/>
  <c r="F118" i="30"/>
  <c r="F117" i="30"/>
  <c r="F106" i="30"/>
  <c r="F98" i="30"/>
  <c r="F97" i="30"/>
  <c r="F125" i="30"/>
  <c r="F124" i="30"/>
  <c r="F144" i="30"/>
  <c r="F136" i="30"/>
  <c r="F132" i="30"/>
  <c r="F131" i="30"/>
  <c r="F108" i="30"/>
  <c r="F107" i="30"/>
  <c r="F119" i="30"/>
  <c r="F99" i="30"/>
  <c r="F133" i="30"/>
  <c r="F121" i="30"/>
  <c r="F120" i="30"/>
  <c r="F101" i="30"/>
  <c r="F100" i="30"/>
  <c r="F149" i="30"/>
  <c r="F112" i="30"/>
  <c r="F111" i="30"/>
  <c r="F150" i="30"/>
  <c r="F148" i="30"/>
  <c r="F139" i="30"/>
  <c r="F127" i="30"/>
  <c r="F103" i="30"/>
  <c r="F102" i="30"/>
  <c r="F151" i="30"/>
  <c r="F134" i="30"/>
  <c r="F122" i="30"/>
  <c r="F114" i="30"/>
  <c r="F113" i="30"/>
  <c r="F126" i="30"/>
  <c r="F104" i="30"/>
  <c r="F91" i="30"/>
  <c r="F90" i="30"/>
  <c r="F63" i="30"/>
  <c r="F59" i="30"/>
  <c r="F55" i="30"/>
  <c r="F51" i="30"/>
  <c r="F47" i="30"/>
  <c r="F43" i="30"/>
  <c r="F42" i="30"/>
  <c r="F146" i="30"/>
  <c r="F128" i="30"/>
  <c r="F110" i="30"/>
  <c r="F86" i="30"/>
  <c r="F82" i="30"/>
  <c r="F93" i="30"/>
  <c r="F92" i="30"/>
  <c r="F77" i="30"/>
  <c r="F73" i="30"/>
  <c r="F137" i="30"/>
  <c r="F64" i="30"/>
  <c r="F60" i="30"/>
  <c r="F56" i="30"/>
  <c r="F52" i="30"/>
  <c r="F48" i="30"/>
  <c r="F44" i="30"/>
  <c r="F141" i="30"/>
  <c r="F87" i="30"/>
  <c r="F83" i="30"/>
  <c r="F94" i="30"/>
  <c r="F78" i="30"/>
  <c r="F74" i="30"/>
  <c r="F70" i="30"/>
  <c r="F69" i="30"/>
  <c r="F145" i="30"/>
  <c r="F68" i="30"/>
  <c r="F61" i="30"/>
  <c r="F57" i="30"/>
  <c r="F53" i="30"/>
  <c r="F49" i="30"/>
  <c r="F45" i="30"/>
  <c r="F109" i="30"/>
  <c r="F105" i="30"/>
  <c r="F88" i="30"/>
  <c r="F84" i="30"/>
  <c r="F80" i="30"/>
  <c r="F79" i="30"/>
  <c r="D66" i="30"/>
  <c r="F129" i="30"/>
  <c r="F75" i="30"/>
  <c r="F71" i="30"/>
  <c r="F138" i="30"/>
  <c r="F62" i="30"/>
  <c r="F58" i="30"/>
  <c r="F54" i="30"/>
  <c r="F50" i="30"/>
  <c r="F46" i="30"/>
  <c r="F140" i="30"/>
  <c r="F89" i="30"/>
  <c r="F85" i="30"/>
  <c r="F81" i="30"/>
  <c r="F76" i="30"/>
  <c r="L12" i="30"/>
  <c r="N12" i="30" s="1"/>
  <c r="F72" i="30"/>
  <c r="D116" i="21"/>
  <c r="L29" i="21"/>
  <c r="P99" i="9"/>
  <c r="X16" i="9"/>
  <c r="R251" i="15"/>
  <c r="H27" i="112"/>
  <c r="N18" i="112"/>
  <c r="T27" i="111"/>
  <c r="Z18" i="111"/>
  <c r="T27" i="50"/>
  <c r="Z18" i="50"/>
  <c r="D27" i="47"/>
  <c r="L18" i="47"/>
  <c r="X18" i="43"/>
  <c r="P27" i="43"/>
  <c r="T27" i="34"/>
  <c r="Z18" i="34"/>
  <c r="T27" i="26"/>
  <c r="Z18" i="26"/>
  <c r="X18" i="28"/>
  <c r="P27" i="28"/>
  <c r="H27" i="22"/>
  <c r="N18" i="22"/>
  <c r="H27" i="13"/>
  <c r="N18" i="13"/>
  <c r="X18" i="8"/>
  <c r="P27" i="8"/>
  <c r="Z18" i="13"/>
  <c r="T27" i="13"/>
  <c r="L16" i="92"/>
  <c r="D93" i="92"/>
  <c r="R79" i="80"/>
  <c r="R64" i="80"/>
  <c r="R57" i="80"/>
  <c r="R56" i="80"/>
  <c r="R45" i="80"/>
  <c r="R44" i="80"/>
  <c r="R40" i="80"/>
  <c r="R36" i="80"/>
  <c r="R17" i="80"/>
  <c r="R71" i="80"/>
  <c r="R31" i="80"/>
  <c r="R27" i="80"/>
  <c r="R59" i="80"/>
  <c r="R58" i="80"/>
  <c r="R47" i="80"/>
  <c r="R46" i="80"/>
  <c r="R18" i="80"/>
  <c r="R83" i="80"/>
  <c r="R66" i="80"/>
  <c r="R65" i="80"/>
  <c r="R41" i="80"/>
  <c r="R37" i="80"/>
  <c r="R72" i="80"/>
  <c r="R60" i="80"/>
  <c r="R49" i="80"/>
  <c r="R48" i="80"/>
  <c r="R32" i="80"/>
  <c r="R28" i="80"/>
  <c r="R67" i="80"/>
  <c r="R19" i="80"/>
  <c r="R51" i="80"/>
  <c r="R50" i="80"/>
  <c r="R42" i="80"/>
  <c r="R38" i="80"/>
  <c r="X12" i="80"/>
  <c r="Z12" i="80" s="1"/>
  <c r="R74" i="80"/>
  <c r="R73" i="80"/>
  <c r="R61" i="80"/>
  <c r="R34" i="80"/>
  <c r="R33" i="80"/>
  <c r="R29" i="80"/>
  <c r="R68" i="80"/>
  <c r="R53" i="80"/>
  <c r="R52" i="80"/>
  <c r="R25" i="80"/>
  <c r="R20" i="80"/>
  <c r="R54" i="80"/>
  <c r="R30" i="80"/>
  <c r="R63" i="80"/>
  <c r="R22" i="80"/>
  <c r="R77" i="80"/>
  <c r="R75" i="80"/>
  <c r="R55" i="80"/>
  <c r="P22" i="80"/>
  <c r="R69" i="80"/>
  <c r="R39" i="80"/>
  <c r="R35" i="80"/>
  <c r="R26" i="80"/>
  <c r="R24" i="80"/>
  <c r="R62" i="80"/>
  <c r="R70" i="80"/>
  <c r="R43" i="80"/>
  <c r="R76" i="80"/>
  <c r="T85" i="56"/>
  <c r="F278" i="18"/>
  <c r="F276" i="18"/>
  <c r="F251" i="18"/>
  <c r="F207" i="18"/>
  <c r="F206" i="18"/>
  <c r="F191" i="18"/>
  <c r="F187" i="18"/>
  <c r="F183" i="18"/>
  <c r="F182" i="18"/>
  <c r="F279" i="18"/>
  <c r="F270" i="18"/>
  <c r="F269" i="18"/>
  <c r="F262" i="18"/>
  <c r="F258" i="18"/>
  <c r="F246" i="18"/>
  <c r="F280" i="18"/>
  <c r="F241" i="18"/>
  <c r="F221" i="18"/>
  <c r="F201" i="18"/>
  <c r="F197" i="18"/>
  <c r="D179" i="18"/>
  <c r="F281" i="18"/>
  <c r="F252" i="18"/>
  <c r="F232" i="18"/>
  <c r="F231" i="18"/>
  <c r="F208" i="18"/>
  <c r="F192" i="18"/>
  <c r="F188" i="18"/>
  <c r="F184" i="18"/>
  <c r="F282" i="18"/>
  <c r="F271" i="18"/>
  <c r="F263" i="18"/>
  <c r="F259" i="18"/>
  <c r="F247" i="18"/>
  <c r="F223" i="18"/>
  <c r="F222" i="18"/>
  <c r="F215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123" i="18"/>
  <c r="F283" i="18"/>
  <c r="F254" i="18"/>
  <c r="F253" i="18"/>
  <c r="F242" i="18"/>
  <c r="F234" i="18"/>
  <c r="F233" i="18"/>
  <c r="F210" i="18"/>
  <c r="F209" i="18"/>
  <c r="F202" i="18"/>
  <c r="F198" i="18"/>
  <c r="F194" i="18"/>
  <c r="F193" i="18"/>
  <c r="F284" i="18"/>
  <c r="F265" i="18"/>
  <c r="F264" i="18"/>
  <c r="F249" i="18"/>
  <c r="F248" i="18"/>
  <c r="F225" i="18"/>
  <c r="F224" i="18"/>
  <c r="F217" i="18"/>
  <c r="F216" i="18"/>
  <c r="F189" i="18"/>
  <c r="F185" i="18"/>
  <c r="F285" i="18"/>
  <c r="F272" i="18"/>
  <c r="F260" i="18"/>
  <c r="F244" i="18"/>
  <c r="F243" i="18"/>
  <c r="F236" i="18"/>
  <c r="F235" i="18"/>
  <c r="F212" i="18"/>
  <c r="F211" i="18"/>
  <c r="F176" i="18"/>
  <c r="F172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286" i="18"/>
  <c r="F255" i="18"/>
  <c r="F227" i="18"/>
  <c r="F226" i="18"/>
  <c r="F203" i="18"/>
  <c r="F199" i="18"/>
  <c r="F195" i="18"/>
  <c r="F274" i="18"/>
  <c r="F273" i="18"/>
  <c r="F266" i="18"/>
  <c r="F250" i="18"/>
  <c r="F238" i="18"/>
  <c r="F237" i="18"/>
  <c r="F218" i="18"/>
  <c r="F190" i="18"/>
  <c r="F186" i="18"/>
  <c r="F261" i="18"/>
  <c r="F257" i="18"/>
  <c r="F256" i="18"/>
  <c r="F245" i="18"/>
  <c r="F213" i="18"/>
  <c r="F205" i="18"/>
  <c r="F204" i="18"/>
  <c r="F177" i="18"/>
  <c r="F173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230" i="18"/>
  <c r="F228" i="18"/>
  <c r="F219" i="18"/>
  <c r="F166" i="18"/>
  <c r="F142" i="18"/>
  <c r="F277" i="18"/>
  <c r="F267" i="18"/>
  <c r="F240" i="18"/>
  <c r="F122" i="18"/>
  <c r="F196" i="18"/>
  <c r="F170" i="18"/>
  <c r="F146" i="18"/>
  <c r="F214" i="18"/>
  <c r="F181" i="18"/>
  <c r="F174" i="18"/>
  <c r="F150" i="18"/>
  <c r="F126" i="18"/>
  <c r="F200" i="18"/>
  <c r="F268" i="18"/>
  <c r="F239" i="18"/>
  <c r="F229" i="18"/>
  <c r="F220" i="18"/>
  <c r="F154" i="18"/>
  <c r="F130" i="18"/>
  <c r="F179" i="18"/>
  <c r="F121" i="18"/>
  <c r="F158" i="18"/>
  <c r="F134" i="18"/>
  <c r="L12" i="18"/>
  <c r="N12" i="18" s="1"/>
  <c r="F162" i="18"/>
  <c r="F138" i="18"/>
  <c r="F290" i="18"/>
  <c r="T27" i="41"/>
  <c r="Z18" i="41"/>
  <c r="R83" i="89"/>
  <c r="R76" i="89"/>
  <c r="R66" i="89"/>
  <c r="R32" i="89"/>
  <c r="R28" i="89"/>
  <c r="X12" i="89"/>
  <c r="Z12" i="89" s="1"/>
  <c r="R74" i="89"/>
  <c r="R56" i="89"/>
  <c r="R55" i="89"/>
  <c r="R19" i="89"/>
  <c r="R87" i="89"/>
  <c r="R79" i="89"/>
  <c r="R75" i="89"/>
  <c r="R71" i="89"/>
  <c r="R47" i="89"/>
  <c r="R46" i="89"/>
  <c r="R42" i="89"/>
  <c r="R38" i="89"/>
  <c r="R80" i="89"/>
  <c r="R63" i="89"/>
  <c r="R58" i="89"/>
  <c r="R57" i="89"/>
  <c r="R33" i="89"/>
  <c r="R29" i="89"/>
  <c r="R67" i="89"/>
  <c r="R49" i="89"/>
  <c r="R48" i="89"/>
  <c r="R20" i="89"/>
  <c r="R81" i="89"/>
  <c r="R68" i="89"/>
  <c r="R64" i="89"/>
  <c r="R60" i="89"/>
  <c r="R59" i="89"/>
  <c r="R43" i="89"/>
  <c r="R39" i="89"/>
  <c r="R51" i="89"/>
  <c r="R50" i="89"/>
  <c r="R34" i="89"/>
  <c r="R30" i="89"/>
  <c r="R72" i="89"/>
  <c r="R61" i="89"/>
  <c r="R26" i="89"/>
  <c r="R21" i="89"/>
  <c r="R69" i="89"/>
  <c r="R65" i="89"/>
  <c r="R53" i="89"/>
  <c r="R52" i="89"/>
  <c r="R44" i="89"/>
  <c r="R40" i="89"/>
  <c r="R25" i="89"/>
  <c r="R23" i="89"/>
  <c r="R78" i="89"/>
  <c r="R73" i="89"/>
  <c r="R54" i="89"/>
  <c r="R37" i="89"/>
  <c r="R35" i="89"/>
  <c r="R41" i="89"/>
  <c r="R18" i="89"/>
  <c r="R36" i="89"/>
  <c r="R27" i="89"/>
  <c r="R45" i="89"/>
  <c r="R70" i="89"/>
  <c r="R77" i="89"/>
  <c r="P23" i="89"/>
  <c r="R31" i="89"/>
  <c r="R62" i="89"/>
  <c r="L16" i="58"/>
  <c r="D76" i="58"/>
  <c r="X18" i="25"/>
  <c r="P27" i="25"/>
  <c r="T27" i="5"/>
  <c r="Z18" i="5"/>
  <c r="D70" i="110"/>
  <c r="L17" i="110"/>
  <c r="N17" i="110" s="1"/>
  <c r="D67" i="103"/>
  <c r="L63" i="103"/>
  <c r="N23" i="94"/>
  <c r="H79" i="94"/>
  <c r="H128" i="85"/>
  <c r="J54" i="74"/>
  <c r="R56" i="77"/>
  <c r="V29" i="76"/>
  <c r="F78" i="74"/>
  <c r="F77" i="74"/>
  <c r="F50" i="74"/>
  <c r="F46" i="74"/>
  <c r="F42" i="74"/>
  <c r="F38" i="74"/>
  <c r="F89" i="74"/>
  <c r="F88" i="74"/>
  <c r="F73" i="74"/>
  <c r="F69" i="74"/>
  <c r="F80" i="74"/>
  <c r="F79" i="74"/>
  <c r="F64" i="74"/>
  <c r="F60" i="74"/>
  <c r="L12" i="74"/>
  <c r="N12" i="74" s="1"/>
  <c r="F51" i="74"/>
  <c r="F47" i="74"/>
  <c r="F43" i="74"/>
  <c r="F39" i="74"/>
  <c r="F95" i="74"/>
  <c r="F81" i="74"/>
  <c r="F65" i="74"/>
  <c r="F61" i="74"/>
  <c r="F83" i="74"/>
  <c r="F82" i="74"/>
  <c r="F75" i="74"/>
  <c r="F71" i="74"/>
  <c r="F67" i="74"/>
  <c r="F66" i="74"/>
  <c r="F62" i="74"/>
  <c r="F58" i="74"/>
  <c r="F57" i="74"/>
  <c r="F49" i="74"/>
  <c r="F86" i="74"/>
  <c r="F36" i="74"/>
  <c r="F45" i="74"/>
  <c r="F84" i="74"/>
  <c r="F76" i="74"/>
  <c r="F74" i="74"/>
  <c r="F52" i="74"/>
  <c r="F41" i="74"/>
  <c r="F56" i="74"/>
  <c r="F72" i="74"/>
  <c r="F48" i="74"/>
  <c r="F37" i="74"/>
  <c r="F91" i="74"/>
  <c r="F44" i="74"/>
  <c r="F40" i="74"/>
  <c r="F59" i="74"/>
  <c r="F87" i="74"/>
  <c r="F85" i="74"/>
  <c r="F70" i="74"/>
  <c r="F63" i="74"/>
  <c r="F68" i="74"/>
  <c r="D54" i="74"/>
  <c r="R29" i="76"/>
  <c r="T76" i="70"/>
  <c r="L16" i="68"/>
  <c r="P81" i="56"/>
  <c r="X16" i="56"/>
  <c r="R30" i="42"/>
  <c r="T104" i="33"/>
  <c r="T157" i="30"/>
  <c r="T288" i="18"/>
  <c r="X16" i="6"/>
  <c r="P22" i="6"/>
  <c r="H116" i="21"/>
  <c r="N29" i="21"/>
  <c r="P274" i="12"/>
  <c r="X160" i="12"/>
  <c r="Z160" i="12" s="1"/>
  <c r="F260" i="12"/>
  <c r="F248" i="12"/>
  <c r="F244" i="12"/>
  <c r="F243" i="12"/>
  <c r="F232" i="12"/>
  <c r="F208" i="12"/>
  <c r="F207" i="12"/>
  <c r="F184" i="12"/>
  <c r="F180" i="12"/>
  <c r="F176" i="12"/>
  <c r="F227" i="12"/>
  <c r="F219" i="12"/>
  <c r="F218" i="12"/>
  <c r="F199" i="12"/>
  <c r="F171" i="12"/>
  <c r="F167" i="12"/>
  <c r="F276" i="12"/>
  <c r="F262" i="12"/>
  <c r="F261" i="12"/>
  <c r="F254" i="12"/>
  <c r="F238" i="12"/>
  <c r="F234" i="12"/>
  <c r="F233" i="12"/>
  <c r="F194" i="12"/>
  <c r="F186" i="12"/>
  <c r="F185" i="12"/>
  <c r="F158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249" i="12"/>
  <c r="F245" i="12"/>
  <c r="F229" i="12"/>
  <c r="F228" i="12"/>
  <c r="F221" i="12"/>
  <c r="F220" i="12"/>
  <c r="F209" i="12"/>
  <c r="F201" i="12"/>
  <c r="F200" i="12"/>
  <c r="F181" i="12"/>
  <c r="F177" i="12"/>
  <c r="F265" i="12"/>
  <c r="F256" i="12"/>
  <c r="F255" i="12"/>
  <c r="F188" i="12"/>
  <c r="F187" i="12"/>
  <c r="F172" i="12"/>
  <c r="F168" i="12"/>
  <c r="F164" i="12"/>
  <c r="F163" i="12"/>
  <c r="F266" i="12"/>
  <c r="F264" i="12"/>
  <c r="F239" i="12"/>
  <c r="F235" i="12"/>
  <c r="F223" i="12"/>
  <c r="F222" i="12"/>
  <c r="F211" i="12"/>
  <c r="F210" i="12"/>
  <c r="F195" i="12"/>
  <c r="F162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267" i="12"/>
  <c r="F258" i="12"/>
  <c r="F257" i="12"/>
  <c r="F250" i="12"/>
  <c r="F246" i="12"/>
  <c r="F230" i="12"/>
  <c r="F202" i="12"/>
  <c r="F182" i="12"/>
  <c r="F178" i="12"/>
  <c r="D160" i="12"/>
  <c r="F160" i="12" s="1"/>
  <c r="L12" i="12"/>
  <c r="N12" i="12" s="1"/>
  <c r="F268" i="12"/>
  <c r="F241" i="12"/>
  <c r="F240" i="12"/>
  <c r="F225" i="12"/>
  <c r="F224" i="12"/>
  <c r="F213" i="12"/>
  <c r="F212" i="12"/>
  <c r="F189" i="12"/>
  <c r="F173" i="12"/>
  <c r="F169" i="12"/>
  <c r="F165" i="12"/>
  <c r="F269" i="12"/>
  <c r="F236" i="12"/>
  <c r="F204" i="12"/>
  <c r="F203" i="12"/>
  <c r="F196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108" i="12"/>
  <c r="F107" i="12"/>
  <c r="F270" i="12"/>
  <c r="F259" i="12"/>
  <c r="F251" i="12"/>
  <c r="F247" i="12"/>
  <c r="F231" i="12"/>
  <c r="F215" i="12"/>
  <c r="F214" i="12"/>
  <c r="F191" i="12"/>
  <c r="F190" i="12"/>
  <c r="F183" i="12"/>
  <c r="F179" i="12"/>
  <c r="F175" i="12"/>
  <c r="F174" i="12"/>
  <c r="F271" i="12"/>
  <c r="F242" i="12"/>
  <c r="F226" i="12"/>
  <c r="F206" i="12"/>
  <c r="F205" i="12"/>
  <c r="F198" i="12"/>
  <c r="F197" i="12"/>
  <c r="F170" i="12"/>
  <c r="F166" i="12"/>
  <c r="F253" i="12"/>
  <c r="F216" i="12"/>
  <c r="F149" i="12"/>
  <c r="F133" i="12"/>
  <c r="F117" i="12"/>
  <c r="F237" i="12"/>
  <c r="F272" i="12"/>
  <c r="F192" i="12"/>
  <c r="F153" i="12"/>
  <c r="F137" i="12"/>
  <c r="F121" i="12"/>
  <c r="F113" i="12"/>
  <c r="F252" i="12"/>
  <c r="F157" i="12"/>
  <c r="F141" i="12"/>
  <c r="F125" i="12"/>
  <c r="F217" i="12"/>
  <c r="F193" i="12"/>
  <c r="F109" i="12"/>
  <c r="F145" i="12"/>
  <c r="F129" i="12"/>
  <c r="L18" i="113"/>
  <c r="D27" i="113"/>
  <c r="H27" i="43"/>
  <c r="N18" i="43"/>
  <c r="X18" i="38"/>
  <c r="P27" i="38"/>
  <c r="X18" i="37"/>
  <c r="P27" i="37"/>
  <c r="H27" i="29"/>
  <c r="N18" i="29"/>
  <c r="L18" i="28"/>
  <c r="D27" i="28"/>
  <c r="X18" i="23"/>
  <c r="P27" i="23"/>
  <c r="L18" i="13"/>
  <c r="D27" i="13"/>
  <c r="X18" i="4"/>
  <c r="P27" i="4"/>
  <c r="X18" i="10"/>
  <c r="P27" i="10"/>
  <c r="H27" i="11"/>
  <c r="N18" i="11"/>
  <c r="T27" i="8"/>
  <c r="Z18" i="8"/>
  <c r="H77" i="110"/>
  <c r="F82" i="73"/>
  <c r="F86" i="73"/>
  <c r="F75" i="73"/>
  <c r="F78" i="73"/>
  <c r="F77" i="73"/>
  <c r="F73" i="73"/>
  <c r="F37" i="73"/>
  <c r="F33" i="73"/>
  <c r="F29" i="73"/>
  <c r="F28" i="73"/>
  <c r="F76" i="73"/>
  <c r="F56" i="73"/>
  <c r="F55" i="73"/>
  <c r="F27" i="73"/>
  <c r="F67" i="73"/>
  <c r="F47" i="73"/>
  <c r="F43" i="73"/>
  <c r="F39" i="73"/>
  <c r="F38" i="73"/>
  <c r="D25" i="73"/>
  <c r="F58" i="73"/>
  <c r="F57" i="73"/>
  <c r="F34" i="73"/>
  <c r="F30" i="73"/>
  <c r="F79" i="73"/>
  <c r="F74" i="73"/>
  <c r="F21" i="73"/>
  <c r="F20" i="73"/>
  <c r="F68" i="73"/>
  <c r="F60" i="73"/>
  <c r="F59" i="73"/>
  <c r="F48" i="73"/>
  <c r="F44" i="73"/>
  <c r="F40" i="73"/>
  <c r="L12" i="73"/>
  <c r="N12" i="73" s="1"/>
  <c r="F35" i="73"/>
  <c r="F31" i="73"/>
  <c r="F45" i="73"/>
  <c r="F41" i="73"/>
  <c r="F23" i="73"/>
  <c r="F80" i="73"/>
  <c r="F64" i="73"/>
  <c r="F49" i="73"/>
  <c r="F32" i="73"/>
  <c r="F71" i="73"/>
  <c r="F52" i="73"/>
  <c r="F36" i="73"/>
  <c r="F62" i="73"/>
  <c r="F42" i="73"/>
  <c r="F69" i="73"/>
  <c r="F50" i="73"/>
  <c r="F46" i="73"/>
  <c r="F72" i="73"/>
  <c r="F65" i="73"/>
  <c r="F53" i="73"/>
  <c r="F63" i="73"/>
  <c r="F70" i="73"/>
  <c r="F61" i="73"/>
  <c r="F51" i="73"/>
  <c r="F22" i="73"/>
  <c r="F66" i="73"/>
  <c r="F54" i="73"/>
  <c r="H80" i="70"/>
  <c r="X18" i="40"/>
  <c r="P27" i="40"/>
  <c r="L18" i="35"/>
  <c r="D27" i="35"/>
  <c r="L18" i="16"/>
  <c r="D27" i="16"/>
  <c r="T90" i="104"/>
  <c r="F22" i="86"/>
  <c r="F28" i="86"/>
  <c r="F27" i="86"/>
  <c r="L12" i="86"/>
  <c r="N12" i="86" s="1"/>
  <c r="F30" i="86"/>
  <c r="F17" i="86"/>
  <c r="F16" i="86"/>
  <c r="F34" i="86"/>
  <c r="F25" i="86"/>
  <c r="D20" i="86"/>
  <c r="F26" i="86"/>
  <c r="F23" i="86"/>
  <c r="F24" i="86"/>
  <c r="F18" i="86"/>
  <c r="H100" i="84"/>
  <c r="T27" i="113"/>
  <c r="Z18" i="113"/>
  <c r="L18" i="14"/>
  <c r="D27" i="14"/>
  <c r="P46" i="109"/>
  <c r="X16" i="109"/>
  <c r="R37" i="110"/>
  <c r="R33" i="110"/>
  <c r="R64" i="110"/>
  <c r="R63" i="110"/>
  <c r="R20" i="110"/>
  <c r="R58" i="110"/>
  <c r="R47" i="110"/>
  <c r="R46" i="110"/>
  <c r="R38" i="110"/>
  <c r="R34" i="110"/>
  <c r="R19" i="110"/>
  <c r="R17" i="110"/>
  <c r="R15" i="110"/>
  <c r="R65" i="110"/>
  <c r="R68" i="110"/>
  <c r="R67" i="110"/>
  <c r="R60" i="110"/>
  <c r="R59" i="110"/>
  <c r="R39" i="110"/>
  <c r="R35" i="110"/>
  <c r="R31" i="110"/>
  <c r="R51" i="110"/>
  <c r="R50" i="110"/>
  <c r="R26" i="110"/>
  <c r="R22" i="110"/>
  <c r="X12" i="110"/>
  <c r="Z12" i="110" s="1"/>
  <c r="R61" i="110"/>
  <c r="R27" i="110"/>
  <c r="R52" i="110"/>
  <c r="R36" i="110"/>
  <c r="R57" i="110"/>
  <c r="R41" i="110"/>
  <c r="R25" i="110"/>
  <c r="R32" i="110"/>
  <c r="R23" i="110"/>
  <c r="R55" i="110"/>
  <c r="R53" i="110"/>
  <c r="R44" i="110"/>
  <c r="R30" i="110"/>
  <c r="R28" i="110"/>
  <c r="R72" i="110"/>
  <c r="R21" i="110"/>
  <c r="R24" i="110"/>
  <c r="P17" i="110"/>
  <c r="R54" i="110"/>
  <c r="R49" i="110"/>
  <c r="R40" i="110"/>
  <c r="R29" i="110"/>
  <c r="R43" i="110"/>
  <c r="R48" i="110"/>
  <c r="R56" i="110"/>
  <c r="R42" i="110"/>
  <c r="R62" i="110"/>
  <c r="R45" i="110"/>
  <c r="Z23" i="106"/>
  <c r="T93" i="106"/>
  <c r="X23" i="108"/>
  <c r="Z23" i="108" s="1"/>
  <c r="P92" i="108"/>
  <c r="L23" i="104"/>
  <c r="N23" i="104" s="1"/>
  <c r="V23" i="104"/>
  <c r="R81" i="93"/>
  <c r="R35" i="93"/>
  <c r="R34" i="93"/>
  <c r="R30" i="93"/>
  <c r="R26" i="93"/>
  <c r="R73" i="93"/>
  <c r="R61" i="93"/>
  <c r="R53" i="93"/>
  <c r="R74" i="93"/>
  <c r="R70" i="93"/>
  <c r="R63" i="93"/>
  <c r="R62" i="93"/>
  <c r="R54" i="93"/>
  <c r="R65" i="93"/>
  <c r="R64" i="93"/>
  <c r="R72" i="93"/>
  <c r="R67" i="93"/>
  <c r="R49" i="93"/>
  <c r="P22" i="93"/>
  <c r="R77" i="93"/>
  <c r="R45" i="93"/>
  <c r="R57" i="93"/>
  <c r="R50" i="93"/>
  <c r="R46" i="93"/>
  <c r="R32" i="93"/>
  <c r="R78" i="93"/>
  <c r="R75" i="93"/>
  <c r="R58" i="93"/>
  <c r="R68" i="93"/>
  <c r="R51" i="93"/>
  <c r="R47" i="93"/>
  <c r="R18" i="93"/>
  <c r="R71" i="93"/>
  <c r="R52" i="93"/>
  <c r="R43" i="93"/>
  <c r="R40" i="93"/>
  <c r="R37" i="93"/>
  <c r="R33" i="93"/>
  <c r="X12" i="93"/>
  <c r="Z12" i="93" s="1"/>
  <c r="R76" i="93"/>
  <c r="R59" i="93"/>
  <c r="R55" i="93"/>
  <c r="R48" i="93"/>
  <c r="R27" i="93"/>
  <c r="R19" i="93"/>
  <c r="R79" i="93"/>
  <c r="R66" i="93"/>
  <c r="R60" i="93"/>
  <c r="R69" i="93"/>
  <c r="R56" i="93"/>
  <c r="R44" i="93"/>
  <c r="R39" i="93"/>
  <c r="R20" i="93"/>
  <c r="R41" i="93"/>
  <c r="R29" i="93"/>
  <c r="R31" i="93"/>
  <c r="R24" i="93"/>
  <c r="R36" i="93"/>
  <c r="R38" i="93"/>
  <c r="R42" i="93"/>
  <c r="R28" i="93"/>
  <c r="R22" i="93"/>
  <c r="R25" i="93"/>
  <c r="R85" i="93"/>
  <c r="P28" i="83"/>
  <c r="X22" i="83"/>
  <c r="Z22" i="83" s="1"/>
  <c r="H107" i="77"/>
  <c r="F22" i="81"/>
  <c r="H120" i="75"/>
  <c r="T78" i="79"/>
  <c r="L83" i="76"/>
  <c r="N83" i="76" s="1"/>
  <c r="F83" i="76"/>
  <c r="L16" i="60"/>
  <c r="P77" i="57"/>
  <c r="X16" i="57"/>
  <c r="H77" i="57"/>
  <c r="L77" i="57" s="1"/>
  <c r="N16" i="57"/>
  <c r="H129" i="42"/>
  <c r="H102" i="45"/>
  <c r="D26" i="6"/>
  <c r="T314" i="3"/>
  <c r="L18" i="53"/>
  <c r="D27" i="53"/>
  <c r="X18" i="50"/>
  <c r="P27" i="50"/>
  <c r="D27" i="41"/>
  <c r="L18" i="41"/>
  <c r="D27" i="43"/>
  <c r="L18" i="43"/>
  <c r="H27" i="38"/>
  <c r="N18" i="38"/>
  <c r="H27" i="37"/>
  <c r="N18" i="37"/>
  <c r="L18" i="32"/>
  <c r="D27" i="32"/>
  <c r="H27" i="34"/>
  <c r="N18" i="34"/>
  <c r="T27" i="25"/>
  <c r="Z18" i="25"/>
  <c r="H27" i="19"/>
  <c r="N18" i="19"/>
  <c r="L18" i="17"/>
  <c r="D27" i="17"/>
  <c r="H27" i="23"/>
  <c r="N18" i="23"/>
  <c r="L18" i="23"/>
  <c r="D27" i="23"/>
  <c r="X18" i="20"/>
  <c r="P27" i="20"/>
  <c r="X18" i="5"/>
  <c r="P27" i="5"/>
  <c r="Z17" i="100"/>
  <c r="T53" i="100"/>
  <c r="T103" i="96"/>
  <c r="V99" i="96"/>
  <c r="F20" i="83"/>
  <c r="F30" i="83"/>
  <c r="F26" i="83"/>
  <c r="F22" i="83"/>
  <c r="D22" i="83"/>
  <c r="F19" i="83"/>
  <c r="L12" i="83"/>
  <c r="N12" i="83" s="1"/>
  <c r="F18" i="83"/>
  <c r="F24" i="83"/>
  <c r="F17" i="83"/>
  <c r="T26" i="54"/>
  <c r="Z22" i="54"/>
  <c r="H288" i="18"/>
  <c r="J179" i="18"/>
  <c r="T27" i="32"/>
  <c r="Z18" i="32"/>
  <c r="L18" i="22"/>
  <c r="D27" i="22"/>
  <c r="L18" i="4"/>
  <c r="D27" i="4"/>
  <c r="T83" i="94"/>
  <c r="Z17" i="48"/>
  <c r="T70" i="48"/>
  <c r="H92" i="108"/>
  <c r="N23" i="108"/>
  <c r="J23" i="108"/>
  <c r="F17" i="110"/>
  <c r="L16" i="109"/>
  <c r="D46" i="109"/>
  <c r="T63" i="105"/>
  <c r="D94" i="104"/>
  <c r="L90" i="104"/>
  <c r="H94" i="102"/>
  <c r="R77" i="101"/>
  <c r="R61" i="101"/>
  <c r="R60" i="101"/>
  <c r="R53" i="101"/>
  <c r="R52" i="101"/>
  <c r="R25" i="101"/>
  <c r="R20" i="101"/>
  <c r="R68" i="101"/>
  <c r="R67" i="101"/>
  <c r="R43" i="101"/>
  <c r="R39" i="101"/>
  <c r="R35" i="101"/>
  <c r="R63" i="101"/>
  <c r="R62" i="101"/>
  <c r="R55" i="101"/>
  <c r="R54" i="101"/>
  <c r="R30" i="101"/>
  <c r="R26" i="101"/>
  <c r="P22" i="101"/>
  <c r="R22" i="101" s="1"/>
  <c r="R69" i="101"/>
  <c r="R64" i="101"/>
  <c r="R56" i="101"/>
  <c r="R45" i="101"/>
  <c r="R44" i="101"/>
  <c r="R40" i="101"/>
  <c r="R36" i="101"/>
  <c r="R31" i="101"/>
  <c r="R27" i="101"/>
  <c r="R70" i="101"/>
  <c r="R47" i="101"/>
  <c r="R46" i="101"/>
  <c r="R73" i="101"/>
  <c r="R72" i="101"/>
  <c r="R65" i="101"/>
  <c r="R58" i="101"/>
  <c r="R57" i="101"/>
  <c r="R41" i="101"/>
  <c r="R37" i="101"/>
  <c r="R49" i="101"/>
  <c r="R48" i="101"/>
  <c r="R32" i="101"/>
  <c r="R28" i="101"/>
  <c r="R59" i="101"/>
  <c r="R19" i="101"/>
  <c r="R51" i="101"/>
  <c r="R42" i="101"/>
  <c r="R38" i="101"/>
  <c r="R34" i="101"/>
  <c r="R17" i="101"/>
  <c r="X12" i="101"/>
  <c r="Z12" i="101" s="1"/>
  <c r="R24" i="101"/>
  <c r="R18" i="101"/>
  <c r="R66" i="101"/>
  <c r="R33" i="101"/>
  <c r="R29" i="101"/>
  <c r="R50" i="101"/>
  <c r="H99" i="96"/>
  <c r="J22" i="96"/>
  <c r="F23" i="94"/>
  <c r="T93" i="92"/>
  <c r="Z16" i="92"/>
  <c r="H97" i="92"/>
  <c r="L22" i="88"/>
  <c r="N22" i="88" s="1"/>
  <c r="D95" i="88"/>
  <c r="T81" i="80"/>
  <c r="N24" i="79"/>
  <c r="H71" i="79"/>
  <c r="T32" i="83"/>
  <c r="H84" i="73"/>
  <c r="J25" i="73"/>
  <c r="V129" i="71"/>
  <c r="R74" i="70"/>
  <c r="R48" i="70"/>
  <c r="R47" i="70"/>
  <c r="R19" i="70"/>
  <c r="R66" i="70"/>
  <c r="R59" i="70"/>
  <c r="R58" i="70"/>
  <c r="R42" i="70"/>
  <c r="R38" i="70"/>
  <c r="X12" i="70"/>
  <c r="Z12" i="70" s="1"/>
  <c r="R78" i="70"/>
  <c r="R60" i="70"/>
  <c r="R25" i="70"/>
  <c r="R20" i="70"/>
  <c r="R67" i="70"/>
  <c r="R52" i="70"/>
  <c r="R51" i="70"/>
  <c r="R43" i="70"/>
  <c r="R39" i="70"/>
  <c r="R24" i="70"/>
  <c r="R22" i="70"/>
  <c r="R35" i="70"/>
  <c r="R34" i="70"/>
  <c r="R30" i="70"/>
  <c r="R26" i="70"/>
  <c r="P22" i="70"/>
  <c r="R62" i="70"/>
  <c r="R61" i="70"/>
  <c r="R53" i="70"/>
  <c r="R63" i="70"/>
  <c r="R31" i="70"/>
  <c r="R27" i="70"/>
  <c r="R46" i="70"/>
  <c r="R45" i="70"/>
  <c r="R41" i="70"/>
  <c r="R37" i="70"/>
  <c r="R70" i="70"/>
  <c r="R18" i="70"/>
  <c r="R68" i="70"/>
  <c r="R50" i="70"/>
  <c r="R57" i="70"/>
  <c r="R54" i="70"/>
  <c r="R64" i="70"/>
  <c r="R71" i="70"/>
  <c r="R69" i="70"/>
  <c r="R17" i="70"/>
  <c r="R29" i="70"/>
  <c r="R33" i="70"/>
  <c r="R65" i="70"/>
  <c r="R55" i="70"/>
  <c r="R44" i="70"/>
  <c r="R40" i="70"/>
  <c r="R36" i="70"/>
  <c r="R56" i="70"/>
  <c r="R28" i="70"/>
  <c r="R72" i="70"/>
  <c r="R49" i="70"/>
  <c r="R32" i="70"/>
  <c r="F103" i="75"/>
  <c r="F102" i="75"/>
  <c r="F63" i="75"/>
  <c r="F59" i="75"/>
  <c r="F122" i="75"/>
  <c r="F110" i="75"/>
  <c r="F109" i="75"/>
  <c r="F86" i="75"/>
  <c r="F78" i="75"/>
  <c r="F77" i="75"/>
  <c r="F50" i="75"/>
  <c r="F46" i="75"/>
  <c r="F42" i="75"/>
  <c r="F38" i="75"/>
  <c r="F97" i="75"/>
  <c r="F73" i="75"/>
  <c r="F69" i="75"/>
  <c r="F112" i="75"/>
  <c r="F111" i="75"/>
  <c r="F104" i="75"/>
  <c r="F88" i="75"/>
  <c r="F87" i="75"/>
  <c r="F80" i="75"/>
  <c r="F79" i="75"/>
  <c r="F64" i="75"/>
  <c r="F60" i="75"/>
  <c r="F98" i="75"/>
  <c r="F90" i="75"/>
  <c r="F89" i="75"/>
  <c r="F74" i="75"/>
  <c r="F70" i="75"/>
  <c r="L12" i="75"/>
  <c r="N12" i="75" s="1"/>
  <c r="F113" i="75"/>
  <c r="F105" i="75"/>
  <c r="F81" i="75"/>
  <c r="F65" i="75"/>
  <c r="F100" i="75"/>
  <c r="F99" i="75"/>
  <c r="F92" i="75"/>
  <c r="F91" i="75"/>
  <c r="F55" i="75"/>
  <c r="F48" i="75"/>
  <c r="F44" i="75"/>
  <c r="F40" i="75"/>
  <c r="F36" i="75"/>
  <c r="F35" i="75"/>
  <c r="F116" i="75"/>
  <c r="F83" i="75"/>
  <c r="F82" i="75"/>
  <c r="F75" i="75"/>
  <c r="F71" i="75"/>
  <c r="F67" i="75"/>
  <c r="F66" i="75"/>
  <c r="D53" i="75"/>
  <c r="F118" i="75"/>
  <c r="F107" i="75"/>
  <c r="F101" i="75"/>
  <c r="F49" i="75"/>
  <c r="F84" i="75"/>
  <c r="F47" i="75"/>
  <c r="F115" i="75"/>
  <c r="F95" i="75"/>
  <c r="F58" i="75"/>
  <c r="F56" i="75"/>
  <c r="F93" i="75"/>
  <c r="F45" i="75"/>
  <c r="F117" i="75"/>
  <c r="F62" i="75"/>
  <c r="F43" i="75"/>
  <c r="F68" i="75"/>
  <c r="F108" i="75"/>
  <c r="F76" i="75"/>
  <c r="F72" i="75"/>
  <c r="F41" i="75"/>
  <c r="F96" i="75"/>
  <c r="F85" i="75"/>
  <c r="F51" i="75"/>
  <c r="F94" i="75"/>
  <c r="F57" i="75"/>
  <c r="F37" i="75"/>
  <c r="F39" i="75"/>
  <c r="F61" i="75"/>
  <c r="F106" i="75"/>
  <c r="F113" i="71"/>
  <c r="F112" i="71"/>
  <c r="F105" i="71"/>
  <c r="F97" i="71"/>
  <c r="F96" i="71"/>
  <c r="F53" i="71"/>
  <c r="F49" i="71"/>
  <c r="F45" i="71"/>
  <c r="F88" i="71"/>
  <c r="F87" i="71"/>
  <c r="F80" i="71"/>
  <c r="F76" i="71"/>
  <c r="F72" i="71"/>
  <c r="F71" i="71"/>
  <c r="F99" i="71"/>
  <c r="F98" i="71"/>
  <c r="F67" i="71"/>
  <c r="F63" i="71"/>
  <c r="F114" i="71"/>
  <c r="F106" i="71"/>
  <c r="F90" i="71"/>
  <c r="F89" i="71"/>
  <c r="F54" i="71"/>
  <c r="F50" i="71"/>
  <c r="F46" i="71"/>
  <c r="F42" i="71"/>
  <c r="F41" i="71"/>
  <c r="F81" i="71"/>
  <c r="F77" i="71"/>
  <c r="F73" i="71"/>
  <c r="F117" i="71"/>
  <c r="F108" i="71"/>
  <c r="F107" i="71"/>
  <c r="F100" i="71"/>
  <c r="F92" i="71"/>
  <c r="F91" i="71"/>
  <c r="F68" i="71"/>
  <c r="F64" i="71"/>
  <c r="F118" i="71"/>
  <c r="F116" i="71"/>
  <c r="F83" i="71"/>
  <c r="F82" i="71"/>
  <c r="F55" i="71"/>
  <c r="F51" i="71"/>
  <c r="F47" i="71"/>
  <c r="F43" i="71"/>
  <c r="F120" i="71"/>
  <c r="F109" i="71"/>
  <c r="F93" i="71"/>
  <c r="F85" i="71"/>
  <c r="F84" i="71"/>
  <c r="F69" i="71"/>
  <c r="F65" i="71"/>
  <c r="F61" i="71"/>
  <c r="F60" i="71"/>
  <c r="F111" i="71"/>
  <c r="F110" i="71"/>
  <c r="F95" i="71"/>
  <c r="F94" i="71"/>
  <c r="F79" i="71"/>
  <c r="F75" i="71"/>
  <c r="D57" i="71"/>
  <c r="F78" i="71"/>
  <c r="F103" i="71"/>
  <c r="F57" i="71"/>
  <c r="F52" i="71"/>
  <c r="F86" i="71"/>
  <c r="F62" i="71"/>
  <c r="F48" i="71"/>
  <c r="F101" i="71"/>
  <c r="F44" i="71"/>
  <c r="F104" i="71"/>
  <c r="F102" i="71"/>
  <c r="L12" i="71"/>
  <c r="N12" i="71" s="1"/>
  <c r="F119" i="71"/>
  <c r="F66" i="71"/>
  <c r="F59" i="71"/>
  <c r="F124" i="71"/>
  <c r="F74" i="71"/>
  <c r="F70" i="71"/>
  <c r="D65" i="60"/>
  <c r="L61" i="60"/>
  <c r="P83" i="58"/>
  <c r="X31" i="55"/>
  <c r="P35" i="55"/>
  <c r="F17" i="48"/>
  <c r="V140" i="36"/>
  <c r="F134" i="36"/>
  <c r="F102" i="36"/>
  <c r="F125" i="36"/>
  <c r="F117" i="36"/>
  <c r="F113" i="36"/>
  <c r="F109" i="36"/>
  <c r="F97" i="36"/>
  <c r="F138" i="36"/>
  <c r="F119" i="36"/>
  <c r="F118" i="36"/>
  <c r="F103" i="36"/>
  <c r="F126" i="36"/>
  <c r="F114" i="36"/>
  <c r="F110" i="36"/>
  <c r="F98" i="36"/>
  <c r="F128" i="36"/>
  <c r="F127" i="36"/>
  <c r="F120" i="36"/>
  <c r="F104" i="36"/>
  <c r="F100" i="36"/>
  <c r="F99" i="36"/>
  <c r="F115" i="36"/>
  <c r="F111" i="36"/>
  <c r="F131" i="36"/>
  <c r="F122" i="36"/>
  <c r="F121" i="36"/>
  <c r="F106" i="36"/>
  <c r="F105" i="36"/>
  <c r="F94" i="36"/>
  <c r="F132" i="36"/>
  <c r="F130" i="36"/>
  <c r="F101" i="36"/>
  <c r="F133" i="36"/>
  <c r="F124" i="36"/>
  <c r="F123" i="36"/>
  <c r="F89" i="36"/>
  <c r="F88" i="36"/>
  <c r="F69" i="36"/>
  <c r="F68" i="36"/>
  <c r="F41" i="36"/>
  <c r="F37" i="36"/>
  <c r="F107" i="36"/>
  <c r="F64" i="36"/>
  <c r="F63" i="36"/>
  <c r="F28" i="36"/>
  <c r="F90" i="36"/>
  <c r="F79" i="36"/>
  <c r="F55" i="36"/>
  <c r="F51" i="36"/>
  <c r="F47" i="36"/>
  <c r="F116" i="36"/>
  <c r="F93" i="36"/>
  <c r="F91" i="36"/>
  <c r="F70" i="36"/>
  <c r="F42" i="36"/>
  <c r="F38" i="36"/>
  <c r="F95" i="36"/>
  <c r="F81" i="36"/>
  <c r="F80" i="36"/>
  <c r="F65" i="36"/>
  <c r="F57" i="36"/>
  <c r="F56" i="36"/>
  <c r="F29" i="36"/>
  <c r="F72" i="36"/>
  <c r="F71" i="36"/>
  <c r="F52" i="36"/>
  <c r="F48" i="36"/>
  <c r="L12" i="36"/>
  <c r="N12" i="36" s="1"/>
  <c r="F112" i="36"/>
  <c r="F83" i="36"/>
  <c r="F82" i="36"/>
  <c r="F59" i="36"/>
  <c r="F58" i="36"/>
  <c r="F43" i="36"/>
  <c r="F39" i="36"/>
  <c r="F35" i="36"/>
  <c r="F34" i="36"/>
  <c r="F74" i="36"/>
  <c r="F73" i="36"/>
  <c r="F66" i="36"/>
  <c r="F33" i="36"/>
  <c r="F31" i="36"/>
  <c r="F108" i="36"/>
  <c r="F85" i="36"/>
  <c r="F84" i="36"/>
  <c r="F53" i="36"/>
  <c r="F49" i="36"/>
  <c r="D31" i="36"/>
  <c r="F92" i="36"/>
  <c r="F76" i="36"/>
  <c r="F75" i="36"/>
  <c r="F60" i="36"/>
  <c r="F44" i="36"/>
  <c r="F40" i="36"/>
  <c r="F36" i="36"/>
  <c r="F87" i="36"/>
  <c r="F86" i="36"/>
  <c r="F67" i="36"/>
  <c r="F27" i="36"/>
  <c r="F26" i="36"/>
  <c r="F77" i="36"/>
  <c r="F62" i="36"/>
  <c r="F96" i="36"/>
  <c r="F54" i="36"/>
  <c r="F46" i="36"/>
  <c r="F61" i="36"/>
  <c r="F78" i="36"/>
  <c r="F50" i="36"/>
  <c r="F45" i="36"/>
  <c r="H153" i="30"/>
  <c r="L16" i="6"/>
  <c r="P314" i="3"/>
  <c r="X192" i="3"/>
  <c r="Z192" i="3" s="1"/>
  <c r="H27" i="52"/>
  <c r="N18" i="52"/>
  <c r="D27" i="52"/>
  <c r="L18" i="52"/>
  <c r="L18" i="50"/>
  <c r="D27" i="50"/>
  <c r="X18" i="35"/>
  <c r="P27" i="35"/>
  <c r="L18" i="34"/>
  <c r="D27" i="34"/>
  <c r="T27" i="31"/>
  <c r="Z18" i="31"/>
  <c r="X18" i="29"/>
  <c r="P27" i="29"/>
  <c r="T27" i="28"/>
  <c r="Z18" i="28"/>
  <c r="X18" i="16"/>
  <c r="P27" i="16"/>
  <c r="T27" i="23"/>
  <c r="Z18" i="23"/>
  <c r="H27" i="14"/>
  <c r="N18" i="14"/>
  <c r="P27" i="17"/>
  <c r="X18" i="17"/>
  <c r="H27" i="10"/>
  <c r="N18" i="10"/>
  <c r="P27" i="14"/>
  <c r="X18" i="14"/>
  <c r="T31" i="23" l="1"/>
  <c r="Z27" i="23"/>
  <c r="T79" i="101"/>
  <c r="V75" i="101"/>
  <c r="L27" i="38"/>
  <c r="D31" i="38"/>
  <c r="L27" i="19"/>
  <c r="D31" i="19"/>
  <c r="H26" i="6"/>
  <c r="N22" i="6"/>
  <c r="X27" i="16"/>
  <c r="P31" i="16"/>
  <c r="L27" i="50"/>
  <c r="D31" i="50"/>
  <c r="H75" i="79"/>
  <c r="N71" i="79"/>
  <c r="H31" i="19"/>
  <c r="N27" i="19"/>
  <c r="D31" i="43"/>
  <c r="L27" i="43"/>
  <c r="H106" i="45"/>
  <c r="J102" i="45"/>
  <c r="L27" i="16"/>
  <c r="D31" i="16"/>
  <c r="L27" i="13"/>
  <c r="D31" i="13"/>
  <c r="T292" i="18"/>
  <c r="V288" i="18"/>
  <c r="L76" i="70"/>
  <c r="N76" i="70" s="1"/>
  <c r="D80" i="70"/>
  <c r="F76" i="70"/>
  <c r="H31" i="25"/>
  <c r="N27" i="25"/>
  <c r="Z27" i="53"/>
  <c r="T31" i="53"/>
  <c r="L27" i="29"/>
  <c r="D31" i="29"/>
  <c r="X27" i="46"/>
  <c r="P31" i="46"/>
  <c r="H66" i="61"/>
  <c r="T48" i="99"/>
  <c r="Z48" i="99" s="1"/>
  <c r="Z45" i="99"/>
  <c r="N27" i="31"/>
  <c r="H31" i="31"/>
  <c r="P112" i="64"/>
  <c r="X109" i="64"/>
  <c r="X93" i="92"/>
  <c r="P97" i="92"/>
  <c r="D31" i="25"/>
  <c r="L27" i="25"/>
  <c r="D261" i="15"/>
  <c r="L154" i="15"/>
  <c r="N154" i="15" s="1"/>
  <c r="X57" i="71"/>
  <c r="Z57" i="71" s="1"/>
  <c r="P122" i="71"/>
  <c r="H31" i="20"/>
  <c r="N27" i="20"/>
  <c r="P65" i="60"/>
  <c r="X61" i="60"/>
  <c r="Z61" i="60" s="1"/>
  <c r="T89" i="81"/>
  <c r="V86" i="81"/>
  <c r="T89" i="89"/>
  <c r="V85" i="89"/>
  <c r="T67" i="103"/>
  <c r="X27" i="26"/>
  <c r="P31" i="26"/>
  <c r="T94" i="102"/>
  <c r="V90" i="102"/>
  <c r="Z27" i="40"/>
  <c r="T31" i="40"/>
  <c r="N70" i="48"/>
  <c r="H74" i="48"/>
  <c r="J70" i="48"/>
  <c r="L27" i="44"/>
  <c r="D31" i="44"/>
  <c r="P79" i="94"/>
  <c r="X23" i="94"/>
  <c r="Z23" i="94" s="1"/>
  <c r="X27" i="7"/>
  <c r="P31" i="7"/>
  <c r="P95" i="88"/>
  <c r="X22" i="88"/>
  <c r="Z22" i="88" s="1"/>
  <c r="H91" i="76"/>
  <c r="N87" i="76"/>
  <c r="J87" i="76"/>
  <c r="P76" i="70"/>
  <c r="X22" i="70"/>
  <c r="Z22" i="70" s="1"/>
  <c r="T97" i="92"/>
  <c r="Z93" i="92"/>
  <c r="D97" i="104"/>
  <c r="F94" i="104"/>
  <c r="Z27" i="32"/>
  <c r="T31" i="32"/>
  <c r="L22" i="83"/>
  <c r="N22" i="83" s="1"/>
  <c r="D28" i="83"/>
  <c r="X27" i="5"/>
  <c r="P31" i="5"/>
  <c r="H133" i="42"/>
  <c r="J129" i="42"/>
  <c r="Z27" i="113"/>
  <c r="T31" i="113"/>
  <c r="H31" i="43"/>
  <c r="N27" i="43"/>
  <c r="T160" i="30"/>
  <c r="V157" i="30"/>
  <c r="D74" i="110"/>
  <c r="L70" i="110"/>
  <c r="N70" i="110" s="1"/>
  <c r="F70" i="110"/>
  <c r="N27" i="22"/>
  <c r="H31" i="22"/>
  <c r="Z27" i="50"/>
  <c r="T31" i="50"/>
  <c r="J149" i="39"/>
  <c r="T102" i="88"/>
  <c r="V99" i="88"/>
  <c r="L27" i="31"/>
  <c r="D31" i="31"/>
  <c r="D91" i="76"/>
  <c r="L87" i="76"/>
  <c r="F87" i="76"/>
  <c r="H85" i="80"/>
  <c r="J81" i="80"/>
  <c r="X49" i="85"/>
  <c r="Z49" i="85" s="1"/>
  <c r="P124" i="85"/>
  <c r="T146" i="39"/>
  <c r="V142" i="39"/>
  <c r="P104" i="33"/>
  <c r="X37" i="33"/>
  <c r="Z37" i="33" s="1"/>
  <c r="T109" i="45"/>
  <c r="V106" i="45"/>
  <c r="H89" i="81"/>
  <c r="J86" i="81"/>
  <c r="D130" i="24"/>
  <c r="L75" i="24"/>
  <c r="N75" i="24" s="1"/>
  <c r="H108" i="33"/>
  <c r="J104" i="33"/>
  <c r="D75" i="59"/>
  <c r="L71" i="59"/>
  <c r="H97" i="74"/>
  <c r="J93" i="74"/>
  <c r="H67" i="105"/>
  <c r="J63" i="105"/>
  <c r="L70" i="48"/>
  <c r="D74" i="48"/>
  <c r="F70" i="48"/>
  <c r="D84" i="57"/>
  <c r="Z27" i="10"/>
  <c r="T31" i="10"/>
  <c r="X27" i="112"/>
  <c r="P31" i="112"/>
  <c r="L81" i="56"/>
  <c r="D85" i="56"/>
  <c r="P68" i="68"/>
  <c r="X64" i="68"/>
  <c r="Z64" i="68" s="1"/>
  <c r="T75" i="59"/>
  <c r="Z27" i="22"/>
  <c r="T31" i="22"/>
  <c r="H126" i="27"/>
  <c r="J122" i="27"/>
  <c r="T85" i="80"/>
  <c r="V81" i="80"/>
  <c r="T74" i="48"/>
  <c r="V70" i="48"/>
  <c r="Z27" i="25"/>
  <c r="T31" i="25"/>
  <c r="D31" i="41"/>
  <c r="L27" i="41"/>
  <c r="H124" i="75"/>
  <c r="J120" i="75"/>
  <c r="H103" i="84"/>
  <c r="J100" i="84"/>
  <c r="L27" i="35"/>
  <c r="D31" i="35"/>
  <c r="D84" i="73"/>
  <c r="L25" i="73"/>
  <c r="N25" i="73" s="1"/>
  <c r="J77" i="110"/>
  <c r="X27" i="23"/>
  <c r="P31" i="23"/>
  <c r="D31" i="113"/>
  <c r="L27" i="113"/>
  <c r="D93" i="74"/>
  <c r="L54" i="74"/>
  <c r="N54" i="74" s="1"/>
  <c r="X27" i="28"/>
  <c r="P31" i="28"/>
  <c r="N27" i="113"/>
  <c r="H31" i="113"/>
  <c r="D102" i="45"/>
  <c r="L25" i="45"/>
  <c r="N25" i="45" s="1"/>
  <c r="X27" i="34"/>
  <c r="P31" i="34"/>
  <c r="X27" i="113"/>
  <c r="P31" i="113"/>
  <c r="X22" i="84"/>
  <c r="Z22" i="84" s="1"/>
  <c r="P96" i="84"/>
  <c r="H60" i="100"/>
  <c r="T74" i="110"/>
  <c r="V70" i="110"/>
  <c r="D63" i="105"/>
  <c r="L23" i="105"/>
  <c r="N23" i="105" s="1"/>
  <c r="Z27" i="11"/>
  <c r="T31" i="11"/>
  <c r="Z27" i="38"/>
  <c r="T31" i="38"/>
  <c r="P26" i="54"/>
  <c r="X22" i="54"/>
  <c r="L23" i="102"/>
  <c r="N23" i="102" s="1"/>
  <c r="D90" i="102"/>
  <c r="H82" i="101"/>
  <c r="D96" i="108"/>
  <c r="L92" i="108"/>
  <c r="F92" i="108"/>
  <c r="Z27" i="20"/>
  <c r="T31" i="20"/>
  <c r="P31" i="52"/>
  <c r="X27" i="52"/>
  <c r="D83" i="94"/>
  <c r="L79" i="94"/>
  <c r="F79" i="94"/>
  <c r="D99" i="96"/>
  <c r="L22" i="96"/>
  <c r="N22" i="96" s="1"/>
  <c r="L93" i="106"/>
  <c r="N93" i="106" s="1"/>
  <c r="D97" i="106"/>
  <c r="F93" i="106"/>
  <c r="P119" i="69"/>
  <c r="X66" i="69"/>
  <c r="Z66" i="69" s="1"/>
  <c r="Z27" i="14"/>
  <c r="T31" i="14"/>
  <c r="N27" i="26"/>
  <c r="H31" i="26"/>
  <c r="P57" i="100"/>
  <c r="X53" i="100"/>
  <c r="N81" i="56"/>
  <c r="H85" i="56"/>
  <c r="T31" i="5"/>
  <c r="Z27" i="5"/>
  <c r="Z27" i="111"/>
  <c r="T31" i="111"/>
  <c r="D153" i="30"/>
  <c r="L66" i="30"/>
  <c r="N66" i="30" s="1"/>
  <c r="F66" i="30"/>
  <c r="T81" i="57"/>
  <c r="T90" i="93"/>
  <c r="V87" i="93"/>
  <c r="D31" i="112"/>
  <c r="L27" i="112"/>
  <c r="H89" i="89"/>
  <c r="J85" i="89"/>
  <c r="D146" i="39"/>
  <c r="L142" i="39"/>
  <c r="N142" i="39" s="1"/>
  <c r="F142" i="39"/>
  <c r="L27" i="7"/>
  <c r="D31" i="7"/>
  <c r="L27" i="46"/>
  <c r="D31" i="46"/>
  <c r="H31" i="17"/>
  <c r="N27" i="17"/>
  <c r="Z86" i="95"/>
  <c r="T90" i="95"/>
  <c r="V86" i="95"/>
  <c r="X27" i="32"/>
  <c r="P31" i="32"/>
  <c r="P63" i="105"/>
  <c r="X23" i="105"/>
  <c r="Z23" i="105" s="1"/>
  <c r="D86" i="95"/>
  <c r="L23" i="95"/>
  <c r="N23" i="95" s="1"/>
  <c r="H50" i="109"/>
  <c r="N46" i="109"/>
  <c r="X27" i="22"/>
  <c r="P31" i="22"/>
  <c r="P107" i="51"/>
  <c r="X56" i="51"/>
  <c r="Z56" i="51" s="1"/>
  <c r="L82" i="81"/>
  <c r="N82" i="81" s="1"/>
  <c r="D86" i="81"/>
  <c r="F82" i="81"/>
  <c r="H97" i="106"/>
  <c r="J93" i="106"/>
  <c r="N27" i="28"/>
  <c r="H31" i="28"/>
  <c r="N27" i="40"/>
  <c r="H31" i="40"/>
  <c r="N22" i="54"/>
  <c r="H26" i="54"/>
  <c r="T103" i="84"/>
  <c r="V100" i="84"/>
  <c r="D31" i="54"/>
  <c r="D31" i="52"/>
  <c r="L27" i="52"/>
  <c r="L46" i="109"/>
  <c r="D50" i="109"/>
  <c r="H292" i="18"/>
  <c r="J288" i="18"/>
  <c r="N27" i="34"/>
  <c r="H31" i="34"/>
  <c r="H81" i="57"/>
  <c r="N77" i="57"/>
  <c r="X27" i="40"/>
  <c r="P31" i="40"/>
  <c r="L27" i="28"/>
  <c r="D31" i="28"/>
  <c r="X27" i="25"/>
  <c r="P31" i="25"/>
  <c r="D97" i="92"/>
  <c r="L93" i="92"/>
  <c r="N93" i="92" s="1"/>
  <c r="T126" i="27"/>
  <c r="V122" i="27"/>
  <c r="H31" i="8"/>
  <c r="N27" i="8"/>
  <c r="H31" i="41"/>
  <c r="N27" i="41"/>
  <c r="X179" i="18"/>
  <c r="Z179" i="18" s="1"/>
  <c r="P288" i="18"/>
  <c r="P97" i="74"/>
  <c r="X93" i="74"/>
  <c r="R93" i="74"/>
  <c r="L57" i="100"/>
  <c r="N57" i="100" s="1"/>
  <c r="D60" i="100"/>
  <c r="L60" i="100" s="1"/>
  <c r="X27" i="41"/>
  <c r="P31" i="41"/>
  <c r="L27" i="111"/>
  <c r="D31" i="111"/>
  <c r="P90" i="104"/>
  <c r="X23" i="104"/>
  <c r="Z23" i="104" s="1"/>
  <c r="H318" i="3"/>
  <c r="J314" i="3"/>
  <c r="F23" i="105"/>
  <c r="T111" i="77"/>
  <c r="V107" i="77"/>
  <c r="X23" i="98"/>
  <c r="Z23" i="98" s="1"/>
  <c r="P91" i="98"/>
  <c r="H114" i="51"/>
  <c r="J111" i="51"/>
  <c r="N27" i="47"/>
  <c r="H31" i="47"/>
  <c r="X27" i="53"/>
  <c r="P31" i="53"/>
  <c r="Z27" i="7"/>
  <c r="T31" i="7"/>
  <c r="P31" i="31"/>
  <c r="X27" i="31"/>
  <c r="Z27" i="112"/>
  <c r="T31" i="112"/>
  <c r="D314" i="3"/>
  <c r="L192" i="3"/>
  <c r="N192" i="3" s="1"/>
  <c r="X71" i="79"/>
  <c r="Z71" i="79" s="1"/>
  <c r="P75" i="79"/>
  <c r="R71" i="79"/>
  <c r="X41" i="99"/>
  <c r="P45" i="99"/>
  <c r="R41" i="99"/>
  <c r="H100" i="92"/>
  <c r="T80" i="70"/>
  <c r="V76" i="70"/>
  <c r="N27" i="13"/>
  <c r="H31" i="13"/>
  <c r="T103" i="9"/>
  <c r="X27" i="50"/>
  <c r="P31" i="50"/>
  <c r="T108" i="33"/>
  <c r="V104" i="33"/>
  <c r="X27" i="29"/>
  <c r="P31" i="29"/>
  <c r="L95" i="88"/>
  <c r="N95" i="88" s="1"/>
  <c r="D99" i="88"/>
  <c r="F95" i="88"/>
  <c r="N27" i="10"/>
  <c r="H31" i="10"/>
  <c r="N27" i="52"/>
  <c r="H31" i="52"/>
  <c r="X35" i="55"/>
  <c r="P38" i="55"/>
  <c r="L57" i="71"/>
  <c r="N57" i="71" s="1"/>
  <c r="D122" i="71"/>
  <c r="L27" i="23"/>
  <c r="D31" i="23"/>
  <c r="L27" i="32"/>
  <c r="D31" i="32"/>
  <c r="L27" i="53"/>
  <c r="D31" i="53"/>
  <c r="H111" i="77"/>
  <c r="J107" i="77"/>
  <c r="Z27" i="8"/>
  <c r="T31" i="8"/>
  <c r="H131" i="85"/>
  <c r="J128" i="85"/>
  <c r="Z27" i="26"/>
  <c r="T31" i="26"/>
  <c r="H31" i="112"/>
  <c r="N27" i="112"/>
  <c r="T88" i="73"/>
  <c r="V84" i="73"/>
  <c r="H123" i="69"/>
  <c r="J119" i="69"/>
  <c r="V143" i="36"/>
  <c r="X70" i="48"/>
  <c r="Z70" i="48" s="1"/>
  <c r="D79" i="101"/>
  <c r="L75" i="101"/>
  <c r="N75" i="101" s="1"/>
  <c r="X27" i="111"/>
  <c r="P31" i="111"/>
  <c r="T111" i="51"/>
  <c r="V107" i="51"/>
  <c r="L81" i="80"/>
  <c r="N81" i="80" s="1"/>
  <c r="D85" i="80"/>
  <c r="F81" i="80"/>
  <c r="Z27" i="44"/>
  <c r="T31" i="44"/>
  <c r="T278" i="12"/>
  <c r="V274" i="12"/>
  <c r="T123" i="69"/>
  <c r="V119" i="69"/>
  <c r="H67" i="103"/>
  <c r="N63" i="103"/>
  <c r="D31" i="20"/>
  <c r="L27" i="20"/>
  <c r="N27" i="32"/>
  <c r="H31" i="32"/>
  <c r="T91" i="76"/>
  <c r="V87" i="76"/>
  <c r="P31" i="14"/>
  <c r="X27" i="14"/>
  <c r="X27" i="20"/>
  <c r="P31" i="20"/>
  <c r="V83" i="94"/>
  <c r="T86" i="94"/>
  <c r="T31" i="54"/>
  <c r="Z26" i="54"/>
  <c r="P81" i="57"/>
  <c r="X77" i="57"/>
  <c r="Z77" i="57" s="1"/>
  <c r="P83" i="93"/>
  <c r="X22" i="93"/>
  <c r="Z22" i="93" s="1"/>
  <c r="H83" i="70"/>
  <c r="J80" i="70"/>
  <c r="D274" i="12"/>
  <c r="L160" i="12"/>
  <c r="N160" i="12" s="1"/>
  <c r="P278" i="12"/>
  <c r="X274" i="12"/>
  <c r="Z274" i="12" s="1"/>
  <c r="R274" i="12"/>
  <c r="D80" i="58"/>
  <c r="L76" i="58"/>
  <c r="N76" i="58" s="1"/>
  <c r="Z27" i="41"/>
  <c r="T31" i="41"/>
  <c r="Z27" i="13"/>
  <c r="T31" i="13"/>
  <c r="T80" i="58"/>
  <c r="X76" i="58"/>
  <c r="Z76" i="58" s="1"/>
  <c r="D124" i="85"/>
  <c r="L49" i="85"/>
  <c r="N49" i="85" s="1"/>
  <c r="N27" i="5"/>
  <c r="H31" i="5"/>
  <c r="N27" i="49"/>
  <c r="H31" i="49"/>
  <c r="T265" i="15"/>
  <c r="V261" i="15"/>
  <c r="P133" i="42"/>
  <c r="X129" i="42"/>
  <c r="R129" i="42"/>
  <c r="D31" i="8"/>
  <c r="L27" i="8"/>
  <c r="X74" i="48"/>
  <c r="P77" i="48"/>
  <c r="R74" i="48"/>
  <c r="D75" i="79"/>
  <c r="L71" i="79"/>
  <c r="F71" i="79"/>
  <c r="P103" i="96"/>
  <c r="X99" i="96"/>
  <c r="Z99" i="96" s="1"/>
  <c r="R99" i="96"/>
  <c r="Z27" i="19"/>
  <c r="T31" i="19"/>
  <c r="Z22" i="6"/>
  <c r="T26" i="6"/>
  <c r="Z31" i="55"/>
  <c r="T35" i="55"/>
  <c r="H95" i="98"/>
  <c r="J91" i="98"/>
  <c r="L107" i="51"/>
  <c r="N107" i="51" s="1"/>
  <c r="D111" i="51"/>
  <c r="F107" i="51"/>
  <c r="D31" i="10"/>
  <c r="L27" i="10"/>
  <c r="T31" i="47"/>
  <c r="Z27" i="47"/>
  <c r="T109" i="64"/>
  <c r="Z105" i="64"/>
  <c r="H90" i="95"/>
  <c r="J86" i="95"/>
  <c r="X27" i="44"/>
  <c r="P31" i="44"/>
  <c r="N27" i="4"/>
  <c r="H31" i="4"/>
  <c r="Z27" i="29"/>
  <c r="T31" i="29"/>
  <c r="P116" i="21"/>
  <c r="X29" i="21"/>
  <c r="Z29" i="21" s="1"/>
  <c r="D66" i="61"/>
  <c r="L62" i="61"/>
  <c r="N62" i="61" s="1"/>
  <c r="N90" i="104"/>
  <c r="H94" i="104"/>
  <c r="J90" i="104"/>
  <c r="N27" i="46"/>
  <c r="H31" i="46"/>
  <c r="L23" i="98"/>
  <c r="N23" i="98" s="1"/>
  <c r="D91" i="98"/>
  <c r="Z27" i="28"/>
  <c r="T31" i="28"/>
  <c r="D120" i="75"/>
  <c r="L53" i="75"/>
  <c r="N53" i="75" s="1"/>
  <c r="X92" i="108"/>
  <c r="Z92" i="108" s="1"/>
  <c r="P96" i="108"/>
  <c r="R92" i="108"/>
  <c r="N27" i="11"/>
  <c r="H31" i="11"/>
  <c r="H31" i="29"/>
  <c r="N27" i="29"/>
  <c r="P85" i="56"/>
  <c r="X81" i="56"/>
  <c r="Z81" i="56" s="1"/>
  <c r="P81" i="80"/>
  <c r="X22" i="80"/>
  <c r="Z22" i="80" s="1"/>
  <c r="Z27" i="34"/>
  <c r="T31" i="34"/>
  <c r="H140" i="36"/>
  <c r="J136" i="36"/>
  <c r="T96" i="108"/>
  <c r="V92" i="108"/>
  <c r="X27" i="49"/>
  <c r="P31" i="49"/>
  <c r="L31" i="55"/>
  <c r="D35" i="55"/>
  <c r="Z27" i="43"/>
  <c r="T31" i="43"/>
  <c r="N27" i="111"/>
  <c r="H31" i="111"/>
  <c r="L30" i="42"/>
  <c r="N30" i="42" s="1"/>
  <c r="D129" i="42"/>
  <c r="L22" i="93"/>
  <c r="N22" i="93" s="1"/>
  <c r="D83" i="93"/>
  <c r="H48" i="99"/>
  <c r="N48" i="99" s="1"/>
  <c r="N45" i="99"/>
  <c r="D126" i="27"/>
  <c r="L122" i="27"/>
  <c r="N122" i="27" s="1"/>
  <c r="F122" i="27"/>
  <c r="V131" i="85"/>
  <c r="D31" i="49"/>
  <c r="L27" i="49"/>
  <c r="H112" i="64"/>
  <c r="L27" i="11"/>
  <c r="D31" i="11"/>
  <c r="D109" i="64"/>
  <c r="L105" i="64"/>
  <c r="N105" i="64" s="1"/>
  <c r="X87" i="76"/>
  <c r="Z87" i="76" s="1"/>
  <c r="P91" i="76"/>
  <c r="R87" i="76"/>
  <c r="X93" i="106"/>
  <c r="Z93" i="106" s="1"/>
  <c r="P97" i="106"/>
  <c r="R93" i="106"/>
  <c r="X107" i="77"/>
  <c r="Z107" i="77" s="1"/>
  <c r="P111" i="77"/>
  <c r="R107" i="77"/>
  <c r="V32" i="83"/>
  <c r="T35" i="83"/>
  <c r="Z53" i="100"/>
  <c r="T57" i="100"/>
  <c r="P130" i="24"/>
  <c r="X75" i="24"/>
  <c r="Z75" i="24" s="1"/>
  <c r="H35" i="83"/>
  <c r="J32" i="83"/>
  <c r="D100" i="84"/>
  <c r="L96" i="84"/>
  <c r="N96" i="84" s="1"/>
  <c r="F96" i="84"/>
  <c r="P36" i="86"/>
  <c r="X32" i="86"/>
  <c r="Z32" i="86" s="1"/>
  <c r="R32" i="86"/>
  <c r="P31" i="17"/>
  <c r="X27" i="17"/>
  <c r="F53" i="75"/>
  <c r="L27" i="4"/>
  <c r="D31" i="4"/>
  <c r="N27" i="23"/>
  <c r="H31" i="23"/>
  <c r="N27" i="37"/>
  <c r="H31" i="37"/>
  <c r="T318" i="3"/>
  <c r="V314" i="3"/>
  <c r="P32" i="83"/>
  <c r="X28" i="83"/>
  <c r="Z28" i="83" s="1"/>
  <c r="R28" i="83"/>
  <c r="D32" i="86"/>
  <c r="L20" i="86"/>
  <c r="N20" i="86" s="1"/>
  <c r="F20" i="86"/>
  <c r="F25" i="73"/>
  <c r="X27" i="10"/>
  <c r="P31" i="10"/>
  <c r="P31" i="37"/>
  <c r="X27" i="37"/>
  <c r="H120" i="21"/>
  <c r="J116" i="21"/>
  <c r="H83" i="94"/>
  <c r="N79" i="94"/>
  <c r="J79" i="94"/>
  <c r="X27" i="8"/>
  <c r="P31" i="8"/>
  <c r="X27" i="43"/>
  <c r="P31" i="43"/>
  <c r="P103" i="9"/>
  <c r="X99" i="9"/>
  <c r="Z99" i="9" s="1"/>
  <c r="D71" i="68"/>
  <c r="T36" i="86"/>
  <c r="V32" i="86"/>
  <c r="Z27" i="4"/>
  <c r="T31" i="4"/>
  <c r="L37" i="33"/>
  <c r="N37" i="33" s="1"/>
  <c r="D104" i="33"/>
  <c r="N64" i="68"/>
  <c r="H68" i="68"/>
  <c r="L68" i="68" s="1"/>
  <c r="T31" i="37"/>
  <c r="Z27" i="37"/>
  <c r="L27" i="40"/>
  <c r="D31" i="40"/>
  <c r="L99" i="9"/>
  <c r="D103" i="9"/>
  <c r="H75" i="59"/>
  <c r="N71" i="59"/>
  <c r="T97" i="74"/>
  <c r="Z93" i="74"/>
  <c r="V93" i="74"/>
  <c r="R22" i="84"/>
  <c r="N27" i="16"/>
  <c r="H31" i="16"/>
  <c r="H278" i="12"/>
  <c r="J274" i="12"/>
  <c r="Z62" i="61"/>
  <c r="T66" i="61"/>
  <c r="X62" i="61"/>
  <c r="F23" i="102"/>
  <c r="N27" i="35"/>
  <c r="H31" i="35"/>
  <c r="P265" i="15"/>
  <c r="X261" i="15"/>
  <c r="Z261" i="15" s="1"/>
  <c r="R261" i="15"/>
  <c r="X86" i="95"/>
  <c r="P90" i="95"/>
  <c r="R86" i="95"/>
  <c r="Z27" i="16"/>
  <c r="T31" i="16"/>
  <c r="T31" i="35"/>
  <c r="Z27" i="35"/>
  <c r="H65" i="60"/>
  <c r="N61" i="60"/>
  <c r="H31" i="7"/>
  <c r="N27" i="7"/>
  <c r="N99" i="9"/>
  <c r="H103" i="9"/>
  <c r="T94" i="104"/>
  <c r="V90" i="104"/>
  <c r="L67" i="103"/>
  <c r="D70" i="103"/>
  <c r="L27" i="47"/>
  <c r="D31" i="47"/>
  <c r="N27" i="50"/>
  <c r="H31" i="50"/>
  <c r="X63" i="103"/>
  <c r="Z63" i="103" s="1"/>
  <c r="P67" i="103"/>
  <c r="P75" i="101"/>
  <c r="X22" i="101"/>
  <c r="Z22" i="101" s="1"/>
  <c r="P318" i="3"/>
  <c r="X314" i="3"/>
  <c r="Z314" i="3" s="1"/>
  <c r="R314" i="3"/>
  <c r="L27" i="34"/>
  <c r="D31" i="34"/>
  <c r="D136" i="36"/>
  <c r="L31" i="36"/>
  <c r="N31" i="36" s="1"/>
  <c r="N27" i="14"/>
  <c r="H31" i="14"/>
  <c r="H88" i="73"/>
  <c r="J84" i="73"/>
  <c r="H103" i="96"/>
  <c r="J99" i="96"/>
  <c r="H96" i="108"/>
  <c r="N92" i="108"/>
  <c r="J92" i="108"/>
  <c r="L27" i="17"/>
  <c r="D31" i="17"/>
  <c r="L22" i="6"/>
  <c r="T97" i="106"/>
  <c r="V93" i="106"/>
  <c r="X17" i="110"/>
  <c r="Z17" i="110" s="1"/>
  <c r="P70" i="110"/>
  <c r="P50" i="109"/>
  <c r="X46" i="109"/>
  <c r="Z46" i="109" s="1"/>
  <c r="X22" i="6"/>
  <c r="P26" i="6"/>
  <c r="L179" i="18"/>
  <c r="N179" i="18" s="1"/>
  <c r="D288" i="18"/>
  <c r="T88" i="56"/>
  <c r="X142" i="39"/>
  <c r="Z142" i="39" s="1"/>
  <c r="P146" i="39"/>
  <c r="R142" i="39"/>
  <c r="P84" i="73"/>
  <c r="X25" i="73"/>
  <c r="Z25" i="73" s="1"/>
  <c r="X27" i="19"/>
  <c r="P31" i="19"/>
  <c r="P153" i="30"/>
  <c r="X66" i="30"/>
  <c r="Z66" i="30" s="1"/>
  <c r="H35" i="55"/>
  <c r="N31" i="55"/>
  <c r="L56" i="77"/>
  <c r="N56" i="77" s="1"/>
  <c r="D107" i="77"/>
  <c r="Z27" i="17"/>
  <c r="T31" i="17"/>
  <c r="D31" i="26"/>
  <c r="L27" i="26"/>
  <c r="T134" i="24"/>
  <c r="V130" i="24"/>
  <c r="Z27" i="52"/>
  <c r="T31" i="52"/>
  <c r="H265" i="15"/>
  <c r="J261" i="15"/>
  <c r="P120" i="75"/>
  <c r="X53" i="75"/>
  <c r="Z53" i="75" s="1"/>
  <c r="R22" i="88"/>
  <c r="T95" i="98"/>
  <c r="V91" i="98"/>
  <c r="X27" i="11"/>
  <c r="P31" i="11"/>
  <c r="T120" i="21"/>
  <c r="V116" i="21"/>
  <c r="X22" i="81"/>
  <c r="Z22" i="81" s="1"/>
  <c r="P82" i="81"/>
  <c r="D85" i="89"/>
  <c r="L23" i="89"/>
  <c r="N23" i="89" s="1"/>
  <c r="D45" i="99"/>
  <c r="L41" i="99"/>
  <c r="F41" i="99"/>
  <c r="R66" i="69"/>
  <c r="P31" i="13"/>
  <c r="X27" i="13"/>
  <c r="L27" i="37"/>
  <c r="D31" i="37"/>
  <c r="H80" i="58"/>
  <c r="H87" i="93"/>
  <c r="J83" i="93"/>
  <c r="P75" i="59"/>
  <c r="X71" i="59"/>
  <c r="Z71" i="59" s="1"/>
  <c r="T67" i="105"/>
  <c r="V63" i="105"/>
  <c r="Z27" i="31"/>
  <c r="T31" i="31"/>
  <c r="H157" i="30"/>
  <c r="J153" i="30"/>
  <c r="X27" i="35"/>
  <c r="P31" i="35"/>
  <c r="D68" i="60"/>
  <c r="H97" i="102"/>
  <c r="J94" i="102"/>
  <c r="L27" i="22"/>
  <c r="D31" i="22"/>
  <c r="T106" i="96"/>
  <c r="V103" i="96"/>
  <c r="N27" i="38"/>
  <c r="H31" i="38"/>
  <c r="D31" i="6"/>
  <c r="L26" i="6"/>
  <c r="L27" i="14"/>
  <c r="D31" i="14"/>
  <c r="X27" i="4"/>
  <c r="P31" i="4"/>
  <c r="P31" i="38"/>
  <c r="X27" i="38"/>
  <c r="F54" i="74"/>
  <c r="X23" i="89"/>
  <c r="Z23" i="89" s="1"/>
  <c r="P85" i="89"/>
  <c r="L116" i="21"/>
  <c r="N116" i="21" s="1"/>
  <c r="D120" i="21"/>
  <c r="F116" i="21"/>
  <c r="T133" i="42"/>
  <c r="Z129" i="42"/>
  <c r="V129" i="42"/>
  <c r="Z27" i="49"/>
  <c r="T31" i="49"/>
  <c r="N27" i="53"/>
  <c r="H31" i="53"/>
  <c r="H39" i="86"/>
  <c r="J36" i="86"/>
  <c r="P140" i="36"/>
  <c r="X136" i="36"/>
  <c r="Z136" i="36" s="1"/>
  <c r="R136" i="36"/>
  <c r="P102" i="45"/>
  <c r="X25" i="45"/>
  <c r="Z25" i="45" s="1"/>
  <c r="X23" i="102"/>
  <c r="Z23" i="102" s="1"/>
  <c r="P90" i="102"/>
  <c r="L27" i="5"/>
  <c r="D31" i="5"/>
  <c r="X27" i="47"/>
  <c r="P31" i="47"/>
  <c r="H134" i="24"/>
  <c r="J130" i="24"/>
  <c r="H126" i="71"/>
  <c r="J122" i="71"/>
  <c r="N27" i="44"/>
  <c r="H31" i="44"/>
  <c r="L119" i="69"/>
  <c r="N119" i="69" s="1"/>
  <c r="D123" i="69"/>
  <c r="F119" i="69"/>
  <c r="X57" i="27"/>
  <c r="Z57" i="27" s="1"/>
  <c r="P122" i="27"/>
  <c r="Z27" i="46"/>
  <c r="T31" i="46"/>
  <c r="L31" i="47" l="1"/>
  <c r="D36" i="47"/>
  <c r="X85" i="56"/>
  <c r="Z85" i="56" s="1"/>
  <c r="P88" i="56"/>
  <c r="X88" i="56" s="1"/>
  <c r="L91" i="98"/>
  <c r="N91" i="98" s="1"/>
  <c r="D95" i="98"/>
  <c r="F91" i="98"/>
  <c r="D36" i="8"/>
  <c r="L31" i="8"/>
  <c r="Z278" i="12"/>
  <c r="T281" i="12"/>
  <c r="V278" i="12"/>
  <c r="X31" i="41"/>
  <c r="P36" i="41"/>
  <c r="H36" i="8"/>
  <c r="N36" i="8" s="1"/>
  <c r="N31" i="8"/>
  <c r="X31" i="22"/>
  <c r="P36" i="22"/>
  <c r="D94" i="102"/>
  <c r="L90" i="102"/>
  <c r="N90" i="102" s="1"/>
  <c r="F90" i="102"/>
  <c r="N31" i="113"/>
  <c r="H36" i="113"/>
  <c r="N36" i="113" s="1"/>
  <c r="Z31" i="25"/>
  <c r="T36" i="25"/>
  <c r="Z36" i="25" s="1"/>
  <c r="H129" i="27"/>
  <c r="N126" i="27"/>
  <c r="J126" i="27"/>
  <c r="J89" i="81"/>
  <c r="X124" i="85"/>
  <c r="Z124" i="85" s="1"/>
  <c r="P128" i="85"/>
  <c r="R124" i="85"/>
  <c r="X31" i="5"/>
  <c r="P36" i="5"/>
  <c r="T100" i="92"/>
  <c r="Z97" i="92"/>
  <c r="D36" i="44"/>
  <c r="L31" i="44"/>
  <c r="X31" i="26"/>
  <c r="P36" i="26"/>
  <c r="X97" i="92"/>
  <c r="P100" i="92"/>
  <c r="L31" i="29"/>
  <c r="D36" i="29"/>
  <c r="L31" i="13"/>
  <c r="D36" i="13"/>
  <c r="P106" i="45"/>
  <c r="X102" i="45"/>
  <c r="Z102" i="45" s="1"/>
  <c r="R102" i="45"/>
  <c r="X31" i="4"/>
  <c r="P36" i="4"/>
  <c r="H90" i="93"/>
  <c r="J87" i="93"/>
  <c r="L31" i="34"/>
  <c r="D36" i="34"/>
  <c r="N31" i="35"/>
  <c r="H36" i="35"/>
  <c r="N36" i="35" s="1"/>
  <c r="N83" i="94"/>
  <c r="H86" i="94"/>
  <c r="J83" i="94"/>
  <c r="J35" i="83"/>
  <c r="P100" i="106"/>
  <c r="X97" i="106"/>
  <c r="R97" i="106"/>
  <c r="D36" i="49"/>
  <c r="L31" i="49"/>
  <c r="N31" i="111"/>
  <c r="H36" i="111"/>
  <c r="N36" i="111" s="1"/>
  <c r="N31" i="4"/>
  <c r="H36" i="4"/>
  <c r="N36" i="4" s="1"/>
  <c r="D36" i="10"/>
  <c r="L31" i="10"/>
  <c r="D83" i="58"/>
  <c r="L80" i="58"/>
  <c r="P87" i="93"/>
  <c r="X83" i="93"/>
  <c r="Z83" i="93" s="1"/>
  <c r="R83" i="93"/>
  <c r="X31" i="20"/>
  <c r="P36" i="20"/>
  <c r="D82" i="101"/>
  <c r="L82" i="101" s="1"/>
  <c r="L79" i="101"/>
  <c r="N79" i="101" s="1"/>
  <c r="P36" i="31"/>
  <c r="X31" i="31"/>
  <c r="N81" i="57"/>
  <c r="H84" i="57"/>
  <c r="H92" i="89"/>
  <c r="J89" i="89"/>
  <c r="N31" i="26"/>
  <c r="H36" i="26"/>
  <c r="N36" i="26" s="1"/>
  <c r="L84" i="73"/>
  <c r="N84" i="73" s="1"/>
  <c r="D88" i="73"/>
  <c r="F84" i="73"/>
  <c r="Z31" i="22"/>
  <c r="T36" i="22"/>
  <c r="Z36" i="22" s="1"/>
  <c r="L74" i="110"/>
  <c r="N74" i="110" s="1"/>
  <c r="D77" i="110"/>
  <c r="F74" i="110"/>
  <c r="H36" i="20"/>
  <c r="N36" i="20" s="1"/>
  <c r="N31" i="20"/>
  <c r="H78" i="79"/>
  <c r="L31" i="38"/>
  <c r="D36" i="38"/>
  <c r="L103" i="9"/>
  <c r="D106" i="9"/>
  <c r="T137" i="24"/>
  <c r="V134" i="24"/>
  <c r="Z36" i="86"/>
  <c r="V36" i="86"/>
  <c r="T39" i="86"/>
  <c r="H36" i="29"/>
  <c r="N36" i="29" s="1"/>
  <c r="N31" i="29"/>
  <c r="N97" i="106"/>
  <c r="H100" i="106"/>
  <c r="J97" i="106"/>
  <c r="H36" i="17"/>
  <c r="N36" i="17" s="1"/>
  <c r="N31" i="17"/>
  <c r="D157" i="30"/>
  <c r="L153" i="30"/>
  <c r="N153" i="30" s="1"/>
  <c r="F153" i="30"/>
  <c r="L83" i="94"/>
  <c r="D86" i="94"/>
  <c r="F83" i="94"/>
  <c r="N60" i="100"/>
  <c r="X31" i="28"/>
  <c r="P36" i="28"/>
  <c r="L31" i="35"/>
  <c r="D36" i="35"/>
  <c r="P80" i="70"/>
  <c r="X76" i="70"/>
  <c r="Z76" i="70" s="1"/>
  <c r="R76" i="70"/>
  <c r="T70" i="103"/>
  <c r="Z31" i="53"/>
  <c r="T36" i="53"/>
  <c r="Z36" i="53" s="1"/>
  <c r="L31" i="16"/>
  <c r="D36" i="16"/>
  <c r="L31" i="14"/>
  <c r="D36" i="14"/>
  <c r="H160" i="30"/>
  <c r="J157" i="30"/>
  <c r="D48" i="99"/>
  <c r="L45" i="99"/>
  <c r="F45" i="99"/>
  <c r="T98" i="98"/>
  <c r="V95" i="98"/>
  <c r="X31" i="19"/>
  <c r="P36" i="19"/>
  <c r="Z88" i="56"/>
  <c r="Z31" i="16"/>
  <c r="T36" i="16"/>
  <c r="Z36" i="16" s="1"/>
  <c r="H123" i="21"/>
  <c r="J120" i="21"/>
  <c r="P35" i="83"/>
  <c r="X32" i="83"/>
  <c r="Z32" i="83" s="1"/>
  <c r="R32" i="83"/>
  <c r="P134" i="24"/>
  <c r="X130" i="24"/>
  <c r="Z130" i="24" s="1"/>
  <c r="R130" i="24"/>
  <c r="Z31" i="43"/>
  <c r="T36" i="43"/>
  <c r="Z36" i="43" s="1"/>
  <c r="N31" i="11"/>
  <c r="H36" i="11"/>
  <c r="N36" i="11" s="1"/>
  <c r="X31" i="44"/>
  <c r="P36" i="44"/>
  <c r="L111" i="51"/>
  <c r="N111" i="51" s="1"/>
  <c r="D114" i="51"/>
  <c r="F111" i="51"/>
  <c r="P84" i="57"/>
  <c r="X81" i="57"/>
  <c r="L31" i="53"/>
  <c r="D36" i="53"/>
  <c r="N31" i="52"/>
  <c r="H36" i="52"/>
  <c r="N36" i="52" s="1"/>
  <c r="P36" i="50"/>
  <c r="X31" i="50"/>
  <c r="P48" i="99"/>
  <c r="X45" i="99"/>
  <c r="R45" i="99"/>
  <c r="H53" i="109"/>
  <c r="L31" i="46"/>
  <c r="D36" i="46"/>
  <c r="Z31" i="111"/>
  <c r="T36" i="111"/>
  <c r="Z36" i="111" s="1"/>
  <c r="Z31" i="14"/>
  <c r="T36" i="14"/>
  <c r="Z36" i="14" s="1"/>
  <c r="P31" i="54"/>
  <c r="X31" i="54" s="1"/>
  <c r="X26" i="54"/>
  <c r="P100" i="84"/>
  <c r="X96" i="84"/>
  <c r="Z96" i="84" s="1"/>
  <c r="R96" i="84"/>
  <c r="T78" i="59"/>
  <c r="L81" i="57"/>
  <c r="V109" i="45"/>
  <c r="N85" i="80"/>
  <c r="H88" i="80"/>
  <c r="J85" i="80"/>
  <c r="V160" i="30"/>
  <c r="H77" i="48"/>
  <c r="J74" i="48"/>
  <c r="X146" i="39"/>
  <c r="P149" i="39"/>
  <c r="R146" i="39"/>
  <c r="L32" i="86"/>
  <c r="N32" i="86" s="1"/>
  <c r="D36" i="86"/>
  <c r="F32" i="86"/>
  <c r="L31" i="40"/>
  <c r="D36" i="40"/>
  <c r="Z31" i="7"/>
  <c r="T36" i="7"/>
  <c r="Z36" i="7" s="1"/>
  <c r="L123" i="69"/>
  <c r="D126" i="69"/>
  <c r="F123" i="69"/>
  <c r="X31" i="47"/>
  <c r="P36" i="47"/>
  <c r="P143" i="36"/>
  <c r="X140" i="36"/>
  <c r="Z140" i="36" s="1"/>
  <c r="R140" i="36"/>
  <c r="Z133" i="42"/>
  <c r="T136" i="42"/>
  <c r="V133" i="42"/>
  <c r="Z31" i="31"/>
  <c r="T36" i="31"/>
  <c r="Z36" i="31" s="1"/>
  <c r="D36" i="26"/>
  <c r="L31" i="26"/>
  <c r="D292" i="18"/>
  <c r="L288" i="18"/>
  <c r="N288" i="18" s="1"/>
  <c r="F288" i="18"/>
  <c r="T100" i="106"/>
  <c r="Z97" i="106"/>
  <c r="V97" i="106"/>
  <c r="P36" i="17"/>
  <c r="X31" i="17"/>
  <c r="T60" i="100"/>
  <c r="X91" i="76"/>
  <c r="P94" i="76"/>
  <c r="R91" i="76"/>
  <c r="P106" i="96"/>
  <c r="X103" i="96"/>
  <c r="Z103" i="96" s="1"/>
  <c r="R103" i="96"/>
  <c r="D128" i="85"/>
  <c r="L124" i="85"/>
  <c r="N124" i="85" s="1"/>
  <c r="F124" i="85"/>
  <c r="P36" i="14"/>
  <c r="X31" i="14"/>
  <c r="H36" i="112"/>
  <c r="N36" i="112" s="1"/>
  <c r="N31" i="112"/>
  <c r="X31" i="53"/>
  <c r="P36" i="53"/>
  <c r="V103" i="84"/>
  <c r="D89" i="81"/>
  <c r="L86" i="81"/>
  <c r="N86" i="81" s="1"/>
  <c r="F86" i="81"/>
  <c r="P36" i="52"/>
  <c r="X31" i="52"/>
  <c r="Z31" i="38"/>
  <c r="T36" i="38"/>
  <c r="Z36" i="38" s="1"/>
  <c r="Z74" i="48"/>
  <c r="T77" i="48"/>
  <c r="V74" i="48"/>
  <c r="L75" i="59"/>
  <c r="D78" i="59"/>
  <c r="V102" i="88"/>
  <c r="Z31" i="32"/>
  <c r="T36" i="32"/>
  <c r="Z36" i="32" s="1"/>
  <c r="X122" i="71"/>
  <c r="Z122" i="71" s="1"/>
  <c r="P126" i="71"/>
  <c r="R122" i="71"/>
  <c r="N31" i="31"/>
  <c r="H36" i="31"/>
  <c r="N36" i="31" s="1"/>
  <c r="D36" i="50"/>
  <c r="L31" i="50"/>
  <c r="T82" i="101"/>
  <c r="V79" i="101"/>
  <c r="J97" i="102"/>
  <c r="X318" i="3"/>
  <c r="Z318" i="3" s="1"/>
  <c r="P323" i="3"/>
  <c r="R318" i="3"/>
  <c r="T36" i="37"/>
  <c r="Z36" i="37" s="1"/>
  <c r="Z31" i="37"/>
  <c r="N94" i="104"/>
  <c r="H97" i="104"/>
  <c r="J94" i="104"/>
  <c r="X133" i="42"/>
  <c r="P136" i="42"/>
  <c r="R133" i="42"/>
  <c r="Z31" i="54"/>
  <c r="D36" i="20"/>
  <c r="L31" i="20"/>
  <c r="L85" i="80"/>
  <c r="D88" i="80"/>
  <c r="F85" i="80"/>
  <c r="Z31" i="26"/>
  <c r="T36" i="26"/>
  <c r="Z36" i="26" s="1"/>
  <c r="L31" i="32"/>
  <c r="D36" i="32"/>
  <c r="N31" i="10"/>
  <c r="H36" i="10"/>
  <c r="N36" i="10" s="1"/>
  <c r="D100" i="92"/>
  <c r="L100" i="92" s="1"/>
  <c r="N100" i="92" s="1"/>
  <c r="L97" i="92"/>
  <c r="N97" i="92" s="1"/>
  <c r="D90" i="95"/>
  <c r="L86" i="95"/>
  <c r="N86" i="95" s="1"/>
  <c r="F86" i="95"/>
  <c r="L31" i="7"/>
  <c r="D36" i="7"/>
  <c r="Z31" i="20"/>
  <c r="T36" i="20"/>
  <c r="Z36" i="20" s="1"/>
  <c r="X31" i="113"/>
  <c r="P36" i="113"/>
  <c r="L93" i="74"/>
  <c r="N93" i="74" s="1"/>
  <c r="D97" i="74"/>
  <c r="F93" i="74"/>
  <c r="L74" i="48"/>
  <c r="N74" i="48" s="1"/>
  <c r="D77" i="48"/>
  <c r="F74" i="48"/>
  <c r="P108" i="33"/>
  <c r="X104" i="33"/>
  <c r="Z104" i="33" s="1"/>
  <c r="R104" i="33"/>
  <c r="H94" i="76"/>
  <c r="J91" i="76"/>
  <c r="H36" i="25"/>
  <c r="N36" i="25" s="1"/>
  <c r="N31" i="25"/>
  <c r="N96" i="108"/>
  <c r="H99" i="108"/>
  <c r="J96" i="108"/>
  <c r="T99" i="108"/>
  <c r="V96" i="108"/>
  <c r="Z31" i="19"/>
  <c r="T36" i="19"/>
  <c r="Z36" i="19" s="1"/>
  <c r="T114" i="77"/>
  <c r="V111" i="77"/>
  <c r="L28" i="83"/>
  <c r="N28" i="83" s="1"/>
  <c r="D32" i="83"/>
  <c r="F28" i="83"/>
  <c r="Z31" i="46"/>
  <c r="T36" i="46"/>
  <c r="Z36" i="46" s="1"/>
  <c r="H83" i="58"/>
  <c r="N80" i="58"/>
  <c r="L85" i="89"/>
  <c r="N85" i="89" s="1"/>
  <c r="D89" i="89"/>
  <c r="F85" i="89"/>
  <c r="Z31" i="17"/>
  <c r="T36" i="17"/>
  <c r="Z36" i="17" s="1"/>
  <c r="N31" i="44"/>
  <c r="H36" i="44"/>
  <c r="N36" i="44" s="1"/>
  <c r="L31" i="5"/>
  <c r="D36" i="5"/>
  <c r="J39" i="86"/>
  <c r="L120" i="21"/>
  <c r="N120" i="21" s="1"/>
  <c r="D123" i="21"/>
  <c r="F120" i="21"/>
  <c r="L31" i="37"/>
  <c r="D36" i="37"/>
  <c r="X82" i="81"/>
  <c r="Z82" i="81" s="1"/>
  <c r="P86" i="81"/>
  <c r="R82" i="81"/>
  <c r="X120" i="75"/>
  <c r="Z120" i="75" s="1"/>
  <c r="P124" i="75"/>
  <c r="R120" i="75"/>
  <c r="T97" i="104"/>
  <c r="V94" i="104"/>
  <c r="N68" i="68"/>
  <c r="H71" i="68"/>
  <c r="X103" i="9"/>
  <c r="P106" i="9"/>
  <c r="X106" i="9" s="1"/>
  <c r="P36" i="37"/>
  <c r="X31" i="37"/>
  <c r="T323" i="3"/>
  <c r="V318" i="3"/>
  <c r="L126" i="27"/>
  <c r="D129" i="27"/>
  <c r="F126" i="27"/>
  <c r="H143" i="36"/>
  <c r="J140" i="36"/>
  <c r="P99" i="108"/>
  <c r="X96" i="108"/>
  <c r="Z96" i="108" s="1"/>
  <c r="R96" i="108"/>
  <c r="H98" i="98"/>
  <c r="J95" i="98"/>
  <c r="P281" i="12"/>
  <c r="X278" i="12"/>
  <c r="R278" i="12"/>
  <c r="V86" i="94"/>
  <c r="Z103" i="9"/>
  <c r="T106" i="9"/>
  <c r="X75" i="79"/>
  <c r="Z75" i="79" s="1"/>
  <c r="P78" i="79"/>
  <c r="R75" i="79"/>
  <c r="N31" i="47"/>
  <c r="H36" i="47"/>
  <c r="N36" i="47" s="1"/>
  <c r="H323" i="3"/>
  <c r="J318" i="3"/>
  <c r="P100" i="74"/>
  <c r="X97" i="74"/>
  <c r="R97" i="74"/>
  <c r="X31" i="25"/>
  <c r="P36" i="25"/>
  <c r="H295" i="18"/>
  <c r="J292" i="18"/>
  <c r="N26" i="54"/>
  <c r="H31" i="54"/>
  <c r="D36" i="112"/>
  <c r="L31" i="112"/>
  <c r="T36" i="5"/>
  <c r="Z36" i="5" s="1"/>
  <c r="Z31" i="5"/>
  <c r="P123" i="69"/>
  <c r="X119" i="69"/>
  <c r="Z119" i="69" s="1"/>
  <c r="R119" i="69"/>
  <c r="Z31" i="11"/>
  <c r="T36" i="11"/>
  <c r="Z36" i="11" s="1"/>
  <c r="J103" i="84"/>
  <c r="X68" i="68"/>
  <c r="Z68" i="68" s="1"/>
  <c r="P71" i="68"/>
  <c r="X71" i="68" s="1"/>
  <c r="Z71" i="68" s="1"/>
  <c r="H111" i="33"/>
  <c r="J108" i="33"/>
  <c r="H36" i="43"/>
  <c r="N36" i="43" s="1"/>
  <c r="N31" i="43"/>
  <c r="T92" i="89"/>
  <c r="V89" i="89"/>
  <c r="H109" i="45"/>
  <c r="J106" i="45"/>
  <c r="X31" i="16"/>
  <c r="P36" i="16"/>
  <c r="L31" i="22"/>
  <c r="D36" i="22"/>
  <c r="P268" i="15"/>
  <c r="X265" i="15"/>
  <c r="R265" i="15"/>
  <c r="H137" i="24"/>
  <c r="J134" i="24"/>
  <c r="N31" i="46"/>
  <c r="H36" i="46"/>
  <c r="N36" i="46" s="1"/>
  <c r="L84" i="57"/>
  <c r="N31" i="38"/>
  <c r="H36" i="38"/>
  <c r="N36" i="38" s="1"/>
  <c r="H91" i="73"/>
  <c r="J88" i="73"/>
  <c r="P79" i="101"/>
  <c r="X75" i="101"/>
  <c r="Z75" i="101" s="1"/>
  <c r="R75" i="101"/>
  <c r="N103" i="9"/>
  <c r="H106" i="9"/>
  <c r="T69" i="61"/>
  <c r="X66" i="61"/>
  <c r="Z66" i="61" s="1"/>
  <c r="X31" i="43"/>
  <c r="P36" i="43"/>
  <c r="X31" i="10"/>
  <c r="P36" i="10"/>
  <c r="N31" i="37"/>
  <c r="H36" i="37"/>
  <c r="N36" i="37" s="1"/>
  <c r="P39" i="86"/>
  <c r="X36" i="86"/>
  <c r="R36" i="86"/>
  <c r="V35" i="83"/>
  <c r="D112" i="64"/>
  <c r="L112" i="64" s="1"/>
  <c r="N112" i="64" s="1"/>
  <c r="L109" i="64"/>
  <c r="N109" i="64" s="1"/>
  <c r="D38" i="55"/>
  <c r="L35" i="55"/>
  <c r="Z31" i="34"/>
  <c r="T36" i="34"/>
  <c r="Z36" i="34" s="1"/>
  <c r="H93" i="95"/>
  <c r="J90" i="95"/>
  <c r="D78" i="79"/>
  <c r="L75" i="79"/>
  <c r="N75" i="79" s="1"/>
  <c r="F75" i="79"/>
  <c r="Z265" i="15"/>
  <c r="T268" i="15"/>
  <c r="V265" i="15"/>
  <c r="T83" i="58"/>
  <c r="X80" i="58"/>
  <c r="Z80" i="58" s="1"/>
  <c r="H70" i="103"/>
  <c r="N67" i="103"/>
  <c r="L31" i="23"/>
  <c r="D36" i="23"/>
  <c r="N31" i="13"/>
  <c r="H36" i="13"/>
  <c r="N36" i="13" s="1"/>
  <c r="X288" i="18"/>
  <c r="Z288" i="18" s="1"/>
  <c r="P292" i="18"/>
  <c r="R288" i="18"/>
  <c r="L50" i="109"/>
  <c r="N50" i="109" s="1"/>
  <c r="D53" i="109"/>
  <c r="P67" i="105"/>
  <c r="X63" i="105"/>
  <c r="Z63" i="105" s="1"/>
  <c r="R63" i="105"/>
  <c r="H88" i="56"/>
  <c r="X31" i="34"/>
  <c r="P36" i="34"/>
  <c r="D36" i="113"/>
  <c r="L31" i="113"/>
  <c r="L85" i="56"/>
  <c r="N85" i="56" s="1"/>
  <c r="D88" i="56"/>
  <c r="L88" i="56" s="1"/>
  <c r="Z146" i="39"/>
  <c r="T149" i="39"/>
  <c r="V146" i="39"/>
  <c r="L91" i="76"/>
  <c r="N91" i="76" s="1"/>
  <c r="D94" i="76"/>
  <c r="F91" i="76"/>
  <c r="Z31" i="50"/>
  <c r="T36" i="50"/>
  <c r="Z36" i="50" s="1"/>
  <c r="Z31" i="113"/>
  <c r="T36" i="113"/>
  <c r="Z36" i="113" s="1"/>
  <c r="P99" i="88"/>
  <c r="X95" i="88"/>
  <c r="Z95" i="88" s="1"/>
  <c r="R95" i="88"/>
  <c r="Z31" i="40"/>
  <c r="T36" i="40"/>
  <c r="Z36" i="40" s="1"/>
  <c r="D83" i="70"/>
  <c r="L80" i="70"/>
  <c r="N80" i="70" s="1"/>
  <c r="F80" i="70"/>
  <c r="P36" i="38"/>
  <c r="X31" i="38"/>
  <c r="D140" i="36"/>
  <c r="L136" i="36"/>
  <c r="N136" i="36" s="1"/>
  <c r="F136" i="36"/>
  <c r="Z31" i="44"/>
  <c r="T36" i="44"/>
  <c r="Z36" i="44" s="1"/>
  <c r="H114" i="77"/>
  <c r="J111" i="77"/>
  <c r="N31" i="34"/>
  <c r="H36" i="34"/>
  <c r="N36" i="34" s="1"/>
  <c r="X122" i="27"/>
  <c r="Z122" i="27" s="1"/>
  <c r="P126" i="27"/>
  <c r="R122" i="27"/>
  <c r="P94" i="102"/>
  <c r="X90" i="102"/>
  <c r="Z90" i="102" s="1"/>
  <c r="R90" i="102"/>
  <c r="P89" i="89"/>
  <c r="X85" i="89"/>
  <c r="Z85" i="89" s="1"/>
  <c r="R85" i="89"/>
  <c r="T70" i="105"/>
  <c r="V67" i="105"/>
  <c r="X84" i="73"/>
  <c r="Z84" i="73" s="1"/>
  <c r="P88" i="73"/>
  <c r="R84" i="73"/>
  <c r="X26" i="6"/>
  <c r="P31" i="6"/>
  <c r="L31" i="17"/>
  <c r="D36" i="17"/>
  <c r="P70" i="103"/>
  <c r="X70" i="103" s="1"/>
  <c r="X67" i="103"/>
  <c r="Z67" i="103" s="1"/>
  <c r="X90" i="95"/>
  <c r="Z90" i="95" s="1"/>
  <c r="P93" i="95"/>
  <c r="R90" i="95"/>
  <c r="L104" i="33"/>
  <c r="N104" i="33" s="1"/>
  <c r="D108" i="33"/>
  <c r="F104" i="33"/>
  <c r="L31" i="11"/>
  <c r="D36" i="11"/>
  <c r="L66" i="61"/>
  <c r="D69" i="61"/>
  <c r="Z35" i="55"/>
  <c r="T38" i="55"/>
  <c r="X38" i="55" s="1"/>
  <c r="Z31" i="13"/>
  <c r="T36" i="13"/>
  <c r="Z36" i="13" s="1"/>
  <c r="D278" i="12"/>
  <c r="L274" i="12"/>
  <c r="N274" i="12" s="1"/>
  <c r="F274" i="12"/>
  <c r="N123" i="69"/>
  <c r="H126" i="69"/>
  <c r="J123" i="69"/>
  <c r="J131" i="85"/>
  <c r="L99" i="88"/>
  <c r="N99" i="88" s="1"/>
  <c r="D102" i="88"/>
  <c r="F99" i="88"/>
  <c r="L31" i="28"/>
  <c r="D36" i="28"/>
  <c r="H36" i="40"/>
  <c r="N36" i="40" s="1"/>
  <c r="N31" i="40"/>
  <c r="X31" i="32"/>
  <c r="P36" i="32"/>
  <c r="V90" i="93"/>
  <c r="L97" i="106"/>
  <c r="D100" i="106"/>
  <c r="F97" i="106"/>
  <c r="X31" i="23"/>
  <c r="P36" i="23"/>
  <c r="X31" i="7"/>
  <c r="P36" i="7"/>
  <c r="N65" i="60"/>
  <c r="H68" i="60"/>
  <c r="X153" i="30"/>
  <c r="Z153" i="30" s="1"/>
  <c r="P157" i="30"/>
  <c r="R153" i="30"/>
  <c r="T36" i="35"/>
  <c r="Z36" i="35" s="1"/>
  <c r="Z31" i="35"/>
  <c r="T111" i="33"/>
  <c r="V108" i="33"/>
  <c r="L68" i="60"/>
  <c r="P36" i="13"/>
  <c r="X31" i="13"/>
  <c r="H268" i="15"/>
  <c r="J265" i="15"/>
  <c r="D111" i="77"/>
  <c r="L107" i="77"/>
  <c r="N107" i="77" s="1"/>
  <c r="F107" i="77"/>
  <c r="N31" i="14"/>
  <c r="H36" i="14"/>
  <c r="N36" i="14" s="1"/>
  <c r="T100" i="74"/>
  <c r="Z97" i="74"/>
  <c r="V97" i="74"/>
  <c r="X31" i="8"/>
  <c r="P36" i="8"/>
  <c r="N31" i="23"/>
  <c r="H36" i="23"/>
  <c r="N36" i="23" s="1"/>
  <c r="L83" i="93"/>
  <c r="N83" i="93" s="1"/>
  <c r="D87" i="93"/>
  <c r="F83" i="93"/>
  <c r="X31" i="49"/>
  <c r="P36" i="49"/>
  <c r="D124" i="75"/>
  <c r="L120" i="75"/>
  <c r="N120" i="75" s="1"/>
  <c r="F120" i="75"/>
  <c r="Z109" i="64"/>
  <c r="T112" i="64"/>
  <c r="X112" i="64" s="1"/>
  <c r="X77" i="48"/>
  <c r="R77" i="48"/>
  <c r="N31" i="49"/>
  <c r="H36" i="49"/>
  <c r="N36" i="49" s="1"/>
  <c r="T114" i="51"/>
  <c r="V111" i="51"/>
  <c r="L314" i="3"/>
  <c r="N314" i="3" s="1"/>
  <c r="D318" i="3"/>
  <c r="F314" i="3"/>
  <c r="J114" i="51"/>
  <c r="P94" i="104"/>
  <c r="X90" i="104"/>
  <c r="Z90" i="104" s="1"/>
  <c r="R90" i="104"/>
  <c r="L96" i="108"/>
  <c r="D99" i="108"/>
  <c r="F96" i="108"/>
  <c r="L63" i="105"/>
  <c r="N63" i="105" s="1"/>
  <c r="D67" i="105"/>
  <c r="F63" i="105"/>
  <c r="H127" i="75"/>
  <c r="J124" i="75"/>
  <c r="T88" i="80"/>
  <c r="V85" i="80"/>
  <c r="X31" i="112"/>
  <c r="P36" i="112"/>
  <c r="H70" i="105"/>
  <c r="J67" i="105"/>
  <c r="D134" i="24"/>
  <c r="L130" i="24"/>
  <c r="N130" i="24" s="1"/>
  <c r="F130" i="24"/>
  <c r="N31" i="22"/>
  <c r="H36" i="22"/>
  <c r="N36" i="22" s="1"/>
  <c r="L94" i="104"/>
  <c r="V89" i="81"/>
  <c r="D265" i="15"/>
  <c r="L261" i="15"/>
  <c r="N261" i="15" s="1"/>
  <c r="F261" i="15"/>
  <c r="H69" i="61"/>
  <c r="N66" i="61"/>
  <c r="D36" i="43"/>
  <c r="L31" i="43"/>
  <c r="H31" i="6"/>
  <c r="L31" i="6" s="1"/>
  <c r="N26" i="6"/>
  <c r="X70" i="110"/>
  <c r="Z70" i="110" s="1"/>
  <c r="P74" i="110"/>
  <c r="R70" i="110"/>
  <c r="N31" i="32"/>
  <c r="H36" i="32"/>
  <c r="N36" i="32" s="1"/>
  <c r="L70" i="103"/>
  <c r="T129" i="27"/>
  <c r="V126" i="27"/>
  <c r="H36" i="7"/>
  <c r="N36" i="7" s="1"/>
  <c r="N31" i="7"/>
  <c r="Z31" i="4"/>
  <c r="T36" i="4"/>
  <c r="Z36" i="4" s="1"/>
  <c r="L100" i="84"/>
  <c r="N100" i="84" s="1"/>
  <c r="D103" i="84"/>
  <c r="F100" i="84"/>
  <c r="X111" i="77"/>
  <c r="Z111" i="77" s="1"/>
  <c r="P114" i="77"/>
  <c r="R111" i="77"/>
  <c r="P85" i="80"/>
  <c r="X81" i="80"/>
  <c r="Z81" i="80" s="1"/>
  <c r="R81" i="80"/>
  <c r="Z31" i="28"/>
  <c r="T36" i="28"/>
  <c r="Z36" i="28" s="1"/>
  <c r="P120" i="21"/>
  <c r="X116" i="21"/>
  <c r="Z116" i="21" s="1"/>
  <c r="R116" i="21"/>
  <c r="Z26" i="6"/>
  <c r="T31" i="6"/>
  <c r="Z31" i="41"/>
  <c r="T36" i="41"/>
  <c r="Z36" i="41" s="1"/>
  <c r="J83" i="70"/>
  <c r="Z91" i="76"/>
  <c r="T94" i="76"/>
  <c r="V91" i="76"/>
  <c r="T126" i="69"/>
  <c r="V123" i="69"/>
  <c r="X31" i="111"/>
  <c r="P36" i="111"/>
  <c r="Z31" i="8"/>
  <c r="T36" i="8"/>
  <c r="Z36" i="8" s="1"/>
  <c r="X31" i="29"/>
  <c r="P36" i="29"/>
  <c r="Z31" i="112"/>
  <c r="T36" i="112"/>
  <c r="Z36" i="112" s="1"/>
  <c r="L31" i="111"/>
  <c r="D36" i="111"/>
  <c r="H36" i="41"/>
  <c r="N36" i="41" s="1"/>
  <c r="N31" i="41"/>
  <c r="X31" i="40"/>
  <c r="P36" i="40"/>
  <c r="D36" i="52"/>
  <c r="L31" i="52"/>
  <c r="N31" i="28"/>
  <c r="H36" i="28"/>
  <c r="N36" i="28" s="1"/>
  <c r="T84" i="57"/>
  <c r="Z81" i="57"/>
  <c r="P60" i="100"/>
  <c r="X57" i="100"/>
  <c r="Z57" i="100" s="1"/>
  <c r="L31" i="31"/>
  <c r="D36" i="31"/>
  <c r="H136" i="42"/>
  <c r="J133" i="42"/>
  <c r="L97" i="104"/>
  <c r="F97" i="104"/>
  <c r="X31" i="46"/>
  <c r="P36" i="46"/>
  <c r="T295" i="18"/>
  <c r="V292" i="18"/>
  <c r="L31" i="19"/>
  <c r="D36" i="19"/>
  <c r="Z31" i="49"/>
  <c r="T36" i="49"/>
  <c r="Z36" i="49" s="1"/>
  <c r="H38" i="55"/>
  <c r="N35" i="55"/>
  <c r="N31" i="16"/>
  <c r="H36" i="16"/>
  <c r="N36" i="16" s="1"/>
  <c r="H106" i="96"/>
  <c r="J103" i="96"/>
  <c r="H129" i="71"/>
  <c r="J126" i="71"/>
  <c r="N31" i="53"/>
  <c r="H36" i="53"/>
  <c r="N36" i="53" s="1"/>
  <c r="L65" i="60"/>
  <c r="P78" i="59"/>
  <c r="X78" i="59" s="1"/>
  <c r="X75" i="59"/>
  <c r="Z75" i="59" s="1"/>
  <c r="V120" i="21"/>
  <c r="T123" i="21"/>
  <c r="Z31" i="52"/>
  <c r="T36" i="52"/>
  <c r="Z36" i="52" s="1"/>
  <c r="N31" i="50"/>
  <c r="H36" i="50"/>
  <c r="N36" i="50" s="1"/>
  <c r="V106" i="96"/>
  <c r="X31" i="35"/>
  <c r="P36" i="35"/>
  <c r="X31" i="11"/>
  <c r="P36" i="11"/>
  <c r="P53" i="109"/>
  <c r="X53" i="109" s="1"/>
  <c r="Z53" i="109" s="1"/>
  <c r="X50" i="109"/>
  <c r="Z50" i="109" s="1"/>
  <c r="H281" i="12"/>
  <c r="J278" i="12"/>
  <c r="N75" i="59"/>
  <c r="H78" i="59"/>
  <c r="L31" i="4"/>
  <c r="D36" i="4"/>
  <c r="L129" i="42"/>
  <c r="N129" i="42" s="1"/>
  <c r="D133" i="42"/>
  <c r="F129" i="42"/>
  <c r="Z31" i="29"/>
  <c r="T36" i="29"/>
  <c r="Z36" i="29" s="1"/>
  <c r="T36" i="47"/>
  <c r="Z36" i="47" s="1"/>
  <c r="Z31" i="47"/>
  <c r="N31" i="5"/>
  <c r="H36" i="5"/>
  <c r="N36" i="5" s="1"/>
  <c r="T91" i="73"/>
  <c r="V88" i="73"/>
  <c r="D126" i="71"/>
  <c r="L122" i="71"/>
  <c r="N122" i="71" s="1"/>
  <c r="F122" i="71"/>
  <c r="T83" i="70"/>
  <c r="V80" i="70"/>
  <c r="P95" i="98"/>
  <c r="X91" i="98"/>
  <c r="Z91" i="98" s="1"/>
  <c r="R91" i="98"/>
  <c r="L26" i="54"/>
  <c r="X107" i="51"/>
  <c r="Z107" i="51" s="1"/>
  <c r="P111" i="51"/>
  <c r="R107" i="51"/>
  <c r="T93" i="95"/>
  <c r="V90" i="95"/>
  <c r="D149" i="39"/>
  <c r="L146" i="39"/>
  <c r="N146" i="39" s="1"/>
  <c r="F146" i="39"/>
  <c r="L99" i="96"/>
  <c r="N99" i="96" s="1"/>
  <c r="D103" i="96"/>
  <c r="F99" i="96"/>
  <c r="N82" i="101"/>
  <c r="T77" i="110"/>
  <c r="V74" i="110"/>
  <c r="L102" i="45"/>
  <c r="N102" i="45" s="1"/>
  <c r="D106" i="45"/>
  <c r="F102" i="45"/>
  <c r="D36" i="41"/>
  <c r="L31" i="41"/>
  <c r="Z31" i="10"/>
  <c r="T36" i="10"/>
  <c r="Z36" i="10" s="1"/>
  <c r="H100" i="74"/>
  <c r="J97" i="74"/>
  <c r="X79" i="94"/>
  <c r="Z79" i="94" s="1"/>
  <c r="P83" i="94"/>
  <c r="R79" i="94"/>
  <c r="T97" i="102"/>
  <c r="V94" i="102"/>
  <c r="P68" i="60"/>
  <c r="X68" i="60" s="1"/>
  <c r="Z68" i="60" s="1"/>
  <c r="X65" i="60"/>
  <c r="Z65" i="60" s="1"/>
  <c r="D36" i="25"/>
  <c r="L31" i="25"/>
  <c r="H36" i="19"/>
  <c r="N36" i="19" s="1"/>
  <c r="N31" i="19"/>
  <c r="T36" i="23"/>
  <c r="Z36" i="23" s="1"/>
  <c r="Z31" i="23"/>
  <c r="X36" i="53" l="1"/>
  <c r="L36" i="31"/>
  <c r="X36" i="37"/>
  <c r="L36" i="20"/>
  <c r="X36" i="25"/>
  <c r="X36" i="11"/>
  <c r="X36" i="111"/>
  <c r="L36" i="37"/>
  <c r="L36" i="52"/>
  <c r="L36" i="41"/>
  <c r="X36" i="34"/>
  <c r="L36" i="8"/>
  <c r="L36" i="17"/>
  <c r="X36" i="43"/>
  <c r="X36" i="47"/>
  <c r="X36" i="28"/>
  <c r="X36" i="16"/>
  <c r="X36" i="35"/>
  <c r="L36" i="19"/>
  <c r="X36" i="7"/>
  <c r="X36" i="32"/>
  <c r="L36" i="11"/>
  <c r="L36" i="4"/>
  <c r="L36" i="28"/>
  <c r="L36" i="113"/>
  <c r="X36" i="20"/>
  <c r="L36" i="29"/>
  <c r="X36" i="40"/>
  <c r="X36" i="113"/>
  <c r="L36" i="34"/>
  <c r="X36" i="112"/>
  <c r="L36" i="32"/>
  <c r="X36" i="8"/>
  <c r="L36" i="49"/>
  <c r="L36" i="5"/>
  <c r="L36" i="40"/>
  <c r="L36" i="25"/>
  <c r="L36" i="35"/>
  <c r="L36" i="111"/>
  <c r="L36" i="22"/>
  <c r="X36" i="19"/>
  <c r="L36" i="16"/>
  <c r="Z60" i="100"/>
  <c r="L36" i="86"/>
  <c r="N36" i="86" s="1"/>
  <c r="D39" i="86"/>
  <c r="F36" i="86"/>
  <c r="X35" i="83"/>
  <c r="Z35" i="83" s="1"/>
  <c r="R35" i="83"/>
  <c r="V98" i="98"/>
  <c r="X87" i="93"/>
  <c r="Z87" i="93" s="1"/>
  <c r="P90" i="93"/>
  <c r="R87" i="93"/>
  <c r="P98" i="98"/>
  <c r="X95" i="98"/>
  <c r="Z95" i="98" s="1"/>
  <c r="R95" i="98"/>
  <c r="J106" i="96"/>
  <c r="X120" i="21"/>
  <c r="Z120" i="21" s="1"/>
  <c r="P123" i="21"/>
  <c r="R120" i="21"/>
  <c r="J70" i="105"/>
  <c r="X36" i="49"/>
  <c r="J114" i="77"/>
  <c r="N88" i="56"/>
  <c r="L36" i="23"/>
  <c r="X69" i="61"/>
  <c r="Z69" i="61" s="1"/>
  <c r="J111" i="33"/>
  <c r="X100" i="74"/>
  <c r="R100" i="74"/>
  <c r="X86" i="81"/>
  <c r="Z86" i="81" s="1"/>
  <c r="P89" i="81"/>
  <c r="R86" i="81"/>
  <c r="V99" i="108"/>
  <c r="X136" i="42"/>
  <c r="R136" i="42"/>
  <c r="X36" i="14"/>
  <c r="D295" i="18"/>
  <c r="L292" i="18"/>
  <c r="N292" i="18" s="1"/>
  <c r="F292" i="18"/>
  <c r="X36" i="44"/>
  <c r="L36" i="38"/>
  <c r="X36" i="31"/>
  <c r="X100" i="92"/>
  <c r="D97" i="102"/>
  <c r="L94" i="102"/>
  <c r="N94" i="102" s="1"/>
  <c r="F94" i="102"/>
  <c r="L103" i="96"/>
  <c r="N103" i="96" s="1"/>
  <c r="D106" i="96"/>
  <c r="F103" i="96"/>
  <c r="L318" i="3"/>
  <c r="N318" i="3" s="1"/>
  <c r="D323" i="3"/>
  <c r="F318" i="3"/>
  <c r="X268" i="15"/>
  <c r="R268" i="15"/>
  <c r="N83" i="58"/>
  <c r="X143" i="36"/>
  <c r="Z143" i="36" s="1"/>
  <c r="R143" i="36"/>
  <c r="L114" i="51"/>
  <c r="N114" i="51" s="1"/>
  <c r="F114" i="51"/>
  <c r="J100" i="106"/>
  <c r="V97" i="102"/>
  <c r="V126" i="69"/>
  <c r="L69" i="61"/>
  <c r="N69" i="61" s="1"/>
  <c r="X36" i="46"/>
  <c r="Z84" i="57"/>
  <c r="V94" i="76"/>
  <c r="V114" i="51"/>
  <c r="V111" i="33"/>
  <c r="X31" i="6"/>
  <c r="X89" i="89"/>
  <c r="Z89" i="89" s="1"/>
  <c r="P92" i="89"/>
  <c r="R89" i="89"/>
  <c r="L94" i="76"/>
  <c r="N94" i="76" s="1"/>
  <c r="F94" i="76"/>
  <c r="X108" i="33"/>
  <c r="Z108" i="33" s="1"/>
  <c r="P111" i="33"/>
  <c r="R108" i="33"/>
  <c r="X36" i="52"/>
  <c r="X36" i="17"/>
  <c r="N88" i="80"/>
  <c r="J88" i="80"/>
  <c r="X36" i="50"/>
  <c r="N123" i="21"/>
  <c r="J123" i="21"/>
  <c r="L83" i="58"/>
  <c r="J90" i="93"/>
  <c r="X36" i="22"/>
  <c r="L83" i="70"/>
  <c r="N83" i="70" s="1"/>
  <c r="F83" i="70"/>
  <c r="P86" i="94"/>
  <c r="X83" i="94"/>
  <c r="Z83" i="94" s="1"/>
  <c r="R83" i="94"/>
  <c r="N126" i="69"/>
  <c r="J126" i="69"/>
  <c r="L78" i="79"/>
  <c r="F78" i="79"/>
  <c r="L36" i="112"/>
  <c r="J323" i="3"/>
  <c r="D35" i="83"/>
  <c r="L32" i="83"/>
  <c r="N32" i="83" s="1"/>
  <c r="F32" i="83"/>
  <c r="L36" i="7"/>
  <c r="L71" i="68"/>
  <c r="N71" i="68" s="1"/>
  <c r="L36" i="26"/>
  <c r="L126" i="69"/>
  <c r="F126" i="69"/>
  <c r="X149" i="39"/>
  <c r="R149" i="39"/>
  <c r="L86" i="94"/>
  <c r="F86" i="94"/>
  <c r="V39" i="86"/>
  <c r="L88" i="73"/>
  <c r="N88" i="73" s="1"/>
  <c r="D91" i="73"/>
  <c r="F88" i="73"/>
  <c r="X100" i="106"/>
  <c r="R100" i="106"/>
  <c r="X36" i="26"/>
  <c r="L95" i="98"/>
  <c r="N95" i="98" s="1"/>
  <c r="D98" i="98"/>
  <c r="F95" i="98"/>
  <c r="D137" i="24"/>
  <c r="L134" i="24"/>
  <c r="N134" i="24" s="1"/>
  <c r="F134" i="24"/>
  <c r="J94" i="76"/>
  <c r="L67" i="105"/>
  <c r="N67" i="105" s="1"/>
  <c r="D70" i="105"/>
  <c r="F67" i="105"/>
  <c r="J143" i="36"/>
  <c r="X48" i="99"/>
  <c r="R48" i="99"/>
  <c r="P131" i="85"/>
  <c r="X128" i="85"/>
  <c r="Z128" i="85" s="1"/>
  <c r="R128" i="85"/>
  <c r="L149" i="39"/>
  <c r="N149" i="39" s="1"/>
  <c r="F149" i="39"/>
  <c r="V83" i="70"/>
  <c r="J281" i="12"/>
  <c r="X36" i="29"/>
  <c r="L265" i="15"/>
  <c r="N265" i="15" s="1"/>
  <c r="D268" i="15"/>
  <c r="F265" i="15"/>
  <c r="L99" i="108"/>
  <c r="F99" i="108"/>
  <c r="L106" i="45"/>
  <c r="N106" i="45" s="1"/>
  <c r="D109" i="45"/>
  <c r="F106" i="45"/>
  <c r="X74" i="110"/>
  <c r="Z74" i="110" s="1"/>
  <c r="P77" i="110"/>
  <c r="R74" i="110"/>
  <c r="D90" i="93"/>
  <c r="L87" i="93"/>
  <c r="N87" i="93" s="1"/>
  <c r="F87" i="93"/>
  <c r="X36" i="23"/>
  <c r="N70" i="103"/>
  <c r="N31" i="54"/>
  <c r="X281" i="12"/>
  <c r="Z281" i="12" s="1"/>
  <c r="R281" i="12"/>
  <c r="N99" i="108"/>
  <c r="J99" i="108"/>
  <c r="L77" i="48"/>
  <c r="F77" i="48"/>
  <c r="N97" i="104"/>
  <c r="J97" i="104"/>
  <c r="L128" i="85"/>
  <c r="N128" i="85" s="1"/>
  <c r="D131" i="85"/>
  <c r="F128" i="85"/>
  <c r="L48" i="99"/>
  <c r="F48" i="99"/>
  <c r="Z70" i="103"/>
  <c r="N78" i="79"/>
  <c r="X36" i="4"/>
  <c r="L31" i="54"/>
  <c r="Z268" i="15"/>
  <c r="V268" i="15"/>
  <c r="V295" i="18"/>
  <c r="L108" i="33"/>
  <c r="N108" i="33" s="1"/>
  <c r="D111" i="33"/>
  <c r="F108" i="33"/>
  <c r="X88" i="73"/>
  <c r="Z88" i="73" s="1"/>
  <c r="P91" i="73"/>
  <c r="R88" i="73"/>
  <c r="X94" i="102"/>
  <c r="Z94" i="102" s="1"/>
  <c r="P97" i="102"/>
  <c r="R94" i="102"/>
  <c r="Z149" i="39"/>
  <c r="V149" i="39"/>
  <c r="X67" i="105"/>
  <c r="Z67" i="105" s="1"/>
  <c r="P70" i="105"/>
  <c r="R67" i="105"/>
  <c r="X39" i="86"/>
  <c r="Z39" i="86" s="1"/>
  <c r="R39" i="86"/>
  <c r="J109" i="45"/>
  <c r="L129" i="27"/>
  <c r="F129" i="27"/>
  <c r="L88" i="80"/>
  <c r="F88" i="80"/>
  <c r="L89" i="81"/>
  <c r="N89" i="81" s="1"/>
  <c r="F89" i="81"/>
  <c r="L36" i="53"/>
  <c r="P126" i="69"/>
  <c r="X123" i="69"/>
  <c r="Z123" i="69" s="1"/>
  <c r="R123" i="69"/>
  <c r="Z93" i="95"/>
  <c r="V93" i="95"/>
  <c r="D114" i="77"/>
  <c r="L111" i="77"/>
  <c r="N111" i="77" s="1"/>
  <c r="F111" i="77"/>
  <c r="X85" i="80"/>
  <c r="Z85" i="80" s="1"/>
  <c r="P88" i="80"/>
  <c r="R85" i="80"/>
  <c r="V88" i="80"/>
  <c r="L140" i="36"/>
  <c r="N140" i="36" s="1"/>
  <c r="D143" i="36"/>
  <c r="F140" i="36"/>
  <c r="P102" i="88"/>
  <c r="X99" i="88"/>
  <c r="Z99" i="88" s="1"/>
  <c r="R99" i="88"/>
  <c r="L53" i="109"/>
  <c r="J93" i="95"/>
  <c r="J98" i="98"/>
  <c r="V97" i="104"/>
  <c r="V114" i="77"/>
  <c r="V82" i="101"/>
  <c r="L78" i="59"/>
  <c r="N78" i="59" s="1"/>
  <c r="L36" i="46"/>
  <c r="J160" i="30"/>
  <c r="L36" i="10"/>
  <c r="L36" i="44"/>
  <c r="N129" i="27"/>
  <c r="J129" i="27"/>
  <c r="V77" i="110"/>
  <c r="D129" i="71"/>
  <c r="L126" i="71"/>
  <c r="N126" i="71" s="1"/>
  <c r="F126" i="71"/>
  <c r="J129" i="71"/>
  <c r="J136" i="42"/>
  <c r="X94" i="104"/>
  <c r="Z94" i="104" s="1"/>
  <c r="P97" i="104"/>
  <c r="R94" i="104"/>
  <c r="L100" i="106"/>
  <c r="N100" i="106" s="1"/>
  <c r="F100" i="106"/>
  <c r="L278" i="12"/>
  <c r="N278" i="12" s="1"/>
  <c r="D281" i="12"/>
  <c r="F278" i="12"/>
  <c r="X126" i="27"/>
  <c r="Z126" i="27" s="1"/>
  <c r="P129" i="27"/>
  <c r="R126" i="27"/>
  <c r="P82" i="101"/>
  <c r="X79" i="101"/>
  <c r="Z79" i="101" s="1"/>
  <c r="R79" i="101"/>
  <c r="J137" i="24"/>
  <c r="L123" i="21"/>
  <c r="F123" i="21"/>
  <c r="D93" i="95"/>
  <c r="L90" i="95"/>
  <c r="N90" i="95" s="1"/>
  <c r="F90" i="95"/>
  <c r="X106" i="96"/>
  <c r="Z106" i="96" s="1"/>
  <c r="R106" i="96"/>
  <c r="Z136" i="42"/>
  <c r="V136" i="42"/>
  <c r="Z78" i="59"/>
  <c r="L157" i="30"/>
  <c r="N157" i="30" s="1"/>
  <c r="D160" i="30"/>
  <c r="F157" i="30"/>
  <c r="V137" i="24"/>
  <c r="N86" i="94"/>
  <c r="J86" i="94"/>
  <c r="X36" i="41"/>
  <c r="L36" i="47"/>
  <c r="L124" i="75"/>
  <c r="N124" i="75" s="1"/>
  <c r="D127" i="75"/>
  <c r="F124" i="75"/>
  <c r="X111" i="51"/>
  <c r="Z111" i="51" s="1"/>
  <c r="P114" i="51"/>
  <c r="R111" i="51"/>
  <c r="D136" i="42"/>
  <c r="L133" i="42"/>
  <c r="N133" i="42" s="1"/>
  <c r="F133" i="42"/>
  <c r="V129" i="27"/>
  <c r="N31" i="6"/>
  <c r="Z112" i="64"/>
  <c r="J268" i="15"/>
  <c r="X157" i="30"/>
  <c r="Z157" i="30" s="1"/>
  <c r="P160" i="30"/>
  <c r="R157" i="30"/>
  <c r="X93" i="95"/>
  <c r="R93" i="95"/>
  <c r="X36" i="38"/>
  <c r="Z83" i="58"/>
  <c r="X83" i="58"/>
  <c r="X36" i="10"/>
  <c r="V92" i="89"/>
  <c r="J295" i="18"/>
  <c r="X78" i="79"/>
  <c r="Z78" i="79" s="1"/>
  <c r="R78" i="79"/>
  <c r="D92" i="89"/>
  <c r="L89" i="89"/>
  <c r="N89" i="89" s="1"/>
  <c r="F89" i="89"/>
  <c r="L36" i="50"/>
  <c r="N53" i="109"/>
  <c r="X80" i="70"/>
  <c r="Z80" i="70" s="1"/>
  <c r="P83" i="70"/>
  <c r="R80" i="70"/>
  <c r="L77" i="110"/>
  <c r="N77" i="110" s="1"/>
  <c r="F77" i="110"/>
  <c r="J92" i="89"/>
  <c r="X106" i="45"/>
  <c r="Z106" i="45" s="1"/>
  <c r="P109" i="45"/>
  <c r="R106" i="45"/>
  <c r="Z100" i="92"/>
  <c r="V70" i="105"/>
  <c r="P103" i="84"/>
  <c r="X100" i="84"/>
  <c r="Z100" i="84" s="1"/>
  <c r="R100" i="84"/>
  <c r="X126" i="71"/>
  <c r="Z126" i="71" s="1"/>
  <c r="P129" i="71"/>
  <c r="R126" i="71"/>
  <c r="X114" i="77"/>
  <c r="Z114" i="77" s="1"/>
  <c r="R114" i="77"/>
  <c r="J127" i="75"/>
  <c r="X292" i="18"/>
  <c r="Z292" i="18" s="1"/>
  <c r="P295" i="18"/>
  <c r="R292" i="18"/>
  <c r="J91" i="73"/>
  <c r="V323" i="3"/>
  <c r="L97" i="74"/>
  <c r="N97" i="74" s="1"/>
  <c r="D100" i="74"/>
  <c r="F97" i="74"/>
  <c r="Z77" i="48"/>
  <c r="V77" i="48"/>
  <c r="X94" i="76"/>
  <c r="Z94" i="76" s="1"/>
  <c r="R94" i="76"/>
  <c r="N77" i="48"/>
  <c r="J77" i="48"/>
  <c r="X84" i="57"/>
  <c r="X134" i="24"/>
  <c r="Z134" i="24" s="1"/>
  <c r="P137" i="24"/>
  <c r="R134" i="24"/>
  <c r="L106" i="9"/>
  <c r="N106" i="9" s="1"/>
  <c r="L36" i="13"/>
  <c r="X36" i="5"/>
  <c r="X323" i="3"/>
  <c r="Z323" i="3" s="1"/>
  <c r="R323" i="3"/>
  <c r="X60" i="100"/>
  <c r="L103" i="84"/>
  <c r="N103" i="84" s="1"/>
  <c r="F103" i="84"/>
  <c r="Z100" i="74"/>
  <c r="V100" i="74"/>
  <c r="V91" i="73"/>
  <c r="Z31" i="6"/>
  <c r="J100" i="74"/>
  <c r="V123" i="21"/>
  <c r="L36" i="43"/>
  <c r="X36" i="13"/>
  <c r="N68" i="60"/>
  <c r="L102" i="88"/>
  <c r="N102" i="88" s="1"/>
  <c r="F102" i="88"/>
  <c r="Z38" i="55"/>
  <c r="L38" i="55"/>
  <c r="N38" i="55" s="1"/>
  <c r="Z106" i="9"/>
  <c r="X99" i="108"/>
  <c r="Z99" i="108" s="1"/>
  <c r="R99" i="108"/>
  <c r="X124" i="75"/>
  <c r="Z124" i="75" s="1"/>
  <c r="P127" i="75"/>
  <c r="R124" i="75"/>
  <c r="Z100" i="106"/>
  <c r="V100" i="106"/>
  <c r="L36" i="14"/>
  <c r="N84" i="57"/>
  <c r="V281" i="12"/>
  <c r="X70" i="105" l="1"/>
  <c r="Z70" i="105" s="1"/>
  <c r="R70" i="105"/>
  <c r="L91" i="73"/>
  <c r="N91" i="73" s="1"/>
  <c r="F91" i="73"/>
  <c r="X89" i="81"/>
  <c r="Z89" i="81" s="1"/>
  <c r="R89" i="81"/>
  <c r="X90" i="93"/>
  <c r="Z90" i="93" s="1"/>
  <c r="R90" i="93"/>
  <c r="L92" i="89"/>
  <c r="N92" i="89" s="1"/>
  <c r="F92" i="89"/>
  <c r="L136" i="42"/>
  <c r="N136" i="42" s="1"/>
  <c r="F136" i="42"/>
  <c r="L131" i="85"/>
  <c r="N131" i="85" s="1"/>
  <c r="F131" i="85"/>
  <c r="X92" i="89"/>
  <c r="Z92" i="89" s="1"/>
  <c r="R92" i="89"/>
  <c r="X126" i="69"/>
  <c r="Z126" i="69" s="1"/>
  <c r="R126" i="69"/>
  <c r="L100" i="74"/>
  <c r="N100" i="74" s="1"/>
  <c r="F100" i="74"/>
  <c r="X109" i="45"/>
  <c r="Z109" i="45" s="1"/>
  <c r="R109" i="45"/>
  <c r="X137" i="24"/>
  <c r="Z137" i="24" s="1"/>
  <c r="R137" i="24"/>
  <c r="X129" i="71"/>
  <c r="Z129" i="71" s="1"/>
  <c r="R129" i="71"/>
  <c r="L93" i="95"/>
  <c r="N93" i="95" s="1"/>
  <c r="F93" i="95"/>
  <c r="X114" i="51"/>
  <c r="Z114" i="51" s="1"/>
  <c r="R114" i="51"/>
  <c r="X131" i="85"/>
  <c r="Z131" i="85" s="1"/>
  <c r="R131" i="85"/>
  <c r="L137" i="24"/>
  <c r="N137" i="24" s="1"/>
  <c r="F137" i="24"/>
  <c r="L323" i="3"/>
  <c r="N323" i="3" s="1"/>
  <c r="F323" i="3"/>
  <c r="L281" i="12"/>
  <c r="N281" i="12" s="1"/>
  <c r="F281" i="12"/>
  <c r="L129" i="71"/>
  <c r="N129" i="71" s="1"/>
  <c r="F129" i="71"/>
  <c r="X102" i="88"/>
  <c r="Z102" i="88" s="1"/>
  <c r="R102" i="88"/>
  <c r="L268" i="15"/>
  <c r="N268" i="15" s="1"/>
  <c r="F268" i="15"/>
  <c r="L35" i="83"/>
  <c r="N35" i="83" s="1"/>
  <c r="F35" i="83"/>
  <c r="X86" i="94"/>
  <c r="Z86" i="94" s="1"/>
  <c r="R86" i="94"/>
  <c r="X123" i="21"/>
  <c r="Z123" i="21" s="1"/>
  <c r="R123" i="21"/>
  <c r="X129" i="27"/>
  <c r="Z129" i="27" s="1"/>
  <c r="R129" i="27"/>
  <c r="L160" i="30"/>
  <c r="N160" i="30" s="1"/>
  <c r="F160" i="30"/>
  <c r="X160" i="30"/>
  <c r="Z160" i="30" s="1"/>
  <c r="R160" i="30"/>
  <c r="L90" i="93"/>
  <c r="N90" i="93" s="1"/>
  <c r="F90" i="93"/>
  <c r="L98" i="98"/>
  <c r="N98" i="98" s="1"/>
  <c r="F98" i="98"/>
  <c r="L127" i="75"/>
  <c r="N127" i="75" s="1"/>
  <c r="F127" i="75"/>
  <c r="L143" i="36"/>
  <c r="N143" i="36" s="1"/>
  <c r="F143" i="36"/>
  <c r="L114" i="77"/>
  <c r="N114" i="77" s="1"/>
  <c r="F114" i="77"/>
  <c r="L106" i="96"/>
  <c r="N106" i="96" s="1"/>
  <c r="F106" i="96"/>
  <c r="X88" i="80"/>
  <c r="Z88" i="80" s="1"/>
  <c r="R88" i="80"/>
  <c r="L109" i="45"/>
  <c r="N109" i="45" s="1"/>
  <c r="F109" i="45"/>
  <c r="X97" i="102"/>
  <c r="Z97" i="102" s="1"/>
  <c r="R97" i="102"/>
  <c r="L295" i="18"/>
  <c r="N295" i="18" s="1"/>
  <c r="F295" i="18"/>
  <c r="X127" i="75"/>
  <c r="Z127" i="75" s="1"/>
  <c r="R127" i="75"/>
  <c r="X295" i="18"/>
  <c r="Z295" i="18" s="1"/>
  <c r="R295" i="18"/>
  <c r="X103" i="84"/>
  <c r="Z103" i="84" s="1"/>
  <c r="R103" i="84"/>
  <c r="X83" i="70"/>
  <c r="Z83" i="70" s="1"/>
  <c r="R83" i="70"/>
  <c r="X77" i="110"/>
  <c r="Z77" i="110" s="1"/>
  <c r="R77" i="110"/>
  <c r="X111" i="33"/>
  <c r="Z111" i="33" s="1"/>
  <c r="R111" i="33"/>
  <c r="L39" i="86"/>
  <c r="N39" i="86" s="1"/>
  <c r="F39" i="86"/>
  <c r="X97" i="104"/>
  <c r="Z97" i="104" s="1"/>
  <c r="R97" i="104"/>
  <c r="X91" i="73"/>
  <c r="Z91" i="73" s="1"/>
  <c r="R91" i="73"/>
  <c r="L111" i="33"/>
  <c r="N111" i="33" s="1"/>
  <c r="F111" i="33"/>
  <c r="X82" i="101"/>
  <c r="Z82" i="101" s="1"/>
  <c r="R82" i="101"/>
  <c r="L70" i="105"/>
  <c r="N70" i="105" s="1"/>
  <c r="F70" i="105"/>
  <c r="L97" i="102"/>
  <c r="N97" i="102" s="1"/>
  <c r="F97" i="102"/>
  <c r="X98" i="98"/>
  <c r="Z98" i="98" s="1"/>
  <c r="R98" i="98"/>
</calcChain>
</file>

<file path=xl/sharedStrings.xml><?xml version="1.0" encoding="utf-8"?>
<sst xmlns="http://schemas.openxmlformats.org/spreadsheetml/2006/main" count="2922" uniqueCount="315">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</sst>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49" fontId="2" fillId="0" borderId="0" xfId="0" applyNumberFormat="1" applyFont="1" applyFill="1"/>
    <xf numFmtId="0" fontId="2" fillId="0" borderId="0" xfId="0" applyFont="1" applyFill="1" applyBorder="1"/>
    <xf numFmtId="0" fontId="3" fillId="0" borderId="0" xfId="0" applyFont="1" applyAlignment="1">
      <alignment horizontal="left"/>
    </xf>
    <xf numFmtId="0" fontId="4" fillId="0" borderId="0" xfId="0" applyFont="1"/>
    <xf numFmtId="164" fontId="2" fillId="0" borderId="0" xfId="1" applyNumberFormat="1" applyFont="1" applyFill="1" applyAlignment="1">
      <alignment horizontal="centerContinuous"/>
    </xf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0" fontId="0" fillId="0" borderId="0" xfId="0" applyBorder="1"/>
    <xf numFmtId="0" fontId="0" fillId="0" borderId="0" xfId="0" applyFill="1" applyAlignment="1">
      <alignment horizontal="centerContinuous"/>
    </xf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9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6"/>
      <c r="L26" s="31">
        <f>D26-H26</f>
        <v>0</v>
      </c>
      <c r="M26" s="16"/>
      <c r="N26" s="33">
        <f>IF(H26=0,0,L26/H26)</f>
        <v>0</v>
      </c>
      <c r="O26" s="29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6"/>
      <c r="X26" s="31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--215833.16</f>
        <v>215833.16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190833.16</v>
      </c>
      <c r="M28" s="4"/>
      <c r="N28" s="12">
        <f t="shared" ref="N28:N29" si="4">IF(H28=0,0,L28/H28)</f>
        <v>7.6333264000000005</v>
      </c>
      <c r="O28" s="10"/>
      <c r="P28" s="4">
        <f>--118303.25</f>
        <v>118303.25</v>
      </c>
      <c r="Q28" s="4"/>
      <c r="R28" s="12">
        <f t="shared" ref="R28:R29" si="5">IF(P$12=0,0,P28/P$12)</f>
        <v>0</v>
      </c>
      <c r="S28" s="4"/>
      <c r="T28" s="4">
        <f>--100000</f>
        <v>100000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18303.25</v>
      </c>
      <c r="Y28" s="4"/>
      <c r="Z28" s="12">
        <f t="shared" ref="Z28:Z29" si="8">IF(T28=0,0,X28/T28)</f>
        <v>0.18303249999999999</v>
      </c>
    </row>
    <row r="29" spans="1:26" s="23" customFormat="1" x14ac:dyDescent="0.25">
      <c r="A29" s="52"/>
      <c r="B29" s="10" t="s">
        <v>1</v>
      </c>
      <c r="C29" s="10"/>
      <c r="D29" s="4">
        <f>--13441.85</f>
        <v>13441.85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-11558.15</v>
      </c>
      <c r="M29" s="4"/>
      <c r="N29" s="12">
        <f t="shared" si="4"/>
        <v>-0.46232599999999996</v>
      </c>
      <c r="O29" s="10"/>
      <c r="P29" s="4">
        <f>--65213.01</f>
        <v>65213.01</v>
      </c>
      <c r="Q29" s="4"/>
      <c r="R29" s="12">
        <f t="shared" si="5"/>
        <v>0</v>
      </c>
      <c r="S29" s="4"/>
      <c r="T29" s="4">
        <f>--95000</f>
        <v>95000</v>
      </c>
      <c r="U29" s="4"/>
      <c r="V29" s="12">
        <f t="shared" si="6"/>
        <v>0</v>
      </c>
      <c r="W29" s="4"/>
      <c r="X29" s="4">
        <f t="shared" si="7"/>
        <v>-29786.989999999998</v>
      </c>
      <c r="Y29" s="4"/>
      <c r="Z29" s="12">
        <f t="shared" si="8"/>
        <v>-0.31354726315789472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229275.01</v>
      </c>
      <c r="E31" s="14"/>
      <c r="F31" s="34">
        <f>IF(D$12=0,0,D31/D$12)</f>
        <v>0</v>
      </c>
      <c r="G31" s="14"/>
      <c r="H31" s="32">
        <f>SUM(H26:H30)</f>
        <v>50000</v>
      </c>
      <c r="I31" s="14"/>
      <c r="J31" s="34">
        <f>IF(H$12=0,0,H31/H$12)</f>
        <v>0</v>
      </c>
      <c r="K31" s="16"/>
      <c r="L31" s="32">
        <f>+D31-H31</f>
        <v>179275.01</v>
      </c>
      <c r="M31" s="16"/>
      <c r="N31" s="34">
        <f>IF(H31=0,0,L31/H31)</f>
        <v>3.5855002000000002</v>
      </c>
      <c r="O31" s="29"/>
      <c r="P31" s="32">
        <f>SUM(P26:P30)</f>
        <v>183516.26</v>
      </c>
      <c r="Q31" s="14"/>
      <c r="R31" s="34">
        <f>IF(P$12=0,0,P31/P$12)</f>
        <v>0</v>
      </c>
      <c r="S31" s="14"/>
      <c r="T31" s="32">
        <f>SUM(T26:T30)</f>
        <v>195000</v>
      </c>
      <c r="U31" s="14"/>
      <c r="V31" s="34">
        <f>IF(T$12=0,0,T31/T$12)</f>
        <v>0</v>
      </c>
      <c r="W31" s="16"/>
      <c r="X31" s="32">
        <f>+P31-T31</f>
        <v>-11483.739999999991</v>
      </c>
      <c r="Y31" s="16"/>
      <c r="Z31" s="34">
        <f>IF(T31=0,0,X31/T31)</f>
        <v>-5.8890974358974314E-2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0">
        <v>43791.347888969911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4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5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28"/>
  <sheetViews>
    <sheetView tabSelected="1" zoomScale="80" zoomScaleNormal="80" workbookViewId="0">
      <pane xSplit="3" ySplit="10" topLeftCell="D22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3723428.32</v>
      </c>
      <c r="E12" s="4"/>
      <c r="F12" s="12"/>
      <c r="G12" s="4"/>
      <c r="H12" s="4">
        <f>SUM(OSRRefH13x_0)</f>
        <v>3848072.6086600004</v>
      </c>
      <c r="I12" s="4"/>
      <c r="J12" s="12"/>
      <c r="K12" s="4"/>
      <c r="L12" s="4">
        <f t="shared" ref="L12:L130" si="0">+D12-H12</f>
        <v>-124644.28866000054</v>
      </c>
      <c r="M12" s="4"/>
      <c r="N12" s="12">
        <f t="shared" ref="N12:N130" si="1">IF(H12=0,0,L12/H12)</f>
        <v>-3.239135570869723E-2</v>
      </c>
      <c r="O12" s="10"/>
      <c r="P12" s="4">
        <f>SUM(OSRRefP13x_0)</f>
        <v>13457402.719999999</v>
      </c>
      <c r="Q12" s="4"/>
      <c r="R12" s="12"/>
      <c r="S12" s="4"/>
      <c r="T12" s="4">
        <f>SUM(OSRRefT13x_0)</f>
        <v>14023599.583860001</v>
      </c>
      <c r="U12" s="4"/>
      <c r="V12" s="12"/>
      <c r="W12" s="4"/>
      <c r="X12" s="4">
        <f t="shared" ref="X12:X130" si="2">+P12-T12</f>
        <v>-566196.86386000179</v>
      </c>
      <c r="Y12" s="4"/>
      <c r="Z12" s="12">
        <f t="shared" ref="Z12:Z130" si="3">IF(T12=0,0,X12/T12)</f>
        <v>-4.0374574336224447E-2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1120077.6086600001</v>
      </c>
      <c r="I13" s="2"/>
      <c r="J13" s="19"/>
      <c r="K13" s="2"/>
      <c r="L13" s="2">
        <f t="shared" si="0"/>
        <v>-1120077.6086600001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4173209.5838600001</v>
      </c>
      <c r="U13" s="2"/>
      <c r="V13" s="19"/>
      <c r="W13" s="2"/>
      <c r="X13" s="2">
        <f t="shared" si="2"/>
        <v>-4173209.5838600001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--31204.32</f>
        <v>31204.32</v>
      </c>
      <c r="E14" s="2"/>
      <c r="F14" s="19"/>
      <c r="G14" s="2"/>
      <c r="H14" s="2"/>
      <c r="I14" s="2"/>
      <c r="J14" s="19"/>
      <c r="K14" s="2"/>
      <c r="L14" s="2">
        <f t="shared" si="0"/>
        <v>31204.32</v>
      </c>
      <c r="M14" s="2"/>
      <c r="N14" s="19">
        <f t="shared" si="1"/>
        <v>0</v>
      </c>
      <c r="O14" s="11"/>
      <c r="P14" s="2">
        <f>--1495159.74</f>
        <v>1495159.74</v>
      </c>
      <c r="Q14" s="2"/>
      <c r="R14" s="19"/>
      <c r="S14" s="2"/>
      <c r="T14" s="2"/>
      <c r="U14" s="2"/>
      <c r="V14" s="19"/>
      <c r="W14" s="2"/>
      <c r="X14" s="2">
        <f t="shared" si="2"/>
        <v>1495159.74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--8985.78</f>
        <v>8985.7800000000007</v>
      </c>
      <c r="E15" s="2"/>
      <c r="F15" s="19"/>
      <c r="G15" s="2"/>
      <c r="H15" s="2"/>
      <c r="I15" s="2"/>
      <c r="J15" s="19"/>
      <c r="K15" s="2"/>
      <c r="L15" s="2">
        <f t="shared" si="0"/>
        <v>8985.7800000000007</v>
      </c>
      <c r="M15" s="2"/>
      <c r="N15" s="19">
        <f t="shared" si="1"/>
        <v>0</v>
      </c>
      <c r="O15" s="11"/>
      <c r="P15" s="2">
        <f>--666296.36</f>
        <v>666296.36</v>
      </c>
      <c r="Q15" s="2"/>
      <c r="R15" s="19"/>
      <c r="S15" s="2"/>
      <c r="T15" s="2"/>
      <c r="U15" s="2"/>
      <c r="V15" s="19"/>
      <c r="W15" s="2"/>
      <c r="X15" s="2">
        <f t="shared" si="2"/>
        <v>666296.36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--307.97</f>
        <v>307.97000000000003</v>
      </c>
      <c r="E16" s="2"/>
      <c r="F16" s="19"/>
      <c r="G16" s="2"/>
      <c r="H16" s="2"/>
      <c r="I16" s="2"/>
      <c r="J16" s="19"/>
      <c r="K16" s="2"/>
      <c r="L16" s="2">
        <f t="shared" si="0"/>
        <v>307.97000000000003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--460.04</f>
        <v>460.04</v>
      </c>
      <c r="E17" s="2"/>
      <c r="F17" s="19"/>
      <c r="G17" s="2"/>
      <c r="H17" s="2"/>
      <c r="I17" s="2"/>
      <c r="J17" s="19"/>
      <c r="K17" s="2"/>
      <c r="L17" s="2">
        <f t="shared" si="0"/>
        <v>460.04</v>
      </c>
      <c r="M17" s="2"/>
      <c r="N17" s="19">
        <f t="shared" si="1"/>
        <v>0</v>
      </c>
      <c r="O17" s="11"/>
      <c r="P17" s="2">
        <f>--30160.48</f>
        <v>30160.48</v>
      </c>
      <c r="Q17" s="2"/>
      <c r="R17" s="19"/>
      <c r="S17" s="2"/>
      <c r="T17" s="2"/>
      <c r="U17" s="2"/>
      <c r="V17" s="19"/>
      <c r="W17" s="2"/>
      <c r="X17" s="2">
        <f t="shared" si="2"/>
        <v>30160.48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--686.63</f>
        <v>686.63</v>
      </c>
      <c r="E19" s="2"/>
      <c r="F19" s="19"/>
      <c r="G19" s="2"/>
      <c r="H19" s="2"/>
      <c r="I19" s="2"/>
      <c r="J19" s="19"/>
      <c r="K19" s="2"/>
      <c r="L19" s="2">
        <f t="shared" si="0"/>
        <v>686.63</v>
      </c>
      <c r="M19" s="2"/>
      <c r="N19" s="19">
        <f t="shared" si="1"/>
        <v>0</v>
      </c>
      <c r="O19" s="11"/>
      <c r="P19" s="2">
        <f>--827.39</f>
        <v>827.39</v>
      </c>
      <c r="Q19" s="2"/>
      <c r="R19" s="19"/>
      <c r="S19" s="2"/>
      <c r="T19" s="2"/>
      <c r="U19" s="2"/>
      <c r="V19" s="19"/>
      <c r="W19" s="2"/>
      <c r="X19" s="2">
        <f t="shared" si="2"/>
        <v>827.39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--171.13</f>
        <v>171.13</v>
      </c>
      <c r="E20" s="2"/>
      <c r="F20" s="19"/>
      <c r="G20" s="2"/>
      <c r="H20" s="2"/>
      <c r="I20" s="2"/>
      <c r="J20" s="19"/>
      <c r="K20" s="2"/>
      <c r="L20" s="2">
        <f t="shared" si="0"/>
        <v>171.13</v>
      </c>
      <c r="M20" s="2"/>
      <c r="N20" s="19">
        <f t="shared" si="1"/>
        <v>0</v>
      </c>
      <c r="O20" s="11"/>
      <c r="P20" s="2">
        <f>--694.22</f>
        <v>694.22</v>
      </c>
      <c r="Q20" s="2"/>
      <c r="R20" s="19"/>
      <c r="S20" s="2"/>
      <c r="T20" s="2"/>
      <c r="U20" s="2"/>
      <c r="V20" s="19"/>
      <c r="W20" s="2"/>
      <c r="X20" s="2">
        <f t="shared" si="2"/>
        <v>694.22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--2.98</f>
        <v>2.98</v>
      </c>
      <c r="E21" s="2"/>
      <c r="F21" s="19"/>
      <c r="G21" s="2"/>
      <c r="H21" s="2"/>
      <c r="I21" s="2"/>
      <c r="J21" s="19"/>
      <c r="K21" s="2"/>
      <c r="L21" s="2">
        <f t="shared" si="0"/>
        <v>2.98</v>
      </c>
      <c r="M21" s="2"/>
      <c r="N21" s="19">
        <f t="shared" si="1"/>
        <v>0</v>
      </c>
      <c r="O21" s="11"/>
      <c r="P21" s="2">
        <f>--225.67</f>
        <v>225.67</v>
      </c>
      <c r="Q21" s="2"/>
      <c r="R21" s="19"/>
      <c r="S21" s="2"/>
      <c r="T21" s="2"/>
      <c r="U21" s="2"/>
      <c r="V21" s="19"/>
      <c r="W21" s="2"/>
      <c r="X21" s="2">
        <f t="shared" si="2"/>
        <v>225.67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--394.68</f>
        <v>394.68</v>
      </c>
      <c r="E22" s="2"/>
      <c r="F22" s="19"/>
      <c r="G22" s="2"/>
      <c r="H22" s="2"/>
      <c r="I22" s="2"/>
      <c r="J22" s="19"/>
      <c r="K22" s="2"/>
      <c r="L22" s="2">
        <f t="shared" si="0"/>
        <v>394.68</v>
      </c>
      <c r="M22" s="2"/>
      <c r="N22" s="19">
        <f t="shared" si="1"/>
        <v>0</v>
      </c>
      <c r="O22" s="11"/>
      <c r="P22" s="2">
        <f>--2454.83</f>
        <v>2454.83</v>
      </c>
      <c r="Q22" s="2"/>
      <c r="R22" s="19"/>
      <c r="S22" s="2"/>
      <c r="T22" s="2"/>
      <c r="U22" s="2"/>
      <c r="V22" s="19"/>
      <c r="W22" s="2"/>
      <c r="X22" s="2">
        <f t="shared" si="2"/>
        <v>2454.83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--14.95</f>
        <v>14.95</v>
      </c>
      <c r="E23" s="2"/>
      <c r="F23" s="19"/>
      <c r="G23" s="2"/>
      <c r="H23" s="2"/>
      <c r="I23" s="2"/>
      <c r="J23" s="19"/>
      <c r="K23" s="2"/>
      <c r="L23" s="2">
        <f t="shared" si="0"/>
        <v>14.95</v>
      </c>
      <c r="M23" s="2"/>
      <c r="N23" s="19">
        <f t="shared" si="1"/>
        <v>0</v>
      </c>
      <c r="O23" s="11"/>
      <c r="P23" s="2">
        <f>--29.9</f>
        <v>29.9</v>
      </c>
      <c r="Q23" s="2"/>
      <c r="R23" s="19"/>
      <c r="S23" s="2"/>
      <c r="T23" s="2"/>
      <c r="U23" s="2"/>
      <c r="V23" s="19"/>
      <c r="W23" s="2"/>
      <c r="X23" s="2">
        <f t="shared" si="2"/>
        <v>29.9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--10035.97</f>
        <v>10035.969999999999</v>
      </c>
      <c r="E24" s="2"/>
      <c r="F24" s="19"/>
      <c r="G24" s="2"/>
      <c r="H24" s="2"/>
      <c r="I24" s="2"/>
      <c r="J24" s="19"/>
      <c r="K24" s="2"/>
      <c r="L24" s="2">
        <f t="shared" si="0"/>
        <v>10035.969999999999</v>
      </c>
      <c r="M24" s="2"/>
      <c r="N24" s="19">
        <f t="shared" si="1"/>
        <v>0</v>
      </c>
      <c r="O24" s="11"/>
      <c r="P24" s="2">
        <f>--26332.04</f>
        <v>26332.04</v>
      </c>
      <c r="Q24" s="2"/>
      <c r="R24" s="19"/>
      <c r="S24" s="2"/>
      <c r="T24" s="2"/>
      <c r="U24" s="2"/>
      <c r="V24" s="19"/>
      <c r="W24" s="2"/>
      <c r="X24" s="2">
        <f t="shared" si="2"/>
        <v>26332.04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--12565.24</f>
        <v>12565.24</v>
      </c>
      <c r="E25" s="2"/>
      <c r="F25" s="19"/>
      <c r="G25" s="2"/>
      <c r="H25" s="2"/>
      <c r="I25" s="2"/>
      <c r="J25" s="19"/>
      <c r="K25" s="2"/>
      <c r="L25" s="2">
        <f t="shared" si="0"/>
        <v>12565.24</v>
      </c>
      <c r="M25" s="2"/>
      <c r="N25" s="19">
        <f t="shared" si="1"/>
        <v>0</v>
      </c>
      <c r="O25" s="11"/>
      <c r="P25" s="2">
        <f>--37064.54</f>
        <v>37064.54</v>
      </c>
      <c r="Q25" s="2"/>
      <c r="R25" s="19"/>
      <c r="S25" s="2"/>
      <c r="T25" s="2"/>
      <c r="U25" s="2"/>
      <c r="V25" s="19"/>
      <c r="W25" s="2"/>
      <c r="X25" s="2">
        <f t="shared" si="2"/>
        <v>37064.54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--20952.95</f>
        <v>20952.95</v>
      </c>
      <c r="E26" s="2"/>
      <c r="F26" s="19"/>
      <c r="G26" s="2"/>
      <c r="H26" s="2"/>
      <c r="I26" s="2"/>
      <c r="J26" s="19"/>
      <c r="K26" s="2"/>
      <c r="L26" s="2">
        <f t="shared" si="0"/>
        <v>20952.95</v>
      </c>
      <c r="M26" s="2"/>
      <c r="N26" s="19">
        <f t="shared" si="1"/>
        <v>0</v>
      </c>
      <c r="O26" s="11"/>
      <c r="P26" s="2">
        <f>--144273.54</f>
        <v>144273.54</v>
      </c>
      <c r="Q26" s="2"/>
      <c r="R26" s="19"/>
      <c r="S26" s="2"/>
      <c r="T26" s="2"/>
      <c r="U26" s="2"/>
      <c r="V26" s="19"/>
      <c r="W26" s="2"/>
      <c r="X26" s="2">
        <f t="shared" si="2"/>
        <v>144273.54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--45836.99</f>
        <v>45836.99</v>
      </c>
      <c r="E27" s="2"/>
      <c r="F27" s="19"/>
      <c r="G27" s="2"/>
      <c r="H27" s="2"/>
      <c r="I27" s="2"/>
      <c r="J27" s="19"/>
      <c r="K27" s="2"/>
      <c r="L27" s="2">
        <f t="shared" si="0"/>
        <v>45836.99</v>
      </c>
      <c r="M27" s="2"/>
      <c r="N27" s="19">
        <f t="shared" si="1"/>
        <v>0</v>
      </c>
      <c r="O27" s="11"/>
      <c r="P27" s="2">
        <f>--146564.67</f>
        <v>146564.67000000001</v>
      </c>
      <c r="Q27" s="2"/>
      <c r="R27" s="19"/>
      <c r="S27" s="2"/>
      <c r="T27" s="2"/>
      <c r="U27" s="2"/>
      <c r="V27" s="19"/>
      <c r="W27" s="2"/>
      <c r="X27" s="2">
        <f t="shared" si="2"/>
        <v>146564.67000000001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--100.46</f>
        <v>100.46</v>
      </c>
      <c r="E28" s="2"/>
      <c r="F28" s="19"/>
      <c r="G28" s="2"/>
      <c r="H28" s="2"/>
      <c r="I28" s="2"/>
      <c r="J28" s="19"/>
      <c r="K28" s="2"/>
      <c r="L28" s="2">
        <f t="shared" si="0"/>
        <v>100.46</v>
      </c>
      <c r="M28" s="2"/>
      <c r="N28" s="19">
        <f t="shared" si="1"/>
        <v>0</v>
      </c>
      <c r="O28" s="11"/>
      <c r="P28" s="2">
        <f>--221.28</f>
        <v>221.28</v>
      </c>
      <c r="Q28" s="2"/>
      <c r="R28" s="19"/>
      <c r="S28" s="2"/>
      <c r="T28" s="2"/>
      <c r="U28" s="2"/>
      <c r="V28" s="19"/>
      <c r="W28" s="2"/>
      <c r="X28" s="2">
        <f t="shared" si="2"/>
        <v>221.28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--59190.6</f>
        <v>59190.6</v>
      </c>
      <c r="E29" s="2"/>
      <c r="F29" s="19"/>
      <c r="G29" s="2"/>
      <c r="H29" s="2"/>
      <c r="I29" s="2"/>
      <c r="J29" s="19"/>
      <c r="K29" s="2"/>
      <c r="L29" s="2">
        <f t="shared" si="0"/>
        <v>59190.6</v>
      </c>
      <c r="M29" s="2"/>
      <c r="N29" s="19">
        <f t="shared" si="1"/>
        <v>0</v>
      </c>
      <c r="O29" s="11"/>
      <c r="P29" s="2">
        <f>--131868.29</f>
        <v>131868.29</v>
      </c>
      <c r="Q29" s="2"/>
      <c r="R29" s="19"/>
      <c r="S29" s="2"/>
      <c r="T29" s="2"/>
      <c r="U29" s="2"/>
      <c r="V29" s="19"/>
      <c r="W29" s="2"/>
      <c r="X29" s="2">
        <f t="shared" si="2"/>
        <v>131868.29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--44.43</f>
        <v>44.43</v>
      </c>
      <c r="E30" s="2"/>
      <c r="F30" s="19"/>
      <c r="G30" s="2"/>
      <c r="H30" s="2"/>
      <c r="I30" s="2"/>
      <c r="J30" s="19"/>
      <c r="K30" s="2"/>
      <c r="L30" s="2">
        <f t="shared" si="0"/>
        <v>44.43</v>
      </c>
      <c r="M30" s="2"/>
      <c r="N30" s="19">
        <f t="shared" si="1"/>
        <v>0</v>
      </c>
      <c r="O30" s="11"/>
      <c r="P30" s="2">
        <f>--85.4</f>
        <v>85.4</v>
      </c>
      <c r="Q30" s="2"/>
      <c r="R30" s="19"/>
      <c r="S30" s="2"/>
      <c r="T30" s="2"/>
      <c r="U30" s="2"/>
      <c r="V30" s="19"/>
      <c r="W30" s="2"/>
      <c r="X30" s="2">
        <f t="shared" si="2"/>
        <v>85.4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--2386.44</f>
        <v>2386.44</v>
      </c>
      <c r="E31" s="2"/>
      <c r="F31" s="19"/>
      <c r="G31" s="2"/>
      <c r="H31" s="2"/>
      <c r="I31" s="2"/>
      <c r="J31" s="19"/>
      <c r="K31" s="2"/>
      <c r="L31" s="2">
        <f t="shared" si="0"/>
        <v>2386.44</v>
      </c>
      <c r="M31" s="2"/>
      <c r="N31" s="19">
        <f t="shared" si="1"/>
        <v>0</v>
      </c>
      <c r="O31" s="11"/>
      <c r="P31" s="2">
        <f>--5396.32</f>
        <v>5396.32</v>
      </c>
      <c r="Q31" s="2"/>
      <c r="R31" s="19"/>
      <c r="S31" s="2"/>
      <c r="T31" s="2"/>
      <c r="U31" s="2"/>
      <c r="V31" s="19"/>
      <c r="W31" s="2"/>
      <c r="X31" s="2">
        <f t="shared" si="2"/>
        <v>5396.32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--425.93</f>
        <v>425.93</v>
      </c>
      <c r="E32" s="2"/>
      <c r="F32" s="19"/>
      <c r="G32" s="2"/>
      <c r="H32" s="2"/>
      <c r="I32" s="2"/>
      <c r="J32" s="19"/>
      <c r="K32" s="2"/>
      <c r="L32" s="2">
        <f t="shared" si="0"/>
        <v>425.93</v>
      </c>
      <c r="M32" s="2"/>
      <c r="N32" s="19">
        <f t="shared" si="1"/>
        <v>0</v>
      </c>
      <c r="O32" s="11"/>
      <c r="P32" s="2">
        <f>--864.36</f>
        <v>864.36</v>
      </c>
      <c r="Q32" s="2"/>
      <c r="R32" s="19"/>
      <c r="S32" s="2"/>
      <c r="T32" s="2"/>
      <c r="U32" s="2"/>
      <c r="V32" s="19"/>
      <c r="W32" s="2"/>
      <c r="X32" s="2">
        <f t="shared" si="2"/>
        <v>864.36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--128.42</f>
        <v>128.41999999999999</v>
      </c>
      <c r="E33" s="2"/>
      <c r="F33" s="19"/>
      <c r="G33" s="2"/>
      <c r="H33" s="2"/>
      <c r="I33" s="2"/>
      <c r="J33" s="19"/>
      <c r="K33" s="2"/>
      <c r="L33" s="2">
        <f t="shared" si="0"/>
        <v>128.41999999999999</v>
      </c>
      <c r="M33" s="2"/>
      <c r="N33" s="19">
        <f t="shared" si="1"/>
        <v>0</v>
      </c>
      <c r="O33" s="11"/>
      <c r="P33" s="2">
        <f>--302.57</f>
        <v>302.57</v>
      </c>
      <c r="Q33" s="2"/>
      <c r="R33" s="19"/>
      <c r="S33" s="2"/>
      <c r="T33" s="2"/>
      <c r="U33" s="2"/>
      <c r="V33" s="19"/>
      <c r="W33" s="2"/>
      <c r="X33" s="2">
        <f t="shared" si="2"/>
        <v>302.57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--215340.93</f>
        <v>215340.93</v>
      </c>
      <c r="E34" s="2"/>
      <c r="F34" s="19"/>
      <c r="G34" s="2"/>
      <c r="H34" s="2"/>
      <c r="I34" s="2"/>
      <c r="J34" s="19"/>
      <c r="K34" s="2"/>
      <c r="L34" s="2">
        <f t="shared" si="0"/>
        <v>215340.93</v>
      </c>
      <c r="M34" s="2"/>
      <c r="N34" s="19">
        <f t="shared" si="1"/>
        <v>0</v>
      </c>
      <c r="O34" s="11"/>
      <c r="P34" s="2">
        <f>--848240.45</f>
        <v>848240.45</v>
      </c>
      <c r="Q34" s="2"/>
      <c r="R34" s="19"/>
      <c r="S34" s="2"/>
      <c r="T34" s="2"/>
      <c r="U34" s="2"/>
      <c r="V34" s="19"/>
      <c r="W34" s="2"/>
      <c r="X34" s="2">
        <f t="shared" si="2"/>
        <v>848240.45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--27181.29</f>
        <v>27181.29</v>
      </c>
      <c r="E35" s="2"/>
      <c r="F35" s="19"/>
      <c r="G35" s="2"/>
      <c r="H35" s="2"/>
      <c r="I35" s="2"/>
      <c r="J35" s="19"/>
      <c r="K35" s="2"/>
      <c r="L35" s="2">
        <f t="shared" si="0"/>
        <v>27181.29</v>
      </c>
      <c r="M35" s="2"/>
      <c r="N35" s="19">
        <f t="shared" si="1"/>
        <v>0</v>
      </c>
      <c r="O35" s="11"/>
      <c r="P35" s="2">
        <f>--228813.9</f>
        <v>228813.9</v>
      </c>
      <c r="Q35" s="2"/>
      <c r="R35" s="19"/>
      <c r="S35" s="2"/>
      <c r="T35" s="2"/>
      <c r="U35" s="2"/>
      <c r="V35" s="19"/>
      <c r="W35" s="2"/>
      <c r="X35" s="2">
        <f t="shared" si="2"/>
        <v>228813.9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--29192.1</f>
        <v>29192.1</v>
      </c>
      <c r="E36" s="2"/>
      <c r="F36" s="19"/>
      <c r="G36" s="2"/>
      <c r="H36" s="2"/>
      <c r="I36" s="2"/>
      <c r="J36" s="19"/>
      <c r="K36" s="2"/>
      <c r="L36" s="2">
        <f t="shared" si="0"/>
        <v>29192.1</v>
      </c>
      <c r="M36" s="2"/>
      <c r="N36" s="19">
        <f t="shared" si="1"/>
        <v>0</v>
      </c>
      <c r="O36" s="11"/>
      <c r="P36" s="2">
        <f>--124310.37</f>
        <v>124310.37</v>
      </c>
      <c r="Q36" s="2"/>
      <c r="R36" s="19"/>
      <c r="S36" s="2"/>
      <c r="T36" s="2"/>
      <c r="U36" s="2"/>
      <c r="V36" s="19"/>
      <c r="W36" s="2"/>
      <c r="X36" s="2">
        <f t="shared" si="2"/>
        <v>124310.37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--63.04</f>
        <v>63.04</v>
      </c>
      <c r="E37" s="2"/>
      <c r="F37" s="19"/>
      <c r="G37" s="2"/>
      <c r="H37" s="2"/>
      <c r="I37" s="2"/>
      <c r="J37" s="19"/>
      <c r="K37" s="2"/>
      <c r="L37" s="2">
        <f t="shared" si="0"/>
        <v>63.04</v>
      </c>
      <c r="M37" s="2"/>
      <c r="N37" s="19">
        <f t="shared" si="1"/>
        <v>0</v>
      </c>
      <c r="O37" s="11"/>
      <c r="P37" s="2">
        <f>--520.85</f>
        <v>520.85</v>
      </c>
      <c r="Q37" s="2"/>
      <c r="R37" s="19"/>
      <c r="S37" s="2"/>
      <c r="T37" s="2"/>
      <c r="U37" s="2"/>
      <c r="V37" s="19"/>
      <c r="W37" s="2"/>
      <c r="X37" s="2">
        <f t="shared" si="2"/>
        <v>520.85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--4838.74</f>
        <v>4838.74</v>
      </c>
      <c r="E38" s="2"/>
      <c r="F38" s="19"/>
      <c r="G38" s="2"/>
      <c r="H38" s="2"/>
      <c r="I38" s="2"/>
      <c r="J38" s="19"/>
      <c r="K38" s="2"/>
      <c r="L38" s="2">
        <f t="shared" si="0"/>
        <v>4838.74</v>
      </c>
      <c r="M38" s="2"/>
      <c r="N38" s="19">
        <f t="shared" si="1"/>
        <v>0</v>
      </c>
      <c r="O38" s="11"/>
      <c r="P38" s="2">
        <f>--33067.15</f>
        <v>33067.15</v>
      </c>
      <c r="Q38" s="2"/>
      <c r="R38" s="19"/>
      <c r="S38" s="2"/>
      <c r="T38" s="2"/>
      <c r="U38" s="2"/>
      <c r="V38" s="19"/>
      <c r="W38" s="2"/>
      <c r="X38" s="2">
        <f t="shared" si="2"/>
        <v>33067.15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--4525.99</f>
        <v>4525.99</v>
      </c>
      <c r="E39" s="2"/>
      <c r="F39" s="19"/>
      <c r="G39" s="2"/>
      <c r="H39" s="2"/>
      <c r="I39" s="2"/>
      <c r="J39" s="19"/>
      <c r="K39" s="2"/>
      <c r="L39" s="2">
        <f t="shared" si="0"/>
        <v>4525.99</v>
      </c>
      <c r="M39" s="2"/>
      <c r="N39" s="19">
        <f t="shared" si="1"/>
        <v>0</v>
      </c>
      <c r="O39" s="11"/>
      <c r="P39" s="2">
        <f>--35853.1</f>
        <v>35853.1</v>
      </c>
      <c r="Q39" s="2"/>
      <c r="R39" s="19"/>
      <c r="S39" s="2"/>
      <c r="T39" s="2"/>
      <c r="U39" s="2"/>
      <c r="V39" s="19"/>
      <c r="W39" s="2"/>
      <c r="X39" s="2">
        <f t="shared" si="2"/>
        <v>35853.1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--402.65</f>
        <v>402.65</v>
      </c>
      <c r="E40" s="2"/>
      <c r="F40" s="19"/>
      <c r="G40" s="2"/>
      <c r="H40" s="2"/>
      <c r="I40" s="2"/>
      <c r="J40" s="19"/>
      <c r="K40" s="2"/>
      <c r="L40" s="2">
        <f t="shared" si="0"/>
        <v>402.65</v>
      </c>
      <c r="M40" s="2"/>
      <c r="N40" s="19">
        <f t="shared" si="1"/>
        <v>0</v>
      </c>
      <c r="O40" s="11"/>
      <c r="P40" s="2">
        <f>--1374</f>
        <v>1374</v>
      </c>
      <c r="Q40" s="2"/>
      <c r="R40" s="19"/>
      <c r="S40" s="2"/>
      <c r="T40" s="2"/>
      <c r="U40" s="2"/>
      <c r="V40" s="19"/>
      <c r="W40" s="2"/>
      <c r="X40" s="2">
        <f t="shared" si="2"/>
        <v>1374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--125346.31</f>
        <v>125346.31</v>
      </c>
      <c r="E41" s="2"/>
      <c r="F41" s="19"/>
      <c r="G41" s="2"/>
      <c r="H41" s="2"/>
      <c r="I41" s="2"/>
      <c r="J41" s="19"/>
      <c r="K41" s="2"/>
      <c r="L41" s="2">
        <f t="shared" si="0"/>
        <v>125346.31</v>
      </c>
      <c r="M41" s="2"/>
      <c r="N41" s="19">
        <f t="shared" si="1"/>
        <v>0</v>
      </c>
      <c r="O41" s="11"/>
      <c r="P41" s="2">
        <f>--300035.94</f>
        <v>300035.94</v>
      </c>
      <c r="Q41" s="2"/>
      <c r="R41" s="19"/>
      <c r="S41" s="2"/>
      <c r="T41" s="2"/>
      <c r="U41" s="2"/>
      <c r="V41" s="19"/>
      <c r="W41" s="2"/>
      <c r="X41" s="2">
        <f t="shared" si="2"/>
        <v>300035.94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--115316.39</f>
        <v>115316.39</v>
      </c>
      <c r="E42" s="2"/>
      <c r="F42" s="19"/>
      <c r="G42" s="2"/>
      <c r="H42" s="2"/>
      <c r="I42" s="2"/>
      <c r="J42" s="19"/>
      <c r="K42" s="2"/>
      <c r="L42" s="2">
        <f t="shared" si="0"/>
        <v>115316.39</v>
      </c>
      <c r="M42" s="2"/>
      <c r="N42" s="19">
        <f t="shared" si="1"/>
        <v>0</v>
      </c>
      <c r="O42" s="11"/>
      <c r="P42" s="2">
        <f>--368822.4</f>
        <v>368822.4</v>
      </c>
      <c r="Q42" s="2"/>
      <c r="R42" s="19"/>
      <c r="S42" s="2"/>
      <c r="T42" s="2"/>
      <c r="U42" s="2"/>
      <c r="V42" s="19"/>
      <c r="W42" s="2"/>
      <c r="X42" s="2">
        <f t="shared" si="2"/>
        <v>368822.4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--19711.97</f>
        <v>19711.97</v>
      </c>
      <c r="E43" s="2"/>
      <c r="F43" s="19"/>
      <c r="G43" s="2"/>
      <c r="H43" s="2"/>
      <c r="I43" s="2"/>
      <c r="J43" s="19"/>
      <c r="K43" s="2"/>
      <c r="L43" s="2">
        <f t="shared" si="0"/>
        <v>19711.97</v>
      </c>
      <c r="M43" s="2"/>
      <c r="N43" s="19">
        <f t="shared" si="1"/>
        <v>0</v>
      </c>
      <c r="O43" s="11"/>
      <c r="P43" s="2">
        <f>--69878.4</f>
        <v>69878.399999999994</v>
      </c>
      <c r="Q43" s="2"/>
      <c r="R43" s="19"/>
      <c r="S43" s="2"/>
      <c r="T43" s="2"/>
      <c r="U43" s="2"/>
      <c r="V43" s="19"/>
      <c r="W43" s="2"/>
      <c r="X43" s="2">
        <f t="shared" si="2"/>
        <v>69878.399999999994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--75527.74</f>
        <v>75527.740000000005</v>
      </c>
      <c r="E44" s="2"/>
      <c r="F44" s="19"/>
      <c r="G44" s="2"/>
      <c r="H44" s="2"/>
      <c r="I44" s="2"/>
      <c r="J44" s="19"/>
      <c r="K44" s="2"/>
      <c r="L44" s="2">
        <f t="shared" si="0"/>
        <v>75527.740000000005</v>
      </c>
      <c r="M44" s="2"/>
      <c r="N44" s="19">
        <f t="shared" si="1"/>
        <v>0</v>
      </c>
      <c r="O44" s="11"/>
      <c r="P44" s="2">
        <f>--186642.74</f>
        <v>186642.74</v>
      </c>
      <c r="Q44" s="2"/>
      <c r="R44" s="19"/>
      <c r="S44" s="2"/>
      <c r="T44" s="2"/>
      <c r="U44" s="2"/>
      <c r="V44" s="19"/>
      <c r="W44" s="2"/>
      <c r="X44" s="2">
        <f t="shared" si="2"/>
        <v>186642.74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--21855.03</f>
        <v>21855.03</v>
      </c>
      <c r="E45" s="2"/>
      <c r="F45" s="19"/>
      <c r="G45" s="2"/>
      <c r="H45" s="2"/>
      <c r="I45" s="2"/>
      <c r="J45" s="19"/>
      <c r="K45" s="2"/>
      <c r="L45" s="2">
        <f t="shared" si="0"/>
        <v>21855.03</v>
      </c>
      <c r="M45" s="2"/>
      <c r="N45" s="19">
        <f t="shared" si="1"/>
        <v>0</v>
      </c>
      <c r="O45" s="11"/>
      <c r="P45" s="2">
        <f>--64145.93</f>
        <v>64145.93</v>
      </c>
      <c r="Q45" s="2"/>
      <c r="R45" s="19"/>
      <c r="S45" s="2"/>
      <c r="T45" s="2"/>
      <c r="U45" s="2"/>
      <c r="V45" s="19"/>
      <c r="W45" s="2"/>
      <c r="X45" s="2">
        <f t="shared" si="2"/>
        <v>64145.93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--25652.98</f>
        <v>25652.98</v>
      </c>
      <c r="E46" s="2"/>
      <c r="F46" s="19"/>
      <c r="G46" s="2"/>
      <c r="H46" s="2"/>
      <c r="I46" s="2"/>
      <c r="J46" s="19"/>
      <c r="K46" s="2"/>
      <c r="L46" s="2">
        <f t="shared" si="0"/>
        <v>25652.98</v>
      </c>
      <c r="M46" s="2"/>
      <c r="N46" s="19">
        <f t="shared" si="1"/>
        <v>0</v>
      </c>
      <c r="O46" s="11"/>
      <c r="P46" s="2">
        <f>--215249.72</f>
        <v>215249.72</v>
      </c>
      <c r="Q46" s="2"/>
      <c r="R46" s="19"/>
      <c r="S46" s="2"/>
      <c r="T46" s="2"/>
      <c r="U46" s="2"/>
      <c r="V46" s="19"/>
      <c r="W46" s="2"/>
      <c r="X46" s="2">
        <f t="shared" si="2"/>
        <v>215249.72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--109645.14</f>
        <v>109645.14</v>
      </c>
      <c r="E47" s="2"/>
      <c r="F47" s="19"/>
      <c r="G47" s="2"/>
      <c r="H47" s="2"/>
      <c r="I47" s="2"/>
      <c r="J47" s="19"/>
      <c r="K47" s="2"/>
      <c r="L47" s="2">
        <f t="shared" si="0"/>
        <v>109645.14</v>
      </c>
      <c r="M47" s="2"/>
      <c r="N47" s="19">
        <f t="shared" si="1"/>
        <v>0</v>
      </c>
      <c r="O47" s="11"/>
      <c r="P47" s="2">
        <f>--1148561.63</f>
        <v>1148561.6299999999</v>
      </c>
      <c r="Q47" s="2"/>
      <c r="R47" s="19"/>
      <c r="S47" s="2"/>
      <c r="T47" s="2"/>
      <c r="U47" s="2"/>
      <c r="V47" s="19"/>
      <c r="W47" s="2"/>
      <c r="X47" s="2">
        <f t="shared" si="2"/>
        <v>1148561.6299999999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--12779.9</f>
        <v>12779.9</v>
      </c>
      <c r="E48" s="2"/>
      <c r="F48" s="19"/>
      <c r="G48" s="2"/>
      <c r="H48" s="2"/>
      <c r="I48" s="2"/>
      <c r="J48" s="19"/>
      <c r="K48" s="2"/>
      <c r="L48" s="2">
        <f t="shared" si="0"/>
        <v>12779.9</v>
      </c>
      <c r="M48" s="2"/>
      <c r="N48" s="19">
        <f t="shared" si="1"/>
        <v>0</v>
      </c>
      <c r="O48" s="11"/>
      <c r="P48" s="2">
        <f>--54035.91</f>
        <v>54035.91</v>
      </c>
      <c r="Q48" s="2"/>
      <c r="R48" s="19"/>
      <c r="S48" s="2"/>
      <c r="T48" s="2"/>
      <c r="U48" s="2"/>
      <c r="V48" s="19"/>
      <c r="W48" s="2"/>
      <c r="X48" s="2">
        <f t="shared" si="2"/>
        <v>54035.91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--3913.99</f>
        <v>3913.99</v>
      </c>
      <c r="E50" s="2"/>
      <c r="F50" s="19"/>
      <c r="G50" s="2"/>
      <c r="H50" s="2"/>
      <c r="I50" s="2"/>
      <c r="J50" s="19"/>
      <c r="K50" s="2"/>
      <c r="L50" s="2">
        <f t="shared" si="0"/>
        <v>3913.99</v>
      </c>
      <c r="M50" s="2"/>
      <c r="N50" s="19">
        <f t="shared" si="1"/>
        <v>0</v>
      </c>
      <c r="O50" s="11"/>
      <c r="P50" s="2">
        <f>--4407.94</f>
        <v>4407.9399999999996</v>
      </c>
      <c r="Q50" s="2"/>
      <c r="R50" s="19"/>
      <c r="S50" s="2"/>
      <c r="T50" s="2"/>
      <c r="U50" s="2"/>
      <c r="V50" s="19"/>
      <c r="W50" s="2"/>
      <c r="X50" s="2">
        <f t="shared" si="2"/>
        <v>4407.9399999999996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--6696.06</f>
        <v>6696.06</v>
      </c>
      <c r="E51" s="2"/>
      <c r="F51" s="19"/>
      <c r="G51" s="2"/>
      <c r="H51" s="2"/>
      <c r="I51" s="2"/>
      <c r="J51" s="19"/>
      <c r="K51" s="2"/>
      <c r="L51" s="2">
        <f t="shared" si="0"/>
        <v>6696.06</v>
      </c>
      <c r="M51" s="2"/>
      <c r="N51" s="19">
        <f t="shared" si="1"/>
        <v>0</v>
      </c>
      <c r="O51" s="11"/>
      <c r="P51" s="2">
        <f>--27133.09</f>
        <v>27133.09</v>
      </c>
      <c r="Q51" s="2"/>
      <c r="R51" s="19"/>
      <c r="S51" s="2"/>
      <c r="T51" s="2"/>
      <c r="U51" s="2"/>
      <c r="V51" s="19"/>
      <c r="W51" s="2"/>
      <c r="X51" s="2">
        <f t="shared" si="2"/>
        <v>27133.09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--281.98</f>
        <v>281.98</v>
      </c>
      <c r="E52" s="2"/>
      <c r="F52" s="19"/>
      <c r="G52" s="2"/>
      <c r="H52" s="2"/>
      <c r="I52" s="2"/>
      <c r="J52" s="19"/>
      <c r="K52" s="2"/>
      <c r="L52" s="2">
        <f t="shared" si="0"/>
        <v>281.98</v>
      </c>
      <c r="M52" s="2"/>
      <c r="N52" s="19">
        <f t="shared" si="1"/>
        <v>0</v>
      </c>
      <c r="O52" s="11"/>
      <c r="P52" s="2">
        <f>--817.94</f>
        <v>817.94</v>
      </c>
      <c r="Q52" s="2"/>
      <c r="R52" s="19"/>
      <c r="S52" s="2"/>
      <c r="T52" s="2"/>
      <c r="U52" s="2"/>
      <c r="V52" s="19"/>
      <c r="W52" s="2"/>
      <c r="X52" s="2">
        <f t="shared" si="2"/>
        <v>817.94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--1178.45</f>
        <v>1178.45</v>
      </c>
      <c r="E53" s="2"/>
      <c r="F53" s="19"/>
      <c r="G53" s="2"/>
      <c r="H53" s="2"/>
      <c r="I53" s="2"/>
      <c r="J53" s="19"/>
      <c r="K53" s="2"/>
      <c r="L53" s="2">
        <f t="shared" si="0"/>
        <v>1178.45</v>
      </c>
      <c r="M53" s="2"/>
      <c r="N53" s="19">
        <f t="shared" si="1"/>
        <v>0</v>
      </c>
      <c r="O53" s="11"/>
      <c r="P53" s="2">
        <f>--5051.08</f>
        <v>5051.08</v>
      </c>
      <c r="Q53" s="2"/>
      <c r="R53" s="19"/>
      <c r="S53" s="2"/>
      <c r="T53" s="2"/>
      <c r="U53" s="2"/>
      <c r="V53" s="19"/>
      <c r="W53" s="2"/>
      <c r="X53" s="2">
        <f t="shared" si="2"/>
        <v>5051.08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--43.76</f>
        <v>43.76</v>
      </c>
      <c r="E54" s="2"/>
      <c r="F54" s="19"/>
      <c r="G54" s="2"/>
      <c r="H54" s="2"/>
      <c r="I54" s="2"/>
      <c r="J54" s="19"/>
      <c r="K54" s="2"/>
      <c r="L54" s="2">
        <f t="shared" si="0"/>
        <v>43.76</v>
      </c>
      <c r="M54" s="2"/>
      <c r="N54" s="19">
        <f t="shared" si="1"/>
        <v>0</v>
      </c>
      <c r="O54" s="11"/>
      <c r="P54" s="2">
        <f>--244.61</f>
        <v>244.61</v>
      </c>
      <c r="Q54" s="2"/>
      <c r="R54" s="19"/>
      <c r="S54" s="2"/>
      <c r="T54" s="2"/>
      <c r="U54" s="2"/>
      <c r="V54" s="19"/>
      <c r="W54" s="2"/>
      <c r="X54" s="2">
        <f t="shared" si="2"/>
        <v>244.61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--30737.9</f>
        <v>30737.9</v>
      </c>
      <c r="E55" s="2"/>
      <c r="F55" s="19"/>
      <c r="G55" s="2"/>
      <c r="H55" s="2">
        <v>2727995</v>
      </c>
      <c r="I55" s="2"/>
      <c r="J55" s="19"/>
      <c r="K55" s="2"/>
      <c r="L55" s="2">
        <f t="shared" si="0"/>
        <v>-2697257.1</v>
      </c>
      <c r="M55" s="2"/>
      <c r="N55" s="19">
        <f t="shared" si="1"/>
        <v>-0.98873242069725209</v>
      </c>
      <c r="O55" s="11"/>
      <c r="P55" s="2">
        <f>--458517.67</f>
        <v>458517.67</v>
      </c>
      <c r="Q55" s="2"/>
      <c r="R55" s="19"/>
      <c r="S55" s="2"/>
      <c r="T55" s="2">
        <v>9850390</v>
      </c>
      <c r="U55" s="2"/>
      <c r="V55" s="19"/>
      <c r="W55" s="2"/>
      <c r="X55" s="2">
        <f t="shared" si="2"/>
        <v>-9391872.3300000001</v>
      </c>
      <c r="Y55" s="2"/>
      <c r="Z55" s="19">
        <f t="shared" si="3"/>
        <v>-0.95345182576527432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--8438.54</f>
        <v>8438.5400000000009</v>
      </c>
      <c r="E56" s="2"/>
      <c r="F56" s="19"/>
      <c r="G56" s="2"/>
      <c r="H56" s="2"/>
      <c r="I56" s="2"/>
      <c r="J56" s="19"/>
      <c r="K56" s="2"/>
      <c r="L56" s="2">
        <f t="shared" si="0"/>
        <v>8438.5400000000009</v>
      </c>
      <c r="M56" s="2"/>
      <c r="N56" s="19">
        <f t="shared" si="1"/>
        <v>0</v>
      </c>
      <c r="O56" s="11"/>
      <c r="P56" s="2">
        <f>--92331.09</f>
        <v>92331.09</v>
      </c>
      <c r="Q56" s="2"/>
      <c r="R56" s="19"/>
      <c r="S56" s="2"/>
      <c r="T56" s="2"/>
      <c r="U56" s="2"/>
      <c r="V56" s="19"/>
      <c r="W56" s="2"/>
      <c r="X56" s="2">
        <f t="shared" si="2"/>
        <v>92331.09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--578.81</f>
        <v>578.80999999999995</v>
      </c>
      <c r="E57" s="2"/>
      <c r="F57" s="19"/>
      <c r="G57" s="2"/>
      <c r="H57" s="2"/>
      <c r="I57" s="2"/>
      <c r="J57" s="19"/>
      <c r="K57" s="2"/>
      <c r="L57" s="2">
        <f t="shared" si="0"/>
        <v>578.80999999999995</v>
      </c>
      <c r="M57" s="2"/>
      <c r="N57" s="19">
        <f t="shared" si="1"/>
        <v>0</v>
      </c>
      <c r="O57" s="11"/>
      <c r="P57" s="2">
        <f>--37022.32</f>
        <v>37022.32</v>
      </c>
      <c r="Q57" s="2"/>
      <c r="R57" s="19"/>
      <c r="S57" s="2"/>
      <c r="T57" s="2"/>
      <c r="U57" s="2"/>
      <c r="V57" s="19"/>
      <c r="W57" s="2"/>
      <c r="X57" s="2">
        <f t="shared" si="2"/>
        <v>37022.32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/>
      <c r="U58" s="2"/>
      <c r="V58" s="19"/>
      <c r="W58" s="2"/>
      <c r="X58" s="2">
        <f t="shared" si="2"/>
        <v>329.98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--1559.03</f>
        <v>1559.03</v>
      </c>
      <c r="E59" s="2"/>
      <c r="F59" s="19"/>
      <c r="G59" s="2"/>
      <c r="H59" s="2"/>
      <c r="I59" s="2"/>
      <c r="J59" s="19"/>
      <c r="K59" s="2"/>
      <c r="L59" s="2">
        <f t="shared" si="0"/>
        <v>1559.03</v>
      </c>
      <c r="M59" s="2"/>
      <c r="N59" s="19">
        <f t="shared" si="1"/>
        <v>0</v>
      </c>
      <c r="O59" s="11"/>
      <c r="P59" s="2">
        <f>--320492.85</f>
        <v>320492.84999999998</v>
      </c>
      <c r="Q59" s="2"/>
      <c r="R59" s="19"/>
      <c r="S59" s="2"/>
      <c r="T59" s="2"/>
      <c r="U59" s="2"/>
      <c r="V59" s="19"/>
      <c r="W59" s="2"/>
      <c r="X59" s="2">
        <f t="shared" si="2"/>
        <v>320492.84999999998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--757.3</f>
        <v>757.3</v>
      </c>
      <c r="E60" s="2"/>
      <c r="F60" s="19"/>
      <c r="G60" s="2"/>
      <c r="H60" s="2"/>
      <c r="I60" s="2"/>
      <c r="J60" s="19"/>
      <c r="K60" s="2"/>
      <c r="L60" s="2">
        <f t="shared" si="0"/>
        <v>757.3</v>
      </c>
      <c r="M60" s="2"/>
      <c r="N60" s="19">
        <f t="shared" si="1"/>
        <v>0</v>
      </c>
      <c r="O60" s="11"/>
      <c r="P60" s="2">
        <f>--7099.47</f>
        <v>7099.47</v>
      </c>
      <c r="Q60" s="2"/>
      <c r="R60" s="19"/>
      <c r="S60" s="2"/>
      <c r="T60" s="2"/>
      <c r="U60" s="2"/>
      <c r="V60" s="19"/>
      <c r="W60" s="2"/>
      <c r="X60" s="2">
        <f t="shared" si="2"/>
        <v>7099.47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 t="shared" ref="D61:D63" si="4"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/>
      <c r="U61" s="2"/>
      <c r="V61" s="19"/>
      <c r="W61" s="2"/>
      <c r="X61" s="2">
        <f t="shared" si="2"/>
        <v>1146.72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 t="shared" si="4"/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--20.92</f>
        <v>20.92</v>
      </c>
      <c r="Q62" s="2"/>
      <c r="R62" s="19"/>
      <c r="S62" s="2"/>
      <c r="T62" s="2"/>
      <c r="U62" s="2"/>
      <c r="V62" s="19"/>
      <c r="W62" s="2"/>
      <c r="X62" s="2">
        <f t="shared" si="2"/>
        <v>20.92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si="4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/>
      <c r="U63" s="2"/>
      <c r="V63" s="19"/>
      <c r="W63" s="2"/>
      <c r="X63" s="2">
        <f t="shared" si="2"/>
        <v>124.18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--115.27</f>
        <v>115.27</v>
      </c>
      <c r="E64" s="2"/>
      <c r="F64" s="19"/>
      <c r="G64" s="2"/>
      <c r="H64" s="2"/>
      <c r="I64" s="2"/>
      <c r="J64" s="19"/>
      <c r="K64" s="2"/>
      <c r="L64" s="2">
        <f t="shared" si="0"/>
        <v>115.27</v>
      </c>
      <c r="M64" s="2"/>
      <c r="N64" s="19">
        <f t="shared" si="1"/>
        <v>0</v>
      </c>
      <c r="O64" s="11"/>
      <c r="P64" s="2">
        <f>--1458.53</f>
        <v>1458.53</v>
      </c>
      <c r="Q64" s="2"/>
      <c r="R64" s="19"/>
      <c r="S64" s="2"/>
      <c r="T64" s="2"/>
      <c r="U64" s="2"/>
      <c r="V64" s="19"/>
      <c r="W64" s="2"/>
      <c r="X64" s="2">
        <f t="shared" si="2"/>
        <v>1458.53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--179.63</f>
        <v>179.63</v>
      </c>
      <c r="E65" s="2"/>
      <c r="F65" s="19"/>
      <c r="G65" s="2"/>
      <c r="H65" s="2"/>
      <c r="I65" s="2"/>
      <c r="J65" s="19"/>
      <c r="K65" s="2"/>
      <c r="L65" s="2">
        <f t="shared" si="0"/>
        <v>179.63</v>
      </c>
      <c r="M65" s="2"/>
      <c r="N65" s="19">
        <f t="shared" si="1"/>
        <v>0</v>
      </c>
      <c r="O65" s="11"/>
      <c r="P65" s="2">
        <f>--2597.12</f>
        <v>2597.12</v>
      </c>
      <c r="Q65" s="2"/>
      <c r="R65" s="19"/>
      <c r="S65" s="2"/>
      <c r="T65" s="2"/>
      <c r="U65" s="2"/>
      <c r="V65" s="19"/>
      <c r="W65" s="2"/>
      <c r="X65" s="2">
        <f t="shared" si="2"/>
        <v>2597.12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--85.82</f>
        <v>85.82</v>
      </c>
      <c r="E66" s="2"/>
      <c r="F66" s="19"/>
      <c r="G66" s="2"/>
      <c r="H66" s="2"/>
      <c r="I66" s="2"/>
      <c r="J66" s="19"/>
      <c r="K66" s="2"/>
      <c r="L66" s="2">
        <f t="shared" si="0"/>
        <v>85.82</v>
      </c>
      <c r="M66" s="2"/>
      <c r="N66" s="19">
        <f t="shared" si="1"/>
        <v>0</v>
      </c>
      <c r="O66" s="11"/>
      <c r="P66" s="2">
        <f>--348.72</f>
        <v>348.72</v>
      </c>
      <c r="Q66" s="2"/>
      <c r="R66" s="19"/>
      <c r="S66" s="2"/>
      <c r="T66" s="2"/>
      <c r="U66" s="2"/>
      <c r="V66" s="19"/>
      <c r="W66" s="2"/>
      <c r="X66" s="2">
        <f t="shared" si="2"/>
        <v>348.72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--13457.13</f>
        <v>13457.13</v>
      </c>
      <c r="E67" s="2"/>
      <c r="F67" s="19"/>
      <c r="G67" s="2"/>
      <c r="H67" s="2"/>
      <c r="I67" s="2"/>
      <c r="J67" s="19"/>
      <c r="K67" s="2"/>
      <c r="L67" s="2">
        <f t="shared" si="0"/>
        <v>13457.13</v>
      </c>
      <c r="M67" s="2"/>
      <c r="N67" s="19">
        <f t="shared" si="1"/>
        <v>0</v>
      </c>
      <c r="O67" s="11"/>
      <c r="P67" s="2">
        <f>--26722.42</f>
        <v>26722.42</v>
      </c>
      <c r="Q67" s="2"/>
      <c r="R67" s="19"/>
      <c r="S67" s="2"/>
      <c r="T67" s="2"/>
      <c r="U67" s="2"/>
      <c r="V67" s="19"/>
      <c r="W67" s="2"/>
      <c r="X67" s="2">
        <f t="shared" si="2"/>
        <v>26722.42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--243120.09</f>
        <v>243120.09</v>
      </c>
      <c r="E68" s="2"/>
      <c r="F68" s="19"/>
      <c r="G68" s="2"/>
      <c r="H68" s="2"/>
      <c r="I68" s="2"/>
      <c r="J68" s="19"/>
      <c r="K68" s="2"/>
      <c r="L68" s="2">
        <f t="shared" si="0"/>
        <v>243120.09</v>
      </c>
      <c r="M68" s="2"/>
      <c r="N68" s="19">
        <f t="shared" si="1"/>
        <v>0</v>
      </c>
      <c r="O68" s="11"/>
      <c r="P68" s="2">
        <f>--522872.45</f>
        <v>522872.45</v>
      </c>
      <c r="Q68" s="2"/>
      <c r="R68" s="19"/>
      <c r="S68" s="2"/>
      <c r="T68" s="2"/>
      <c r="U68" s="2"/>
      <c r="V68" s="19"/>
      <c r="W68" s="2"/>
      <c r="X68" s="2">
        <f t="shared" si="2"/>
        <v>522872.45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--3801.88</f>
        <v>3801.88</v>
      </c>
      <c r="E69" s="2"/>
      <c r="F69" s="19"/>
      <c r="G69" s="2"/>
      <c r="H69" s="2"/>
      <c r="I69" s="2"/>
      <c r="J69" s="19"/>
      <c r="K69" s="2"/>
      <c r="L69" s="2">
        <f t="shared" si="0"/>
        <v>3801.88</v>
      </c>
      <c r="M69" s="2"/>
      <c r="N69" s="19">
        <f t="shared" si="1"/>
        <v>0</v>
      </c>
      <c r="O69" s="11"/>
      <c r="P69" s="2">
        <f>--8466.86</f>
        <v>8466.86</v>
      </c>
      <c r="Q69" s="2"/>
      <c r="R69" s="19"/>
      <c r="S69" s="2"/>
      <c r="T69" s="2"/>
      <c r="U69" s="2"/>
      <c r="V69" s="19"/>
      <c r="W69" s="2"/>
      <c r="X69" s="2">
        <f t="shared" si="2"/>
        <v>8466.86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/>
      <c r="U70" s="2"/>
      <c r="V70" s="19"/>
      <c r="W70" s="2"/>
      <c r="X70" s="2">
        <f t="shared" si="2"/>
        <v>0.39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--17.9</f>
        <v>17.899999999999999</v>
      </c>
      <c r="E71" s="2"/>
      <c r="F71" s="19"/>
      <c r="G71" s="2"/>
      <c r="H71" s="2"/>
      <c r="I71" s="2"/>
      <c r="J71" s="19"/>
      <c r="K71" s="2"/>
      <c r="L71" s="2">
        <f t="shared" si="0"/>
        <v>17.899999999999999</v>
      </c>
      <c r="M71" s="2"/>
      <c r="N71" s="19">
        <f t="shared" si="1"/>
        <v>0</v>
      </c>
      <c r="O71" s="11"/>
      <c r="P71" s="2">
        <f>--103.96</f>
        <v>103.96</v>
      </c>
      <c r="Q71" s="2"/>
      <c r="R71" s="19"/>
      <c r="S71" s="2"/>
      <c r="T71" s="2"/>
      <c r="U71" s="2"/>
      <c r="V71" s="19"/>
      <c r="W71" s="2"/>
      <c r="X71" s="2">
        <f t="shared" si="2"/>
        <v>103.96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--2252.19</f>
        <v>2252.19</v>
      </c>
      <c r="E72" s="2"/>
      <c r="F72" s="19"/>
      <c r="G72" s="2"/>
      <c r="H72" s="2"/>
      <c r="I72" s="2"/>
      <c r="J72" s="19"/>
      <c r="K72" s="2"/>
      <c r="L72" s="2">
        <f t="shared" si="0"/>
        <v>2252.19</v>
      </c>
      <c r="M72" s="2"/>
      <c r="N72" s="19">
        <f t="shared" si="1"/>
        <v>0</v>
      </c>
      <c r="O72" s="11"/>
      <c r="P72" s="2">
        <f>--5114.15</f>
        <v>5114.1499999999996</v>
      </c>
      <c r="Q72" s="2"/>
      <c r="R72" s="19"/>
      <c r="S72" s="2"/>
      <c r="T72" s="2"/>
      <c r="U72" s="2"/>
      <c r="V72" s="19"/>
      <c r="W72" s="2"/>
      <c r="X72" s="2">
        <f t="shared" si="2"/>
        <v>5114.1499999999996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--4377.82</f>
        <v>4377.82</v>
      </c>
      <c r="E73" s="2"/>
      <c r="F73" s="19"/>
      <c r="G73" s="2"/>
      <c r="H73" s="2"/>
      <c r="I73" s="2"/>
      <c r="J73" s="19"/>
      <c r="K73" s="2"/>
      <c r="L73" s="2">
        <f t="shared" si="0"/>
        <v>4377.82</v>
      </c>
      <c r="M73" s="2"/>
      <c r="N73" s="19">
        <f t="shared" si="1"/>
        <v>0</v>
      </c>
      <c r="O73" s="11"/>
      <c r="P73" s="2">
        <f>--12635.52</f>
        <v>12635.52</v>
      </c>
      <c r="Q73" s="2"/>
      <c r="R73" s="19"/>
      <c r="S73" s="2"/>
      <c r="T73" s="2"/>
      <c r="U73" s="2"/>
      <c r="V73" s="19"/>
      <c r="W73" s="2"/>
      <c r="X73" s="2">
        <f t="shared" si="2"/>
        <v>12635.52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--581.29</f>
        <v>581.29</v>
      </c>
      <c r="E74" s="2"/>
      <c r="F74" s="19"/>
      <c r="G74" s="2"/>
      <c r="H74" s="2"/>
      <c r="I74" s="2"/>
      <c r="J74" s="19"/>
      <c r="K74" s="2"/>
      <c r="L74" s="2">
        <f t="shared" si="0"/>
        <v>581.29</v>
      </c>
      <c r="M74" s="2"/>
      <c r="N74" s="19">
        <f t="shared" si="1"/>
        <v>0</v>
      </c>
      <c r="O74" s="11"/>
      <c r="P74" s="2">
        <f>--1395.93</f>
        <v>1395.93</v>
      </c>
      <c r="Q74" s="2"/>
      <c r="R74" s="19"/>
      <c r="S74" s="2"/>
      <c r="T74" s="2"/>
      <c r="U74" s="2"/>
      <c r="V74" s="19"/>
      <c r="W74" s="2"/>
      <c r="X74" s="2">
        <f t="shared" si="2"/>
        <v>1395.93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--2883.11</f>
        <v>2883.11</v>
      </c>
      <c r="E75" s="2"/>
      <c r="F75" s="19"/>
      <c r="G75" s="2"/>
      <c r="H75" s="2"/>
      <c r="I75" s="2"/>
      <c r="J75" s="19"/>
      <c r="K75" s="2"/>
      <c r="L75" s="2">
        <f t="shared" si="0"/>
        <v>2883.11</v>
      </c>
      <c r="M75" s="2"/>
      <c r="N75" s="19">
        <f t="shared" si="1"/>
        <v>0</v>
      </c>
      <c r="O75" s="11"/>
      <c r="P75" s="2">
        <f>--5919.61</f>
        <v>5919.61</v>
      </c>
      <c r="Q75" s="2"/>
      <c r="R75" s="19"/>
      <c r="S75" s="2"/>
      <c r="T75" s="2"/>
      <c r="U75" s="2"/>
      <c r="V75" s="19"/>
      <c r="W75" s="2"/>
      <c r="X75" s="2">
        <f t="shared" si="2"/>
        <v>5919.61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--71.85</f>
        <v>71.849999999999994</v>
      </c>
      <c r="E76" s="2"/>
      <c r="F76" s="19"/>
      <c r="G76" s="2"/>
      <c r="H76" s="2"/>
      <c r="I76" s="2"/>
      <c r="J76" s="19"/>
      <c r="K76" s="2"/>
      <c r="L76" s="2">
        <f t="shared" si="0"/>
        <v>71.849999999999994</v>
      </c>
      <c r="M76" s="2"/>
      <c r="N76" s="19">
        <f t="shared" si="1"/>
        <v>0</v>
      </c>
      <c r="O76" s="11"/>
      <c r="P76" s="2">
        <f>--211.61</f>
        <v>211.61</v>
      </c>
      <c r="Q76" s="2"/>
      <c r="R76" s="19"/>
      <c r="S76" s="2"/>
      <c r="T76" s="2"/>
      <c r="U76" s="2"/>
      <c r="V76" s="19"/>
      <c r="W76" s="2"/>
      <c r="X76" s="2">
        <f t="shared" si="2"/>
        <v>211.61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--90</f>
        <v>90</v>
      </c>
      <c r="Q77" s="2"/>
      <c r="R77" s="19"/>
      <c r="S77" s="2"/>
      <c r="T77" s="2"/>
      <c r="U77" s="2"/>
      <c r="V77" s="19"/>
      <c r="W77" s="2"/>
      <c r="X77" s="2">
        <f t="shared" si="2"/>
        <v>90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--40316.8</f>
        <v>40316.800000000003</v>
      </c>
      <c r="E78" s="2"/>
      <c r="F78" s="19"/>
      <c r="G78" s="2"/>
      <c r="H78" s="2"/>
      <c r="I78" s="2"/>
      <c r="J78" s="19"/>
      <c r="K78" s="2"/>
      <c r="L78" s="2">
        <f t="shared" si="0"/>
        <v>40316.800000000003</v>
      </c>
      <c r="M78" s="2"/>
      <c r="N78" s="19">
        <f t="shared" si="1"/>
        <v>0</v>
      </c>
      <c r="O78" s="11"/>
      <c r="P78" s="2">
        <f>--90410.3</f>
        <v>90410.3</v>
      </c>
      <c r="Q78" s="2"/>
      <c r="R78" s="19"/>
      <c r="S78" s="2"/>
      <c r="T78" s="2"/>
      <c r="U78" s="2"/>
      <c r="V78" s="19"/>
      <c r="W78" s="2"/>
      <c r="X78" s="2">
        <f t="shared" si="2"/>
        <v>90410.3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-240</f>
        <v>-240</v>
      </c>
      <c r="E79" s="2"/>
      <c r="F79" s="19"/>
      <c r="G79" s="2"/>
      <c r="H79" s="2"/>
      <c r="I79" s="2"/>
      <c r="J79" s="19"/>
      <c r="K79" s="2"/>
      <c r="L79" s="2">
        <f t="shared" si="0"/>
        <v>-240</v>
      </c>
      <c r="M79" s="2"/>
      <c r="N79" s="19">
        <f t="shared" si="1"/>
        <v>0</v>
      </c>
      <c r="O79" s="11"/>
      <c r="P79" s="2">
        <f>--174.9</f>
        <v>174.9</v>
      </c>
      <c r="Q79" s="2"/>
      <c r="R79" s="19"/>
      <c r="S79" s="2"/>
      <c r="T79" s="2"/>
      <c r="U79" s="2"/>
      <c r="V79" s="19"/>
      <c r="W79" s="2"/>
      <c r="X79" s="2">
        <f t="shared" si="2"/>
        <v>174.9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--2126163.38</f>
        <v>2126163.38</v>
      </c>
      <c r="E80" s="2"/>
      <c r="F80" s="19"/>
      <c r="G80" s="2"/>
      <c r="H80" s="2"/>
      <c r="I80" s="2"/>
      <c r="J80" s="19"/>
      <c r="K80" s="2"/>
      <c r="L80" s="2">
        <f t="shared" si="0"/>
        <v>2126163.38</v>
      </c>
      <c r="M80" s="2"/>
      <c r="N80" s="19">
        <f t="shared" si="1"/>
        <v>0</v>
      </c>
      <c r="O80" s="11"/>
      <c r="P80" s="2">
        <f>--4973952.84</f>
        <v>4973952.84</v>
      </c>
      <c r="Q80" s="2"/>
      <c r="R80" s="19"/>
      <c r="S80" s="2"/>
      <c r="T80" s="2"/>
      <c r="U80" s="2"/>
      <c r="V80" s="19"/>
      <c r="W80" s="2"/>
      <c r="X80" s="2">
        <f t="shared" si="2"/>
        <v>4973952.84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--9149.73</f>
        <v>9149.73</v>
      </c>
      <c r="E81" s="2"/>
      <c r="F81" s="19"/>
      <c r="G81" s="2"/>
      <c r="H81" s="2"/>
      <c r="I81" s="2"/>
      <c r="J81" s="19"/>
      <c r="K81" s="2"/>
      <c r="L81" s="2">
        <f t="shared" si="0"/>
        <v>9149.73</v>
      </c>
      <c r="M81" s="2"/>
      <c r="N81" s="19">
        <f t="shared" si="1"/>
        <v>0</v>
      </c>
      <c r="O81" s="11"/>
      <c r="P81" s="2">
        <f>--24938.79</f>
        <v>24938.79</v>
      </c>
      <c r="Q81" s="2"/>
      <c r="R81" s="19"/>
      <c r="S81" s="2"/>
      <c r="T81" s="2"/>
      <c r="U81" s="2"/>
      <c r="V81" s="19"/>
      <c r="W81" s="2"/>
      <c r="X81" s="2">
        <f t="shared" si="2"/>
        <v>24938.79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--33376.48</f>
        <v>33376.480000000003</v>
      </c>
      <c r="E82" s="2"/>
      <c r="F82" s="19"/>
      <c r="G82" s="2"/>
      <c r="H82" s="2"/>
      <c r="I82" s="2"/>
      <c r="J82" s="19"/>
      <c r="K82" s="2"/>
      <c r="L82" s="2">
        <f t="shared" si="0"/>
        <v>33376.480000000003</v>
      </c>
      <c r="M82" s="2"/>
      <c r="N82" s="19">
        <f t="shared" si="1"/>
        <v>0</v>
      </c>
      <c r="O82" s="11"/>
      <c r="P82" s="2">
        <f>--195068.56</f>
        <v>195068.56</v>
      </c>
      <c r="Q82" s="2"/>
      <c r="R82" s="19"/>
      <c r="S82" s="2"/>
      <c r="T82" s="2"/>
      <c r="U82" s="2"/>
      <c r="V82" s="19"/>
      <c r="W82" s="2"/>
      <c r="X82" s="2">
        <f t="shared" si="2"/>
        <v>195068.56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--150364.49</f>
        <v>150364.49</v>
      </c>
      <c r="E83" s="2"/>
      <c r="F83" s="19"/>
      <c r="G83" s="2"/>
      <c r="H83" s="2"/>
      <c r="I83" s="2"/>
      <c r="J83" s="19"/>
      <c r="K83" s="2"/>
      <c r="L83" s="2">
        <f t="shared" si="0"/>
        <v>150364.49</v>
      </c>
      <c r="M83" s="2"/>
      <c r="N83" s="19">
        <f t="shared" si="1"/>
        <v>0</v>
      </c>
      <c r="O83" s="11"/>
      <c r="P83" s="2">
        <f>--334390.14</f>
        <v>334390.14</v>
      </c>
      <c r="Q83" s="2"/>
      <c r="R83" s="19"/>
      <c r="S83" s="2"/>
      <c r="T83" s="2"/>
      <c r="U83" s="2"/>
      <c r="V83" s="19"/>
      <c r="W83" s="2"/>
      <c r="X83" s="2">
        <f t="shared" si="2"/>
        <v>334390.14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--95473.64</f>
        <v>95473.64</v>
      </c>
      <c r="E84" s="2"/>
      <c r="F84" s="19"/>
      <c r="G84" s="2"/>
      <c r="H84" s="2"/>
      <c r="I84" s="2"/>
      <c r="J84" s="19"/>
      <c r="K84" s="2"/>
      <c r="L84" s="2">
        <f t="shared" si="0"/>
        <v>95473.64</v>
      </c>
      <c r="M84" s="2"/>
      <c r="N84" s="19">
        <f t="shared" si="1"/>
        <v>0</v>
      </c>
      <c r="O84" s="11"/>
      <c r="P84" s="2">
        <f>--207720.27</f>
        <v>207720.27</v>
      </c>
      <c r="Q84" s="2"/>
      <c r="R84" s="19"/>
      <c r="S84" s="2"/>
      <c r="T84" s="2"/>
      <c r="U84" s="2"/>
      <c r="V84" s="19"/>
      <c r="W84" s="2"/>
      <c r="X84" s="2">
        <f t="shared" si="2"/>
        <v>207720.27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--7.99</f>
        <v>7.99</v>
      </c>
      <c r="E85" s="2"/>
      <c r="F85" s="19"/>
      <c r="G85" s="2"/>
      <c r="H85" s="2"/>
      <c r="I85" s="2"/>
      <c r="J85" s="19"/>
      <c r="K85" s="2"/>
      <c r="L85" s="2">
        <f t="shared" si="0"/>
        <v>7.99</v>
      </c>
      <c r="M85" s="2"/>
      <c r="N85" s="19">
        <f t="shared" si="1"/>
        <v>0</v>
      </c>
      <c r="O85" s="11"/>
      <c r="P85" s="2">
        <f>--1462.51</f>
        <v>1462.51</v>
      </c>
      <c r="Q85" s="2"/>
      <c r="R85" s="19"/>
      <c r="S85" s="2"/>
      <c r="T85" s="2"/>
      <c r="U85" s="2"/>
      <c r="V85" s="19"/>
      <c r="W85" s="2"/>
      <c r="X85" s="2">
        <f t="shared" si="2"/>
        <v>1462.51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--10758</f>
        <v>10758</v>
      </c>
      <c r="E86" s="2"/>
      <c r="F86" s="19"/>
      <c r="G86" s="2"/>
      <c r="H86" s="2"/>
      <c r="I86" s="2"/>
      <c r="J86" s="19"/>
      <c r="K86" s="2"/>
      <c r="L86" s="2">
        <f t="shared" si="0"/>
        <v>10758</v>
      </c>
      <c r="M86" s="2"/>
      <c r="N86" s="19">
        <f t="shared" si="1"/>
        <v>0</v>
      </c>
      <c r="O86" s="11"/>
      <c r="P86" s="2">
        <f>--56560</f>
        <v>56560</v>
      </c>
      <c r="Q86" s="2"/>
      <c r="R86" s="19"/>
      <c r="S86" s="2"/>
      <c r="T86" s="2"/>
      <c r="U86" s="2"/>
      <c r="V86" s="19"/>
      <c r="W86" s="2"/>
      <c r="X86" s="2">
        <f t="shared" si="2"/>
        <v>56560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--1033.81</f>
        <v>1033.81</v>
      </c>
      <c r="E87" s="2"/>
      <c r="F87" s="19"/>
      <c r="G87" s="2"/>
      <c r="H87" s="2"/>
      <c r="I87" s="2"/>
      <c r="J87" s="19"/>
      <c r="K87" s="2"/>
      <c r="L87" s="2">
        <f t="shared" si="0"/>
        <v>1033.81</v>
      </c>
      <c r="M87" s="2"/>
      <c r="N87" s="19">
        <f t="shared" si="1"/>
        <v>0</v>
      </c>
      <c r="O87" s="11"/>
      <c r="P87" s="2">
        <f>--3054.92</f>
        <v>3054.92</v>
      </c>
      <c r="Q87" s="2"/>
      <c r="R87" s="19"/>
      <c r="S87" s="2"/>
      <c r="T87" s="2"/>
      <c r="U87" s="2"/>
      <c r="V87" s="19"/>
      <c r="W87" s="2"/>
      <c r="X87" s="2">
        <f t="shared" si="2"/>
        <v>3054.92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--1522</f>
        <v>1522</v>
      </c>
      <c r="Q88" s="2"/>
      <c r="R88" s="19"/>
      <c r="S88" s="2"/>
      <c r="T88" s="2"/>
      <c r="U88" s="2"/>
      <c r="V88" s="19"/>
      <c r="W88" s="2"/>
      <c r="X88" s="2">
        <f t="shared" si="2"/>
        <v>1522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"4185", " - ", "NON-TAXABLE SALES-SOFTWARE")</f>
        <v xml:space="preserve">          4185 - NON-TAXABLE SALES-SOFTWARE</v>
      </c>
      <c r="C89" s="11"/>
      <c r="D89" s="2">
        <f>--1389.95</f>
        <v>1389.95</v>
      </c>
      <c r="E89" s="2"/>
      <c r="F89" s="19"/>
      <c r="G89" s="2"/>
      <c r="H89" s="2"/>
      <c r="I89" s="2"/>
      <c r="J89" s="19"/>
      <c r="K89" s="2"/>
      <c r="L89" s="2">
        <f t="shared" si="0"/>
        <v>1389.95</v>
      </c>
      <c r="M89" s="2"/>
      <c r="N89" s="19">
        <f t="shared" si="1"/>
        <v>0</v>
      </c>
      <c r="O89" s="11"/>
      <c r="P89" s="2">
        <f>--8467.89</f>
        <v>8467.89</v>
      </c>
      <c r="Q89" s="2"/>
      <c r="R89" s="19"/>
      <c r="S89" s="2"/>
      <c r="T89" s="2"/>
      <c r="U89" s="2"/>
      <c r="V89" s="19"/>
      <c r="W89" s="2"/>
      <c r="X89" s="2">
        <f t="shared" si="2"/>
        <v>8467.89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--796.63</f>
        <v>796.63</v>
      </c>
      <c r="E90" s="2"/>
      <c r="F90" s="19"/>
      <c r="G90" s="2"/>
      <c r="H90" s="2"/>
      <c r="I90" s="2"/>
      <c r="J90" s="19"/>
      <c r="K90" s="2"/>
      <c r="L90" s="2">
        <f t="shared" si="0"/>
        <v>796.63</v>
      </c>
      <c r="M90" s="2"/>
      <c r="N90" s="19">
        <f t="shared" si="1"/>
        <v>0</v>
      </c>
      <c r="O90" s="11"/>
      <c r="P90" s="2">
        <f>--1522.41</f>
        <v>1522.41</v>
      </c>
      <c r="Q90" s="2"/>
      <c r="R90" s="19"/>
      <c r="S90" s="2"/>
      <c r="T90" s="2"/>
      <c r="U90" s="2"/>
      <c r="V90" s="19"/>
      <c r="W90" s="2"/>
      <c r="X90" s="2">
        <f t="shared" si="2"/>
        <v>1522.41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--219.96</f>
        <v>219.96</v>
      </c>
      <c r="Q91" s="2"/>
      <c r="R91" s="19"/>
      <c r="S91" s="2"/>
      <c r="T91" s="2"/>
      <c r="U91" s="2"/>
      <c r="V91" s="19"/>
      <c r="W91" s="2"/>
      <c r="X91" s="2">
        <f t="shared" si="2"/>
        <v>219.96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-4543.92</f>
        <v>-4543.92</v>
      </c>
      <c r="E92" s="2"/>
      <c r="F92" s="19"/>
      <c r="G92" s="2"/>
      <c r="H92" s="2"/>
      <c r="I92" s="2"/>
      <c r="J92" s="19"/>
      <c r="K92" s="2"/>
      <c r="L92" s="2">
        <f t="shared" si="0"/>
        <v>-4543.92</v>
      </c>
      <c r="M92" s="2"/>
      <c r="N92" s="19">
        <f t="shared" si="1"/>
        <v>0</v>
      </c>
      <c r="O92" s="11"/>
      <c r="P92" s="2">
        <f>-77783.67</f>
        <v>-77783.67</v>
      </c>
      <c r="Q92" s="2"/>
      <c r="R92" s="19"/>
      <c r="S92" s="2"/>
      <c r="T92" s="2"/>
      <c r="U92" s="2"/>
      <c r="V92" s="19"/>
      <c r="W92" s="2"/>
      <c r="X92" s="2">
        <f t="shared" si="2"/>
        <v>-77783.67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-3577.9</f>
        <v>-3577.9</v>
      </c>
      <c r="E93" s="2"/>
      <c r="F93" s="19"/>
      <c r="G93" s="2"/>
      <c r="H93" s="2"/>
      <c r="I93" s="2"/>
      <c r="J93" s="19"/>
      <c r="K93" s="2"/>
      <c r="L93" s="2">
        <f t="shared" si="0"/>
        <v>-3577.9</v>
      </c>
      <c r="M93" s="2"/>
      <c r="N93" s="19">
        <f t="shared" si="1"/>
        <v>0</v>
      </c>
      <c r="O93" s="11"/>
      <c r="P93" s="2">
        <f>-26929</f>
        <v>-26929</v>
      </c>
      <c r="Q93" s="2"/>
      <c r="R93" s="19"/>
      <c r="S93" s="2"/>
      <c r="T93" s="2"/>
      <c r="U93" s="2"/>
      <c r="V93" s="19"/>
      <c r="W93" s="2"/>
      <c r="X93" s="2">
        <f t="shared" si="2"/>
        <v>-26929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"4203", " - ", "SALES RETURN TAXABLE-RENTAL TE")</f>
        <v xml:space="preserve">          4203 - SALES RETURN TAXABLE-RENTAL TE</v>
      </c>
      <c r="C94" s="11"/>
      <c r="D94" s="2">
        <f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-144.99</f>
        <v>-144.99</v>
      </c>
      <c r="Q94" s="2"/>
      <c r="R94" s="19"/>
      <c r="S94" s="2"/>
      <c r="T94" s="2"/>
      <c r="U94" s="2"/>
      <c r="V94" s="19"/>
      <c r="W94" s="2"/>
      <c r="X94" s="2">
        <f t="shared" si="2"/>
        <v>-144.99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"4204", " - ", "SALES RETURN TAXABLE-DIGITAL T")</f>
        <v xml:space="preserve">          4204 - SALES RETURN TAXABLE-DIGITAL T</v>
      </c>
      <c r="C95" s="11"/>
      <c r="D95" s="2">
        <f>-193.34</f>
        <v>-193.34</v>
      </c>
      <c r="E95" s="2"/>
      <c r="F95" s="19"/>
      <c r="G95" s="2"/>
      <c r="H95" s="2"/>
      <c r="I95" s="2"/>
      <c r="J95" s="19"/>
      <c r="K95" s="2"/>
      <c r="L95" s="2">
        <f t="shared" si="0"/>
        <v>-193.34</v>
      </c>
      <c r="M95" s="2"/>
      <c r="N95" s="19">
        <f t="shared" si="1"/>
        <v>0</v>
      </c>
      <c r="O95" s="11"/>
      <c r="P95" s="2">
        <f>-11250.06</f>
        <v>-11250.06</v>
      </c>
      <c r="Q95" s="2"/>
      <c r="R95" s="19"/>
      <c r="S95" s="2"/>
      <c r="T95" s="2"/>
      <c r="U95" s="2"/>
      <c r="V95" s="19"/>
      <c r="W95" s="2"/>
      <c r="X95" s="2">
        <f t="shared" si="2"/>
        <v>-11250.06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"4213", " - ", "NON-TAXABLE SALES-TRADE BOOKS")</f>
        <v xml:space="preserve">          4213 - NON-TAXABLE SALES-TRADE BOOKS</v>
      </c>
      <c r="C96" s="11"/>
      <c r="D96" s="2">
        <f>-35.37</f>
        <v>-35.369999999999997</v>
      </c>
      <c r="E96" s="2"/>
      <c r="F96" s="19"/>
      <c r="G96" s="2"/>
      <c r="H96" s="2"/>
      <c r="I96" s="2"/>
      <c r="J96" s="19"/>
      <c r="K96" s="2"/>
      <c r="L96" s="2">
        <f t="shared" si="0"/>
        <v>-35.369999999999997</v>
      </c>
      <c r="M96" s="2"/>
      <c r="N96" s="19">
        <f t="shared" si="1"/>
        <v>0</v>
      </c>
      <c r="O96" s="11"/>
      <c r="P96" s="2">
        <f>-35.37</f>
        <v>-35.369999999999997</v>
      </c>
      <c r="Q96" s="2"/>
      <c r="R96" s="19"/>
      <c r="S96" s="2"/>
      <c r="T96" s="2"/>
      <c r="U96" s="2"/>
      <c r="V96" s="19"/>
      <c r="W96" s="2"/>
      <c r="X96" s="2">
        <f t="shared" si="2"/>
        <v>-35.369999999999997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"4217", " - ", "NON-TAXABLE SALES-DORM/HOUSEWA")</f>
        <v xml:space="preserve">          4217 - NON-TAXABLE SALES-DORM/HOUSEWA</v>
      </c>
      <c r="C97" s="11"/>
      <c r="D97" s="2">
        <f>-2.98</f>
        <v>-2.98</v>
      </c>
      <c r="E97" s="2"/>
      <c r="F97" s="19"/>
      <c r="G97" s="2"/>
      <c r="H97" s="2"/>
      <c r="I97" s="2"/>
      <c r="J97" s="19"/>
      <c r="K97" s="2"/>
      <c r="L97" s="2">
        <f t="shared" si="0"/>
        <v>-2.98</v>
      </c>
      <c r="M97" s="2"/>
      <c r="N97" s="19">
        <f t="shared" si="1"/>
        <v>0</v>
      </c>
      <c r="O97" s="11"/>
      <c r="P97" s="2">
        <f>-2.98</f>
        <v>-2.98</v>
      </c>
      <c r="Q97" s="2"/>
      <c r="R97" s="19"/>
      <c r="S97" s="2"/>
      <c r="T97" s="2"/>
      <c r="U97" s="2"/>
      <c r="V97" s="19"/>
      <c r="W97" s="2"/>
      <c r="X97" s="2">
        <f t="shared" si="2"/>
        <v>-2.98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"4218", " - ", "SALES RETURN TAXABLE-STUDY GUI")</f>
        <v xml:space="preserve">          4218 - SALES RETURN TAXABLE-STUDY GUI</v>
      </c>
      <c r="C98" s="11"/>
      <c r="D98" s="2">
        <f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-32.75</f>
        <v>-32.75</v>
      </c>
      <c r="Q98" s="2"/>
      <c r="R98" s="19"/>
      <c r="S98" s="2"/>
      <c r="T98" s="2"/>
      <c r="U98" s="2"/>
      <c r="V98" s="19"/>
      <c r="W98" s="2"/>
      <c r="X98" s="2">
        <f t="shared" si="2"/>
        <v>-32.75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"4225", " - ", "SALES RETURN TAXABLE-TEST FORM")</f>
        <v xml:space="preserve">          4225 - SALES RETURN TAXABLE-TEST FORM</v>
      </c>
      <c r="C99" s="11"/>
      <c r="D99" s="2">
        <f>-8.45</f>
        <v>-8.4499999999999993</v>
      </c>
      <c r="E99" s="2"/>
      <c r="F99" s="19"/>
      <c r="G99" s="2"/>
      <c r="H99" s="2"/>
      <c r="I99" s="2"/>
      <c r="J99" s="19"/>
      <c r="K99" s="2"/>
      <c r="L99" s="2">
        <f t="shared" si="0"/>
        <v>-8.4499999999999993</v>
      </c>
      <c r="M99" s="2"/>
      <c r="N99" s="19">
        <f t="shared" si="1"/>
        <v>0</v>
      </c>
      <c r="O99" s="11"/>
      <c r="P99" s="2">
        <f>-41.55</f>
        <v>-41.55</v>
      </c>
      <c r="Q99" s="2"/>
      <c r="R99" s="19"/>
      <c r="S99" s="2"/>
      <c r="T99" s="2"/>
      <c r="U99" s="2"/>
      <c r="V99" s="19"/>
      <c r="W99" s="2"/>
      <c r="X99" s="2">
        <f t="shared" si="2"/>
        <v>-41.55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"4226", " - ", "SALES RETURN TAXABLE-WRITING I")</f>
        <v xml:space="preserve">          4226 - SALES RETURN TAXABLE-WRITING I</v>
      </c>
      <c r="C100" s="11"/>
      <c r="D100" s="2">
        <f>-166.9</f>
        <v>-166.9</v>
      </c>
      <c r="E100" s="2"/>
      <c r="F100" s="19"/>
      <c r="G100" s="2"/>
      <c r="H100" s="2"/>
      <c r="I100" s="2"/>
      <c r="J100" s="19"/>
      <c r="K100" s="2"/>
      <c r="L100" s="2">
        <f t="shared" si="0"/>
        <v>-166.9</v>
      </c>
      <c r="M100" s="2"/>
      <c r="N100" s="19">
        <f t="shared" si="1"/>
        <v>0</v>
      </c>
      <c r="O100" s="11"/>
      <c r="P100" s="2">
        <f>-475.97</f>
        <v>-475.97</v>
      </c>
      <c r="Q100" s="2"/>
      <c r="R100" s="19"/>
      <c r="S100" s="2"/>
      <c r="T100" s="2"/>
      <c r="U100" s="2"/>
      <c r="V100" s="19"/>
      <c r="W100" s="2"/>
      <c r="X100" s="2">
        <f t="shared" si="2"/>
        <v>-475.97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"4227", " - ", "SALES RETURN TAXABLE-SCHOOL SU")</f>
        <v xml:space="preserve">          4227 - SALES RETURN TAXABLE-SCHOOL SU</v>
      </c>
      <c r="C101" s="11"/>
      <c r="D101" s="2">
        <f>-324.85</f>
        <v>-324.85000000000002</v>
      </c>
      <c r="E101" s="2"/>
      <c r="F101" s="19"/>
      <c r="G101" s="2"/>
      <c r="H101" s="2"/>
      <c r="I101" s="2"/>
      <c r="J101" s="19"/>
      <c r="K101" s="2"/>
      <c r="L101" s="2">
        <f t="shared" si="0"/>
        <v>-324.85000000000002</v>
      </c>
      <c r="M101" s="2"/>
      <c r="N101" s="19">
        <f t="shared" si="1"/>
        <v>0</v>
      </c>
      <c r="O101" s="11"/>
      <c r="P101" s="2">
        <f>-4826.48</f>
        <v>-4826.4799999999996</v>
      </c>
      <c r="Q101" s="2"/>
      <c r="R101" s="19"/>
      <c r="S101" s="2"/>
      <c r="T101" s="2"/>
      <c r="U101" s="2"/>
      <c r="V101" s="19"/>
      <c r="W101" s="2"/>
      <c r="X101" s="2">
        <f t="shared" si="2"/>
        <v>-4826.4799999999996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"4228", " - ", "SALES RETURN TAXABLE-ART/TECH")</f>
        <v xml:space="preserve">          4228 - SALES RETURN TAXABLE-ART/TECH</v>
      </c>
      <c r="C102" s="11"/>
      <c r="D102" s="2">
        <f>-502.99</f>
        <v>-502.99</v>
      </c>
      <c r="E102" s="2"/>
      <c r="F102" s="19"/>
      <c r="G102" s="2"/>
      <c r="H102" s="2"/>
      <c r="I102" s="2"/>
      <c r="J102" s="19"/>
      <c r="K102" s="2"/>
      <c r="L102" s="2">
        <f t="shared" si="0"/>
        <v>-502.99</v>
      </c>
      <c r="M102" s="2"/>
      <c r="N102" s="19">
        <f t="shared" si="1"/>
        <v>0</v>
      </c>
      <c r="O102" s="11"/>
      <c r="P102" s="2">
        <f>-2430.26</f>
        <v>-2430.2600000000002</v>
      </c>
      <c r="Q102" s="2"/>
      <c r="R102" s="19"/>
      <c r="S102" s="2"/>
      <c r="T102" s="2"/>
      <c r="U102" s="2"/>
      <c r="V102" s="19"/>
      <c r="W102" s="2"/>
      <c r="X102" s="2">
        <f t="shared" si="2"/>
        <v>-2430.2600000000002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"4240", " - ", "SALES RETURN TAXABLE-LOGO CLOT")</f>
        <v xml:space="preserve">          4240 - SALES RETURN TAXABLE-LOGO CLOT</v>
      </c>
      <c r="C103" s="11"/>
      <c r="D103" s="2">
        <f>-9501.82</f>
        <v>-9501.82</v>
      </c>
      <c r="E103" s="2"/>
      <c r="F103" s="19"/>
      <c r="G103" s="2"/>
      <c r="H103" s="2"/>
      <c r="I103" s="2"/>
      <c r="J103" s="19"/>
      <c r="K103" s="2"/>
      <c r="L103" s="2">
        <f t="shared" si="0"/>
        <v>-9501.82</v>
      </c>
      <c r="M103" s="2"/>
      <c r="N103" s="19">
        <f t="shared" si="1"/>
        <v>0</v>
      </c>
      <c r="O103" s="11"/>
      <c r="P103" s="2">
        <f>-30294.8</f>
        <v>-30294.799999999999</v>
      </c>
      <c r="Q103" s="2"/>
      <c r="R103" s="19"/>
      <c r="S103" s="2"/>
      <c r="T103" s="2"/>
      <c r="U103" s="2"/>
      <c r="V103" s="19"/>
      <c r="W103" s="2"/>
      <c r="X103" s="2">
        <f t="shared" si="2"/>
        <v>-30294.799999999999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"4241", " - ", "SALES RETURN TAXABLE-LOGO GIFT")</f>
        <v xml:space="preserve">          4241 - SALES RETURN TAXABLE-LOGO GIFT</v>
      </c>
      <c r="C104" s="11"/>
      <c r="D104" s="2">
        <f>-327.07</f>
        <v>-327.07</v>
      </c>
      <c r="E104" s="2"/>
      <c r="F104" s="19"/>
      <c r="G104" s="2"/>
      <c r="H104" s="2"/>
      <c r="I104" s="2"/>
      <c r="J104" s="19"/>
      <c r="K104" s="2"/>
      <c r="L104" s="2">
        <f t="shared" si="0"/>
        <v>-327.07</v>
      </c>
      <c r="M104" s="2"/>
      <c r="N104" s="19">
        <f t="shared" si="1"/>
        <v>0</v>
      </c>
      <c r="O104" s="11"/>
      <c r="P104" s="2">
        <f>-2717.95</f>
        <v>-2717.95</v>
      </c>
      <c r="Q104" s="2"/>
      <c r="R104" s="19"/>
      <c r="S104" s="2"/>
      <c r="T104" s="2"/>
      <c r="U104" s="2"/>
      <c r="V104" s="19"/>
      <c r="W104" s="2"/>
      <c r="X104" s="2">
        <f t="shared" si="2"/>
        <v>-2717.95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"4242", " - ", "SALES RETURN TAXABLE-EVERYDAY")</f>
        <v xml:space="preserve">          4242 - SALES RETURN TAXABLE-EVERYDAY</v>
      </c>
      <c r="C105" s="11"/>
      <c r="D105" s="2">
        <f>-165.1</f>
        <v>-165.1</v>
      </c>
      <c r="E105" s="2"/>
      <c r="F105" s="19"/>
      <c r="G105" s="2"/>
      <c r="H105" s="2"/>
      <c r="I105" s="2"/>
      <c r="J105" s="19"/>
      <c r="K105" s="2"/>
      <c r="L105" s="2">
        <f t="shared" si="0"/>
        <v>-165.1</v>
      </c>
      <c r="M105" s="2"/>
      <c r="N105" s="19">
        <f t="shared" si="1"/>
        <v>0</v>
      </c>
      <c r="O105" s="11"/>
      <c r="P105" s="2">
        <f>-1159.57</f>
        <v>-1159.57</v>
      </c>
      <c r="Q105" s="2"/>
      <c r="R105" s="19"/>
      <c r="S105" s="2"/>
      <c r="T105" s="2"/>
      <c r="U105" s="2"/>
      <c r="V105" s="19"/>
      <c r="W105" s="2"/>
      <c r="X105" s="2">
        <f t="shared" si="2"/>
        <v>-1159.57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"4243", " - ", "SALES RETURN TAXABLE-CARDS")</f>
        <v xml:space="preserve">          4243 - SALES RETURN TAXABLE-CARDS</v>
      </c>
      <c r="C106" s="11"/>
      <c r="D106" s="2">
        <f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-4.5</f>
        <v>-4.5</v>
      </c>
      <c r="Q106" s="2"/>
      <c r="R106" s="19"/>
      <c r="S106" s="2"/>
      <c r="T106" s="2"/>
      <c r="U106" s="2"/>
      <c r="V106" s="19"/>
      <c r="W106" s="2"/>
      <c r="X106" s="2">
        <f t="shared" si="2"/>
        <v>-4.5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"4244", " - ", "SALES RETURN TAXABLE-ACCESSORI")</f>
        <v xml:space="preserve">          4244 - SALES RETURN TAXABLE-ACCESSORI</v>
      </c>
      <c r="C107" s="11"/>
      <c r="D107" s="2">
        <f>-177.85</f>
        <v>-177.85</v>
      </c>
      <c r="E107" s="2"/>
      <c r="F107" s="19"/>
      <c r="G107" s="2"/>
      <c r="H107" s="2"/>
      <c r="I107" s="2"/>
      <c r="J107" s="19"/>
      <c r="K107" s="2"/>
      <c r="L107" s="2">
        <f t="shared" si="0"/>
        <v>-177.85</v>
      </c>
      <c r="M107" s="2"/>
      <c r="N107" s="19">
        <f t="shared" si="1"/>
        <v>0</v>
      </c>
      <c r="O107" s="11"/>
      <c r="P107" s="2">
        <f>-1432.36</f>
        <v>-1432.36</v>
      </c>
      <c r="Q107" s="2"/>
      <c r="R107" s="19"/>
      <c r="S107" s="2"/>
      <c r="T107" s="2"/>
      <c r="U107" s="2"/>
      <c r="V107" s="19"/>
      <c r="W107" s="2"/>
      <c r="X107" s="2">
        <f t="shared" si="2"/>
        <v>-1432.36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"4245", " - ", "SALES RETURN TAXABLE-SPECIAL O")</f>
        <v xml:space="preserve">          4245 - SALES RETURN TAXABLE-SPECIAL O</v>
      </c>
      <c r="C108" s="11"/>
      <c r="D108" s="2">
        <f>0</f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-91.96</f>
        <v>-91.96</v>
      </c>
      <c r="Q108" s="2"/>
      <c r="R108" s="19"/>
      <c r="S108" s="2"/>
      <c r="T108" s="2"/>
      <c r="U108" s="2"/>
      <c r="V108" s="19"/>
      <c r="W108" s="2"/>
      <c r="X108" s="2">
        <f t="shared" si="2"/>
        <v>-91.96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"4281", " - ", "SALES RETURN TAXABLE-ELECTRONI")</f>
        <v xml:space="preserve">          4281 - SALES RETURN TAXABLE-ELECTRONI</v>
      </c>
      <c r="C109" s="11"/>
      <c r="D109" s="2">
        <f>-1301.67</f>
        <v>-1301.67</v>
      </c>
      <c r="E109" s="2"/>
      <c r="F109" s="19"/>
      <c r="G109" s="2"/>
      <c r="H109" s="2"/>
      <c r="I109" s="2"/>
      <c r="J109" s="19"/>
      <c r="K109" s="2"/>
      <c r="L109" s="2">
        <f t="shared" si="0"/>
        <v>-1301.67</v>
      </c>
      <c r="M109" s="2"/>
      <c r="N109" s="19">
        <f t="shared" si="1"/>
        <v>0</v>
      </c>
      <c r="O109" s="11"/>
      <c r="P109" s="2">
        <f>-4601.13</f>
        <v>-4601.13</v>
      </c>
      <c r="Q109" s="2"/>
      <c r="R109" s="19"/>
      <c r="S109" s="2"/>
      <c r="T109" s="2"/>
      <c r="U109" s="2"/>
      <c r="V109" s="19"/>
      <c r="W109" s="2"/>
      <c r="X109" s="2">
        <f t="shared" si="2"/>
        <v>-4601.13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"4282", " - ", "SALES RETURN TAXABLE-COMPUTER")</f>
        <v xml:space="preserve">          4282 - SALES RETURN TAXABLE-COMPUTER</v>
      </c>
      <c r="C110" s="11"/>
      <c r="D110" s="2">
        <f>-22491.01</f>
        <v>-22491.01</v>
      </c>
      <c r="E110" s="2"/>
      <c r="F110" s="19"/>
      <c r="G110" s="2"/>
      <c r="H110" s="2"/>
      <c r="I110" s="2"/>
      <c r="J110" s="19"/>
      <c r="K110" s="2"/>
      <c r="L110" s="2">
        <f t="shared" si="0"/>
        <v>-22491.01</v>
      </c>
      <c r="M110" s="2"/>
      <c r="N110" s="19">
        <f t="shared" si="1"/>
        <v>0</v>
      </c>
      <c r="O110" s="11"/>
      <c r="P110" s="2">
        <f>-170137.86</f>
        <v>-170137.86</v>
      </c>
      <c r="Q110" s="2"/>
      <c r="R110" s="19"/>
      <c r="S110" s="2"/>
      <c r="T110" s="2"/>
      <c r="U110" s="2"/>
      <c r="V110" s="19"/>
      <c r="W110" s="2"/>
      <c r="X110" s="2">
        <f t="shared" si="2"/>
        <v>-170137.86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"4283", " - ", "SALES RETURN TAXABLE-COMPUTER")</f>
        <v xml:space="preserve">          4283 - SALES RETURN TAXABLE-COMPUTER</v>
      </c>
      <c r="C111" s="11"/>
      <c r="D111" s="2">
        <f>-1247.85</f>
        <v>-1247.8499999999999</v>
      </c>
      <c r="E111" s="2"/>
      <c r="F111" s="19"/>
      <c r="G111" s="2"/>
      <c r="H111" s="2"/>
      <c r="I111" s="2"/>
      <c r="J111" s="19"/>
      <c r="K111" s="2"/>
      <c r="L111" s="2">
        <f t="shared" si="0"/>
        <v>-1247.8499999999999</v>
      </c>
      <c r="M111" s="2"/>
      <c r="N111" s="19">
        <f t="shared" si="1"/>
        <v>0</v>
      </c>
      <c r="O111" s="11"/>
      <c r="P111" s="2">
        <f>-2532.33</f>
        <v>-2532.33</v>
      </c>
      <c r="Q111" s="2"/>
      <c r="R111" s="19"/>
      <c r="S111" s="2"/>
      <c r="T111" s="2"/>
      <c r="U111" s="2"/>
      <c r="V111" s="19"/>
      <c r="W111" s="2"/>
      <c r="X111" s="2">
        <f t="shared" si="2"/>
        <v>-2532.33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"4284", " - ", "SALES RETURN TAXABLE-SOFTWARE")</f>
        <v xml:space="preserve">          4284 - SALES RETURN TAXABLE-SOFTWARE</v>
      </c>
      <c r="C112" s="11"/>
      <c r="D112" s="2">
        <f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-129</f>
        <v>-129</v>
      </c>
      <c r="Q112" s="2"/>
      <c r="R112" s="19"/>
      <c r="S112" s="2"/>
      <c r="T112" s="2"/>
      <c r="U112" s="2"/>
      <c r="V112" s="19"/>
      <c r="W112" s="2"/>
      <c r="X112" s="2">
        <f t="shared" si="2"/>
        <v>-129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"4285", " - ", "SALES RETURN TAXABLE-SOFTWARE")</f>
        <v xml:space="preserve">          4285 - SALES RETURN TAXABLE-SOFTWARE</v>
      </c>
      <c r="C113" s="11"/>
      <c r="D113" s="2">
        <f>-248.99</f>
        <v>-248.99</v>
      </c>
      <c r="E113" s="2"/>
      <c r="F113" s="19"/>
      <c r="G113" s="2"/>
      <c r="H113" s="2"/>
      <c r="I113" s="2"/>
      <c r="J113" s="19"/>
      <c r="K113" s="2"/>
      <c r="L113" s="2">
        <f t="shared" si="0"/>
        <v>-248.99</v>
      </c>
      <c r="M113" s="2"/>
      <c r="N113" s="19">
        <f t="shared" si="1"/>
        <v>0</v>
      </c>
      <c r="O113" s="11"/>
      <c r="P113" s="2">
        <f>-655.98</f>
        <v>-655.98</v>
      </c>
      <c r="Q113" s="2"/>
      <c r="R113" s="19"/>
      <c r="S113" s="2"/>
      <c r="T113" s="2"/>
      <c r="U113" s="2"/>
      <c r="V113" s="19"/>
      <c r="W113" s="2"/>
      <c r="X113" s="2">
        <f t="shared" si="2"/>
        <v>-655.98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"4286", " - ", "SALES RETURN TAXABLE-COMPUTER")</f>
        <v xml:space="preserve">          4286 - SALES RETURN TAXABLE-COMPUTER</v>
      </c>
      <c r="C114" s="11"/>
      <c r="D114" s="2">
        <f>-307.86</f>
        <v>-307.86</v>
      </c>
      <c r="E114" s="2"/>
      <c r="F114" s="19"/>
      <c r="G114" s="2"/>
      <c r="H114" s="2"/>
      <c r="I114" s="2"/>
      <c r="J114" s="19"/>
      <c r="K114" s="2"/>
      <c r="L114" s="2">
        <f t="shared" si="0"/>
        <v>-307.86</v>
      </c>
      <c r="M114" s="2"/>
      <c r="N114" s="19">
        <f t="shared" si="1"/>
        <v>0</v>
      </c>
      <c r="O114" s="11"/>
      <c r="P114" s="2">
        <f>-2451.6</f>
        <v>-2451.6</v>
      </c>
      <c r="Q114" s="2"/>
      <c r="R114" s="19"/>
      <c r="S114" s="2"/>
      <c r="T114" s="2"/>
      <c r="U114" s="2"/>
      <c r="V114" s="19"/>
      <c r="W114" s="2"/>
      <c r="X114" s="2">
        <f t="shared" si="2"/>
        <v>-2451.6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"4288", " - ", "TAXABLE SALES RETURN-MUSIC")</f>
        <v xml:space="preserve">          4288 - TAXABLE SALES RETURN-MUSIC</v>
      </c>
      <c r="C115" s="11"/>
      <c r="D115" s="2">
        <f>-3.99</f>
        <v>-3.99</v>
      </c>
      <c r="E115" s="2"/>
      <c r="F115" s="19"/>
      <c r="G115" s="2"/>
      <c r="H115" s="2"/>
      <c r="I115" s="2"/>
      <c r="J115" s="19"/>
      <c r="K115" s="2"/>
      <c r="L115" s="2">
        <f t="shared" si="0"/>
        <v>-3.99</v>
      </c>
      <c r="M115" s="2"/>
      <c r="N115" s="19">
        <f t="shared" si="1"/>
        <v>0</v>
      </c>
      <c r="O115" s="11"/>
      <c r="P115" s="2">
        <f>-3.99</f>
        <v>-3.99</v>
      </c>
      <c r="Q115" s="2"/>
      <c r="R115" s="19"/>
      <c r="S115" s="2"/>
      <c r="T115" s="2"/>
      <c r="U115" s="2"/>
      <c r="V115" s="19"/>
      <c r="W115" s="2"/>
      <c r="X115" s="2">
        <f t="shared" si="2"/>
        <v>-3.99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"4292", " - ", "SALES RETURN TAXABLE-GRAD MERC")</f>
        <v xml:space="preserve">          4292 - SALES RETURN TAXABLE-GRAD MERC</v>
      </c>
      <c r="C116" s="11"/>
      <c r="D116" s="2">
        <f>-39.95</f>
        <v>-39.950000000000003</v>
      </c>
      <c r="E116" s="2"/>
      <c r="F116" s="19"/>
      <c r="G116" s="2"/>
      <c r="H116" s="2"/>
      <c r="I116" s="2"/>
      <c r="J116" s="19"/>
      <c r="K116" s="2"/>
      <c r="L116" s="2">
        <f t="shared" si="0"/>
        <v>-39.950000000000003</v>
      </c>
      <c r="M116" s="2"/>
      <c r="N116" s="19">
        <f t="shared" si="1"/>
        <v>0</v>
      </c>
      <c r="O116" s="11"/>
      <c r="P116" s="2">
        <f>-409.1</f>
        <v>-409.1</v>
      </c>
      <c r="Q116" s="2"/>
      <c r="R116" s="19"/>
      <c r="S116" s="2"/>
      <c r="T116" s="2"/>
      <c r="U116" s="2"/>
      <c r="V116" s="19"/>
      <c r="W116" s="2"/>
      <c r="X116" s="2">
        <f t="shared" si="2"/>
        <v>-409.1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"4295", " - ", "SALES RETURN TAXABLE-CUSTOMER")</f>
        <v xml:space="preserve">          4295 - SALES RETURN TAXABLE-CUSTOMER</v>
      </c>
      <c r="C117" s="11"/>
      <c r="D117" s="2">
        <f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--0.99</f>
        <v>0.99</v>
      </c>
      <c r="Q117" s="2"/>
      <c r="R117" s="19"/>
      <c r="S117" s="2"/>
      <c r="T117" s="2"/>
      <c r="U117" s="2"/>
      <c r="V117" s="19"/>
      <c r="W117" s="2"/>
      <c r="X117" s="2">
        <f t="shared" si="2"/>
        <v>0.99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"4301", " - ", "SALES RETURN NON TAXABLE-NEW T")</f>
        <v xml:space="preserve">          4301 - SALES RETURN NON TAXABLE-NEW T</v>
      </c>
      <c r="C118" s="11"/>
      <c r="D118" s="2">
        <f>-5585.76</f>
        <v>-5585.76</v>
      </c>
      <c r="E118" s="2"/>
      <c r="F118" s="19"/>
      <c r="G118" s="2"/>
      <c r="H118" s="2"/>
      <c r="I118" s="2"/>
      <c r="J118" s="19"/>
      <c r="K118" s="2"/>
      <c r="L118" s="2">
        <f t="shared" si="0"/>
        <v>-5585.76</v>
      </c>
      <c r="M118" s="2"/>
      <c r="N118" s="19">
        <f t="shared" si="1"/>
        <v>0</v>
      </c>
      <c r="O118" s="11"/>
      <c r="P118" s="2">
        <f>-12310.98</f>
        <v>-12310.98</v>
      </c>
      <c r="Q118" s="2"/>
      <c r="R118" s="19"/>
      <c r="S118" s="2"/>
      <c r="T118" s="2"/>
      <c r="U118" s="2"/>
      <c r="V118" s="19"/>
      <c r="W118" s="2"/>
      <c r="X118" s="2">
        <f t="shared" si="2"/>
        <v>-12310.98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"4302", " - ", "SALES RETURN NON TAXABLE-TEXT")</f>
        <v xml:space="preserve">          4302 - SALES RETURN NON TAXABLE-TEXT</v>
      </c>
      <c r="C119" s="11"/>
      <c r="D119" s="2">
        <f>-35.1</f>
        <v>-35.1</v>
      </c>
      <c r="E119" s="2"/>
      <c r="F119" s="19"/>
      <c r="G119" s="2"/>
      <c r="H119" s="2"/>
      <c r="I119" s="2"/>
      <c r="J119" s="19"/>
      <c r="K119" s="2"/>
      <c r="L119" s="2">
        <f t="shared" si="0"/>
        <v>-35.1</v>
      </c>
      <c r="M119" s="2"/>
      <c r="N119" s="19">
        <f t="shared" si="1"/>
        <v>0</v>
      </c>
      <c r="O119" s="11"/>
      <c r="P119" s="2">
        <f>-683.8</f>
        <v>-683.8</v>
      </c>
      <c r="Q119" s="2"/>
      <c r="R119" s="19"/>
      <c r="S119" s="2"/>
      <c r="T119" s="2"/>
      <c r="U119" s="2"/>
      <c r="V119" s="19"/>
      <c r="W119" s="2"/>
      <c r="X119" s="2">
        <f t="shared" si="2"/>
        <v>-683.8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"4303", " - ", "SALES RETURN NON-TAXABLE-RENTA")</f>
        <v xml:space="preserve">          4303 - SALES RETURN NON-TAXABLE-RENTA</v>
      </c>
      <c r="C120" s="11"/>
      <c r="D120" s="2">
        <f>0</f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-184.99</f>
        <v>-184.99</v>
      </c>
      <c r="Q120" s="2"/>
      <c r="R120" s="19"/>
      <c r="S120" s="2"/>
      <c r="T120" s="2"/>
      <c r="U120" s="2"/>
      <c r="V120" s="19"/>
      <c r="W120" s="2"/>
      <c r="X120" s="2">
        <f t="shared" si="2"/>
        <v>-184.99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"4304", " - ", "SALES RETURN NON TAXABLE-DIGIT")</f>
        <v xml:space="preserve">          4304 - SALES RETURN NON TAXABLE-DIGIT</v>
      </c>
      <c r="C121" s="11"/>
      <c r="D121" s="2">
        <f>-617.98</f>
        <v>-617.98</v>
      </c>
      <c r="E121" s="2"/>
      <c r="F121" s="19"/>
      <c r="G121" s="2"/>
      <c r="H121" s="2"/>
      <c r="I121" s="2"/>
      <c r="J121" s="19"/>
      <c r="K121" s="2"/>
      <c r="L121" s="2">
        <f t="shared" si="0"/>
        <v>-617.98</v>
      </c>
      <c r="M121" s="2"/>
      <c r="N121" s="19">
        <f t="shared" si="1"/>
        <v>0</v>
      </c>
      <c r="O121" s="11"/>
      <c r="P121" s="2">
        <f>-13133.29</f>
        <v>-13133.29</v>
      </c>
      <c r="Q121" s="2"/>
      <c r="R121" s="19"/>
      <c r="S121" s="2"/>
      <c r="T121" s="2"/>
      <c r="U121" s="2"/>
      <c r="V121" s="19"/>
      <c r="W121" s="2"/>
      <c r="X121" s="2">
        <f t="shared" si="2"/>
        <v>-13133.29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"4311", " - ", "SALES RETURN NON TAXABLE-NO VA")</f>
        <v xml:space="preserve">          4311 - SALES RETURN NON TAXABLE-NO VA</v>
      </c>
      <c r="C122" s="11"/>
      <c r="D122" s="2">
        <f>-0.02</f>
        <v>-0.02</v>
      </c>
      <c r="E122" s="2"/>
      <c r="F122" s="19"/>
      <c r="G122" s="2"/>
      <c r="H122" s="2"/>
      <c r="I122" s="2"/>
      <c r="J122" s="19"/>
      <c r="K122" s="2"/>
      <c r="L122" s="2">
        <f t="shared" si="0"/>
        <v>-0.02</v>
      </c>
      <c r="M122" s="2"/>
      <c r="N122" s="19">
        <f t="shared" si="1"/>
        <v>0</v>
      </c>
      <c r="O122" s="11"/>
      <c r="P122" s="2">
        <f>-387.96</f>
        <v>-387.96</v>
      </c>
      <c r="Q122" s="2"/>
      <c r="R122" s="19"/>
      <c r="S122" s="2"/>
      <c r="T122" s="2"/>
      <c r="U122" s="2"/>
      <c r="V122" s="19"/>
      <c r="W122" s="2"/>
      <c r="X122" s="2">
        <f t="shared" si="2"/>
        <v>-387.96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"4327", " - ", "SALES RETURN NON TAXABLE-SCHOO")</f>
        <v xml:space="preserve">          4327 - SALES RETURN NON TAXABLE-SCHOO</v>
      </c>
      <c r="C123" s="11"/>
      <c r="D123" s="2">
        <f t="shared" ref="D123:D124" si="5">0</f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-21.87</f>
        <v>-21.87</v>
      </c>
      <c r="Q123" s="2"/>
      <c r="R123" s="19"/>
      <c r="S123" s="2"/>
      <c r="T123" s="2"/>
      <c r="U123" s="2"/>
      <c r="V123" s="19"/>
      <c r="W123" s="2"/>
      <c r="X123" s="2">
        <f t="shared" si="2"/>
        <v>-21.87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"4340", " - ", "SALES RETURN NON TAXABLE-LOGO")</f>
        <v xml:space="preserve">          4340 - SALES RETURN NON TAXABLE-LOGO</v>
      </c>
      <c r="C124" s="11"/>
      <c r="D124" s="2">
        <f t="shared" si="5"/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-293.45</f>
        <v>-293.45</v>
      </c>
      <c r="Q124" s="2"/>
      <c r="R124" s="19"/>
      <c r="S124" s="2"/>
      <c r="T124" s="2"/>
      <c r="U124" s="2"/>
      <c r="V124" s="19"/>
      <c r="W124" s="2"/>
      <c r="X124" s="2">
        <f t="shared" si="2"/>
        <v>-293.45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"4341", " - ", "SALES RETURN NON TAXABLE-LOGO")</f>
        <v xml:space="preserve">          4341 - SALES RETURN NON TAXABLE-LOGO</v>
      </c>
      <c r="C125" s="11"/>
      <c r="D125" s="2">
        <f>-6.95</f>
        <v>-6.95</v>
      </c>
      <c r="E125" s="2"/>
      <c r="F125" s="19"/>
      <c r="G125" s="2"/>
      <c r="H125" s="2"/>
      <c r="I125" s="2"/>
      <c r="J125" s="19"/>
      <c r="K125" s="2"/>
      <c r="L125" s="2">
        <f t="shared" si="0"/>
        <v>-6.95</v>
      </c>
      <c r="M125" s="2"/>
      <c r="N125" s="19">
        <f t="shared" si="1"/>
        <v>0</v>
      </c>
      <c r="O125" s="11"/>
      <c r="P125" s="2">
        <f>-10.9</f>
        <v>-10.9</v>
      </c>
      <c r="Q125" s="2"/>
      <c r="R125" s="19"/>
      <c r="S125" s="2"/>
      <c r="T125" s="2"/>
      <c r="U125" s="2"/>
      <c r="V125" s="19"/>
      <c r="W125" s="2"/>
      <c r="X125" s="2">
        <f t="shared" si="2"/>
        <v>-10.9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"4342", " - ", "SALES RETURN NON TAXABLE-EVERY")</f>
        <v xml:space="preserve">          4342 - SALES RETURN NON TAXABLE-EVERY</v>
      </c>
      <c r="C126" s="11"/>
      <c r="D126" s="2">
        <f>-92.85</f>
        <v>-92.85</v>
      </c>
      <c r="E126" s="2"/>
      <c r="F126" s="19"/>
      <c r="G126" s="2"/>
      <c r="H126" s="2"/>
      <c r="I126" s="2"/>
      <c r="J126" s="19"/>
      <c r="K126" s="2"/>
      <c r="L126" s="2">
        <f t="shared" si="0"/>
        <v>-92.85</v>
      </c>
      <c r="M126" s="2"/>
      <c r="N126" s="19">
        <f t="shared" si="1"/>
        <v>0</v>
      </c>
      <c r="O126" s="11"/>
      <c r="P126" s="2">
        <f>-102.85</f>
        <v>-102.85</v>
      </c>
      <c r="Q126" s="2"/>
      <c r="R126" s="19"/>
      <c r="S126" s="2"/>
      <c r="T126" s="2"/>
      <c r="U126" s="2"/>
      <c r="V126" s="19"/>
      <c r="W126" s="2"/>
      <c r="X126" s="2">
        <f t="shared" si="2"/>
        <v>-102.85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"4346", " - ", "SALES RETURN NON TAXABLE-COIN-")</f>
        <v xml:space="preserve">          4346 - SALES RETURN NON TAXABLE-COIN-</v>
      </c>
      <c r="C127" s="11"/>
      <c r="D127" s="2">
        <f t="shared" ref="D127:D128" si="6">0</f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-8.15</f>
        <v>-8.15</v>
      </c>
      <c r="Q127" s="2"/>
      <c r="R127" s="19"/>
      <c r="S127" s="2"/>
      <c r="T127" s="2"/>
      <c r="U127" s="2"/>
      <c r="V127" s="19"/>
      <c r="W127" s="2"/>
      <c r="X127" s="2">
        <f t="shared" si="2"/>
        <v>-8.15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"4381", " - ", "SALES RETURN NON TAXABLE-ELECT")</f>
        <v xml:space="preserve">          4381 - SALES RETURN NON TAXABLE-ELECT</v>
      </c>
      <c r="C128" s="11"/>
      <c r="D128" s="2">
        <f t="shared" si="6"/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-1279.84</f>
        <v>-1279.8399999999999</v>
      </c>
      <c r="Q128" s="2"/>
      <c r="R128" s="19"/>
      <c r="S128" s="2"/>
      <c r="T128" s="2"/>
      <c r="U128" s="2"/>
      <c r="V128" s="19"/>
      <c r="W128" s="2"/>
      <c r="X128" s="2">
        <f t="shared" si="2"/>
        <v>-1279.8399999999999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"4383", " - ", "SALES RETURN NON TAXABLE-COMPU")</f>
        <v xml:space="preserve">          4383 - SALES RETURN NON TAXABLE-COMPU</v>
      </c>
      <c r="C129" s="11"/>
      <c r="D129" s="2">
        <f>-24.99</f>
        <v>-24.99</v>
      </c>
      <c r="E129" s="2"/>
      <c r="F129" s="19"/>
      <c r="G129" s="2"/>
      <c r="H129" s="2"/>
      <c r="I129" s="2"/>
      <c r="J129" s="19"/>
      <c r="K129" s="2"/>
      <c r="L129" s="2">
        <f t="shared" si="0"/>
        <v>-24.99</v>
      </c>
      <c r="M129" s="2"/>
      <c r="N129" s="19">
        <f t="shared" si="1"/>
        <v>0</v>
      </c>
      <c r="O129" s="11"/>
      <c r="P129" s="2">
        <f>-49.98</f>
        <v>-49.98</v>
      </c>
      <c r="Q129" s="2"/>
      <c r="R129" s="19"/>
      <c r="S129" s="2"/>
      <c r="T129" s="2"/>
      <c r="U129" s="2"/>
      <c r="V129" s="19"/>
      <c r="W129" s="2"/>
      <c r="X129" s="2">
        <f t="shared" si="2"/>
        <v>-49.98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"4386", " - ", "SALES RETURN NON TAXABLE-COMPU")</f>
        <v xml:space="preserve">          4386 - SALES RETURN NON TAXABLE-COMPU</v>
      </c>
      <c r="C130" s="11"/>
      <c r="D130" s="2">
        <f>-34.98</f>
        <v>-34.979999999999997</v>
      </c>
      <c r="E130" s="2"/>
      <c r="F130" s="19"/>
      <c r="G130" s="2"/>
      <c r="H130" s="2"/>
      <c r="I130" s="2"/>
      <c r="J130" s="19"/>
      <c r="K130" s="2"/>
      <c r="L130" s="2">
        <f t="shared" si="0"/>
        <v>-34.979999999999997</v>
      </c>
      <c r="M130" s="2"/>
      <c r="N130" s="19">
        <f t="shared" si="1"/>
        <v>0</v>
      </c>
      <c r="O130" s="11"/>
      <c r="P130" s="2">
        <f>-54.97</f>
        <v>-54.97</v>
      </c>
      <c r="Q130" s="2"/>
      <c r="R130" s="19"/>
      <c r="S130" s="2"/>
      <c r="T130" s="2"/>
      <c r="U130" s="2"/>
      <c r="V130" s="19"/>
      <c r="W130" s="2"/>
      <c r="X130" s="2">
        <f t="shared" si="2"/>
        <v>-54.97</v>
      </c>
      <c r="Y130" s="2"/>
      <c r="Z130" s="19">
        <f t="shared" si="3"/>
        <v>0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collapsed="1" x14ac:dyDescent="0.25">
      <c r="A132" s="10"/>
      <c r="B132" s="29" t="s">
        <v>8</v>
      </c>
      <c r="C132" s="10"/>
      <c r="D132" s="4">
        <f>SUM(OSRRefD16x_0)</f>
        <v>1241006.0500000005</v>
      </c>
      <c r="E132" s="4"/>
      <c r="F132" s="12">
        <f t="shared" ref="F132:F190" si="7">IF(D$12=0,0,D132/D$12)</f>
        <v>0.33329661358970397</v>
      </c>
      <c r="G132" s="4"/>
      <c r="H132" s="4">
        <f>SUM(OSRRefH16x_0)</f>
        <v>1296440.6412800001</v>
      </c>
      <c r="I132" s="4"/>
      <c r="J132" s="12">
        <f t="shared" ref="J132:J190" si="8">IF(H$12=0,0,H132/H$12)</f>
        <v>0.33690649141141199</v>
      </c>
      <c r="K132" s="4"/>
      <c r="L132" s="4">
        <f t="shared" ref="L132:L190" si="9">+D132-H132</f>
        <v>-55434.591279999586</v>
      </c>
      <c r="M132" s="4"/>
      <c r="N132" s="12">
        <f t="shared" ref="N132:N190" si="10">IF(H132=0,0,L132/H132)</f>
        <v>-4.2759066257956842E-2</v>
      </c>
      <c r="O132" s="10"/>
      <c r="P132" s="4">
        <f>SUM(OSRRefP16x_0)</f>
        <v>6244288.5700000012</v>
      </c>
      <c r="Q132" s="4"/>
      <c r="R132" s="12">
        <f t="shared" ref="R132:R190" si="11">IF(P$12=0,0,P132/P$12)</f>
        <v>0.46400399095732803</v>
      </c>
      <c r="S132" s="4"/>
      <c r="T132" s="4">
        <f>SUM(OSRRefT16x_0)</f>
        <v>6255200.3084699996</v>
      </c>
      <c r="U132" s="4"/>
      <c r="V132" s="12">
        <f t="shared" ref="V132:V190" si="12">IF(T$12=0,0,T132/T$12)</f>
        <v>0.44604812559460238</v>
      </c>
      <c r="W132" s="4"/>
      <c r="X132" s="4">
        <f t="shared" ref="X132:X190" si="13">+P132-T132</f>
        <v>-10911.738469998352</v>
      </c>
      <c r="Y132" s="4"/>
      <c r="Z132" s="12">
        <f t="shared" ref="Z132:Z190" si="14">IF(T132=0,0,X132/T132)</f>
        <v>-1.7444267060837458E-3</v>
      </c>
    </row>
    <row r="133" spans="1:26" s="24" customFormat="1" hidden="1" outlineLevel="1" x14ac:dyDescent="0.25">
      <c r="A133" s="44"/>
      <c r="B133" s="11" t="str">
        <f>CONCATENATE("          ", "5000", " - ", "PURCHASES @ COST")</f>
        <v xml:space="preserve">          5000 - PURCHASES @ COST</v>
      </c>
      <c r="C133" s="11"/>
      <c r="D133" s="2"/>
      <c r="E133" s="2"/>
      <c r="F133" s="19">
        <f t="shared" si="7"/>
        <v>0</v>
      </c>
      <c r="G133" s="2"/>
      <c r="H133" s="2">
        <v>1296440.6412800001</v>
      </c>
      <c r="I133" s="2"/>
      <c r="J133" s="19">
        <f t="shared" si="8"/>
        <v>0.33690649141141199</v>
      </c>
      <c r="K133" s="2"/>
      <c r="L133" s="2">
        <f t="shared" si="9"/>
        <v>-1296440.6412800001</v>
      </c>
      <c r="M133" s="2"/>
      <c r="N133" s="19">
        <f t="shared" si="10"/>
        <v>-1</v>
      </c>
      <c r="O133" s="11"/>
      <c r="P133" s="2"/>
      <c r="Q133" s="2"/>
      <c r="R133" s="19">
        <f t="shared" si="11"/>
        <v>0</v>
      </c>
      <c r="S133" s="2"/>
      <c r="T133" s="2">
        <v>6255200.3084699996</v>
      </c>
      <c r="U133" s="2"/>
      <c r="V133" s="19">
        <f t="shared" si="12"/>
        <v>0.44604812559460238</v>
      </c>
      <c r="W133" s="2"/>
      <c r="X133" s="2">
        <f t="shared" si="13"/>
        <v>-6255200.3084699996</v>
      </c>
      <c r="Y133" s="2"/>
      <c r="Z133" s="19">
        <f t="shared" si="14"/>
        <v>-1</v>
      </c>
    </row>
    <row r="134" spans="1:26" s="24" customFormat="1" hidden="1" outlineLevel="1" x14ac:dyDescent="0.25">
      <c r="A134" s="44"/>
      <c r="B134" s="11" t="str">
        <f>CONCATENATE("          ", "5001", " - ", "PURCHASES @ COST-NEW TEXT")</f>
        <v xml:space="preserve">          5001 - PURCHASES @ COST-NEW TEXT</v>
      </c>
      <c r="C134" s="11"/>
      <c r="D134" s="2">
        <v>-175502.53</v>
      </c>
      <c r="E134" s="2"/>
      <c r="F134" s="19">
        <f t="shared" si="7"/>
        <v>-4.7134660564648656E-2</v>
      </c>
      <c r="G134" s="2"/>
      <c r="H134" s="2"/>
      <c r="I134" s="2"/>
      <c r="J134" s="19">
        <f t="shared" si="8"/>
        <v>0</v>
      </c>
      <c r="K134" s="2"/>
      <c r="L134" s="2">
        <f t="shared" si="9"/>
        <v>-175502.53</v>
      </c>
      <c r="M134" s="2"/>
      <c r="N134" s="19">
        <f t="shared" si="10"/>
        <v>0</v>
      </c>
      <c r="O134" s="11"/>
      <c r="P134" s="2">
        <v>1757148.42</v>
      </c>
      <c r="Q134" s="2"/>
      <c r="R134" s="19">
        <f t="shared" si="11"/>
        <v>0.13057114040204632</v>
      </c>
      <c r="S134" s="2"/>
      <c r="T134" s="2"/>
      <c r="U134" s="2"/>
      <c r="V134" s="19">
        <f t="shared" si="12"/>
        <v>0</v>
      </c>
      <c r="W134" s="2"/>
      <c r="X134" s="2">
        <f t="shared" si="13"/>
        <v>1757148.42</v>
      </c>
      <c r="Y134" s="2"/>
      <c r="Z134" s="19">
        <f t="shared" si="14"/>
        <v>0</v>
      </c>
    </row>
    <row r="135" spans="1:26" s="24" customFormat="1" hidden="1" outlineLevel="1" x14ac:dyDescent="0.25">
      <c r="A135" s="44"/>
      <c r="B135" s="11" t="str">
        <f>CONCATENATE("          ", "5002", " - ", "PURCHASES @ COST-USED TEXT")</f>
        <v xml:space="preserve">          5002 - PURCHASES @ COST-USED TEXT</v>
      </c>
      <c r="C135" s="11"/>
      <c r="D135" s="2">
        <v>14221.93</v>
      </c>
      <c r="E135" s="2"/>
      <c r="F135" s="19">
        <f t="shared" si="7"/>
        <v>3.8195793708739908E-3</v>
      </c>
      <c r="G135" s="2"/>
      <c r="H135" s="2"/>
      <c r="I135" s="2"/>
      <c r="J135" s="19">
        <f t="shared" si="8"/>
        <v>0</v>
      </c>
      <c r="K135" s="2"/>
      <c r="L135" s="2">
        <f t="shared" si="9"/>
        <v>14221.93</v>
      </c>
      <c r="M135" s="2"/>
      <c r="N135" s="19">
        <f t="shared" si="10"/>
        <v>0</v>
      </c>
      <c r="O135" s="11"/>
      <c r="P135" s="2">
        <v>368033.17</v>
      </c>
      <c r="Q135" s="2"/>
      <c r="R135" s="19">
        <f t="shared" si="11"/>
        <v>2.7348008947747388E-2</v>
      </c>
      <c r="S135" s="2"/>
      <c r="T135" s="2"/>
      <c r="U135" s="2"/>
      <c r="V135" s="19">
        <f t="shared" si="12"/>
        <v>0</v>
      </c>
      <c r="W135" s="2"/>
      <c r="X135" s="2">
        <f t="shared" si="13"/>
        <v>368033.17</v>
      </c>
      <c r="Y135" s="2"/>
      <c r="Z135" s="19">
        <f t="shared" si="14"/>
        <v>0</v>
      </c>
    </row>
    <row r="136" spans="1:26" s="24" customFormat="1" hidden="1" outlineLevel="1" x14ac:dyDescent="0.25">
      <c r="A136" s="44"/>
      <c r="B136" s="11" t="str">
        <f>CONCATENATE("          ", "5003", " - ", "PURCHASES @ COST-RENTAL TEXT")</f>
        <v xml:space="preserve">          5003 - PURCHASES @ COST-RENTAL TEXT</v>
      </c>
      <c r="C136" s="11"/>
      <c r="D136" s="2"/>
      <c r="E136" s="2"/>
      <c r="F136" s="19">
        <f t="shared" si="7"/>
        <v>0</v>
      </c>
      <c r="G136" s="2"/>
      <c r="H136" s="2"/>
      <c r="I136" s="2"/>
      <c r="J136" s="19">
        <f t="shared" si="8"/>
        <v>0</v>
      </c>
      <c r="K136" s="2"/>
      <c r="L136" s="2">
        <f t="shared" si="9"/>
        <v>0</v>
      </c>
      <c r="M136" s="2"/>
      <c r="N136" s="19">
        <f t="shared" si="10"/>
        <v>0</v>
      </c>
      <c r="O136" s="11"/>
      <c r="P136" s="2">
        <v>-78.400000000000006</v>
      </c>
      <c r="Q136" s="2"/>
      <c r="R136" s="19">
        <f t="shared" si="11"/>
        <v>-5.8257898371046158E-6</v>
      </c>
      <c r="S136" s="2"/>
      <c r="T136" s="2"/>
      <c r="U136" s="2"/>
      <c r="V136" s="19">
        <f t="shared" si="12"/>
        <v>0</v>
      </c>
      <c r="W136" s="2"/>
      <c r="X136" s="2">
        <f t="shared" si="13"/>
        <v>-78.400000000000006</v>
      </c>
      <c r="Y136" s="2"/>
      <c r="Z136" s="19">
        <f t="shared" si="14"/>
        <v>0</v>
      </c>
    </row>
    <row r="137" spans="1:26" s="24" customFormat="1" hidden="1" outlineLevel="1" x14ac:dyDescent="0.25">
      <c r="A137" s="44"/>
      <c r="B137" s="11" t="str">
        <f>CONCATENATE("          ", "5004", " - ", "PURCHASES @ COST-DIGITAL TEXT")</f>
        <v xml:space="preserve">          5004 - PURCHASES @ COST-DIGITAL TEXT</v>
      </c>
      <c r="C137" s="11"/>
      <c r="D137" s="2">
        <v>-30949.360000000001</v>
      </c>
      <c r="E137" s="2"/>
      <c r="F137" s="19">
        <f t="shared" si="7"/>
        <v>-8.3120601070144958E-3</v>
      </c>
      <c r="G137" s="2"/>
      <c r="H137" s="2"/>
      <c r="I137" s="2"/>
      <c r="J137" s="19">
        <f t="shared" si="8"/>
        <v>0</v>
      </c>
      <c r="K137" s="2"/>
      <c r="L137" s="2">
        <f t="shared" si="9"/>
        <v>-30949.360000000001</v>
      </c>
      <c r="M137" s="2"/>
      <c r="N137" s="19">
        <f t="shared" si="10"/>
        <v>0</v>
      </c>
      <c r="O137" s="11"/>
      <c r="P137" s="2">
        <v>322779.02999999997</v>
      </c>
      <c r="Q137" s="2"/>
      <c r="R137" s="19">
        <f t="shared" si="11"/>
        <v>2.3985239701587825E-2</v>
      </c>
      <c r="S137" s="2"/>
      <c r="T137" s="2"/>
      <c r="U137" s="2"/>
      <c r="V137" s="19">
        <f t="shared" si="12"/>
        <v>0</v>
      </c>
      <c r="W137" s="2"/>
      <c r="X137" s="2">
        <f t="shared" si="13"/>
        <v>322779.02999999997</v>
      </c>
      <c r="Y137" s="2"/>
      <c r="Z137" s="19">
        <f t="shared" si="14"/>
        <v>0</v>
      </c>
    </row>
    <row r="138" spans="1:26" s="24" customFormat="1" hidden="1" outlineLevel="1" x14ac:dyDescent="0.25">
      <c r="A138" s="44"/>
      <c r="B138" s="11" t="str">
        <f>CONCATENATE("          ", "5011", " - ", "PURCHASES @ COST-NO VALUE TEXT")</f>
        <v xml:space="preserve">          5011 - PURCHASES @ COST-NO VALUE TEXT</v>
      </c>
      <c r="C138" s="11"/>
      <c r="D138" s="2">
        <v>90</v>
      </c>
      <c r="E138" s="2"/>
      <c r="F138" s="19">
        <f t="shared" si="7"/>
        <v>2.4171272350423548E-5</v>
      </c>
      <c r="G138" s="2"/>
      <c r="H138" s="2"/>
      <c r="I138" s="2"/>
      <c r="J138" s="19">
        <f t="shared" si="8"/>
        <v>0</v>
      </c>
      <c r="K138" s="2"/>
      <c r="L138" s="2">
        <f t="shared" si="9"/>
        <v>90</v>
      </c>
      <c r="M138" s="2"/>
      <c r="N138" s="19">
        <f t="shared" si="10"/>
        <v>0</v>
      </c>
      <c r="O138" s="11"/>
      <c r="P138" s="2">
        <v>3675</v>
      </c>
      <c r="Q138" s="2"/>
      <c r="R138" s="19">
        <f t="shared" si="11"/>
        <v>2.7308389861427883E-4</v>
      </c>
      <c r="S138" s="2"/>
      <c r="T138" s="2"/>
      <c r="U138" s="2"/>
      <c r="V138" s="19">
        <f t="shared" si="12"/>
        <v>0</v>
      </c>
      <c r="W138" s="2"/>
      <c r="X138" s="2">
        <f t="shared" si="13"/>
        <v>3675</v>
      </c>
      <c r="Y138" s="2"/>
      <c r="Z138" s="19">
        <f t="shared" si="14"/>
        <v>0</v>
      </c>
    </row>
    <row r="139" spans="1:26" s="24" customFormat="1" hidden="1" outlineLevel="1" x14ac:dyDescent="0.25">
      <c r="A139" s="44"/>
      <c r="B139" s="11" t="str">
        <f>CONCATENATE("          ", "5013", " - ", "PURCHASES @ COST-TRADE BOOKS")</f>
        <v xml:space="preserve">          5013 - PURCHASES @ COST-TRADE BOOKS</v>
      </c>
      <c r="C139" s="11"/>
      <c r="D139" s="2">
        <v>212.56</v>
      </c>
      <c r="E139" s="2"/>
      <c r="F139" s="19">
        <f t="shared" si="7"/>
        <v>5.7087173897844771E-5</v>
      </c>
      <c r="G139" s="2"/>
      <c r="H139" s="2"/>
      <c r="I139" s="2"/>
      <c r="J139" s="19">
        <f t="shared" si="8"/>
        <v>0</v>
      </c>
      <c r="K139" s="2"/>
      <c r="L139" s="2">
        <f t="shared" si="9"/>
        <v>212.56</v>
      </c>
      <c r="M139" s="2"/>
      <c r="N139" s="19">
        <f t="shared" si="10"/>
        <v>0</v>
      </c>
      <c r="O139" s="11"/>
      <c r="P139" s="2">
        <v>687.35</v>
      </c>
      <c r="Q139" s="2"/>
      <c r="R139" s="19">
        <f t="shared" si="11"/>
        <v>5.1075977608850224E-5</v>
      </c>
      <c r="S139" s="2"/>
      <c r="T139" s="2"/>
      <c r="U139" s="2"/>
      <c r="V139" s="19">
        <f t="shared" si="12"/>
        <v>0</v>
      </c>
      <c r="W139" s="2"/>
      <c r="X139" s="2">
        <f t="shared" si="13"/>
        <v>687.35</v>
      </c>
      <c r="Y139" s="2"/>
      <c r="Z139" s="19">
        <f t="shared" si="14"/>
        <v>0</v>
      </c>
    </row>
    <row r="140" spans="1:26" s="24" customFormat="1" hidden="1" outlineLevel="1" x14ac:dyDescent="0.25">
      <c r="A140" s="44"/>
      <c r="B140" s="11" t="str">
        <f>CONCATENATE("          ", "5014", " - ", "PURCHASES @ COST-REMAINDERS")</f>
        <v xml:space="preserve">          5014 - PURCHASES @ COST-REMAINDERS</v>
      </c>
      <c r="C140" s="11"/>
      <c r="D140" s="2">
        <v>52</v>
      </c>
      <c r="E140" s="2"/>
      <c r="F140" s="19">
        <f t="shared" si="7"/>
        <v>1.3965624024689162E-5</v>
      </c>
      <c r="G140" s="2"/>
      <c r="H140" s="2"/>
      <c r="I140" s="2"/>
      <c r="J140" s="19">
        <f t="shared" si="8"/>
        <v>0</v>
      </c>
      <c r="K140" s="2"/>
      <c r="L140" s="2">
        <f t="shared" si="9"/>
        <v>52</v>
      </c>
      <c r="M140" s="2"/>
      <c r="N140" s="19">
        <f t="shared" si="10"/>
        <v>0</v>
      </c>
      <c r="O140" s="11"/>
      <c r="P140" s="2">
        <v>341.97</v>
      </c>
      <c r="Q140" s="2"/>
      <c r="R140" s="19">
        <f t="shared" si="11"/>
        <v>2.5411292737176857E-5</v>
      </c>
      <c r="S140" s="2"/>
      <c r="T140" s="2"/>
      <c r="U140" s="2"/>
      <c r="V140" s="19">
        <f t="shared" si="12"/>
        <v>0</v>
      </c>
      <c r="W140" s="2"/>
      <c r="X140" s="2">
        <f t="shared" si="13"/>
        <v>341.97</v>
      </c>
      <c r="Y140" s="2"/>
      <c r="Z140" s="19">
        <f t="shared" si="14"/>
        <v>0</v>
      </c>
    </row>
    <row r="141" spans="1:26" s="24" customFormat="1" hidden="1" outlineLevel="1" x14ac:dyDescent="0.25">
      <c r="A141" s="44"/>
      <c r="B141" s="11" t="str">
        <f>CONCATENATE("          ", "5017", " - ", "PURCHASES @ COST-DORM/HOUSEWAR")</f>
        <v xml:space="preserve">          5017 - PURCHASES @ COST-DORM/HOUSEWAR</v>
      </c>
      <c r="C141" s="11"/>
      <c r="D141" s="2"/>
      <c r="E141" s="2"/>
      <c r="F141" s="19">
        <f t="shared" si="7"/>
        <v>0</v>
      </c>
      <c r="G141" s="2"/>
      <c r="H141" s="2"/>
      <c r="I141" s="2"/>
      <c r="J141" s="19">
        <f t="shared" si="8"/>
        <v>0</v>
      </c>
      <c r="K141" s="2"/>
      <c r="L141" s="2">
        <f t="shared" si="9"/>
        <v>0</v>
      </c>
      <c r="M141" s="2"/>
      <c r="N141" s="19">
        <f t="shared" si="10"/>
        <v>0</v>
      </c>
      <c r="O141" s="11"/>
      <c r="P141" s="2">
        <v>0</v>
      </c>
      <c r="Q141" s="2"/>
      <c r="R141" s="19">
        <f t="shared" si="11"/>
        <v>0</v>
      </c>
      <c r="S141" s="2"/>
      <c r="T141" s="2"/>
      <c r="U141" s="2"/>
      <c r="V141" s="19">
        <f t="shared" si="12"/>
        <v>0</v>
      </c>
      <c r="W141" s="2"/>
      <c r="X141" s="2">
        <f t="shared" si="13"/>
        <v>0</v>
      </c>
      <c r="Y141" s="2"/>
      <c r="Z141" s="19">
        <f t="shared" si="14"/>
        <v>0</v>
      </c>
    </row>
    <row r="142" spans="1:26" s="24" customFormat="1" hidden="1" outlineLevel="1" x14ac:dyDescent="0.25">
      <c r="A142" s="44"/>
      <c r="B142" s="11" t="str">
        <f>CONCATENATE("          ", "5018", " - ", "PURCHASES @ COST-STUDY GUIDES")</f>
        <v xml:space="preserve">          5018 - PURCHASES @ COST-STUDY GUIDES</v>
      </c>
      <c r="C142" s="11"/>
      <c r="D142" s="2">
        <v>298.16000000000003</v>
      </c>
      <c r="E142" s="2"/>
      <c r="F142" s="19">
        <f t="shared" si="7"/>
        <v>8.0076739600025399E-5</v>
      </c>
      <c r="G142" s="2"/>
      <c r="H142" s="2"/>
      <c r="I142" s="2"/>
      <c r="J142" s="19">
        <f t="shared" si="8"/>
        <v>0</v>
      </c>
      <c r="K142" s="2"/>
      <c r="L142" s="2">
        <f t="shared" si="9"/>
        <v>298.16000000000003</v>
      </c>
      <c r="M142" s="2"/>
      <c r="N142" s="19">
        <f t="shared" si="10"/>
        <v>0</v>
      </c>
      <c r="O142" s="11"/>
      <c r="P142" s="2">
        <v>802.09</v>
      </c>
      <c r="Q142" s="2"/>
      <c r="R142" s="19">
        <f t="shared" si="11"/>
        <v>5.9602139929122972E-5</v>
      </c>
      <c r="S142" s="2"/>
      <c r="T142" s="2"/>
      <c r="U142" s="2"/>
      <c r="V142" s="19">
        <f t="shared" si="12"/>
        <v>0</v>
      </c>
      <c r="W142" s="2"/>
      <c r="X142" s="2">
        <f t="shared" si="13"/>
        <v>802.09</v>
      </c>
      <c r="Y142" s="2"/>
      <c r="Z142" s="19">
        <f t="shared" si="14"/>
        <v>0</v>
      </c>
    </row>
    <row r="143" spans="1:26" s="24" customFormat="1" hidden="1" outlineLevel="1" x14ac:dyDescent="0.25">
      <c r="A143" s="44"/>
      <c r="B143" s="11" t="str">
        <f>CONCATENATE("          ", "5025", " - ", "PURCHASES @ COST-TEST FORMS")</f>
        <v xml:space="preserve">          5025 - PURCHASES @ COST-TEST FORMS</v>
      </c>
      <c r="C143" s="11"/>
      <c r="D143" s="2">
        <v>0</v>
      </c>
      <c r="E143" s="2"/>
      <c r="F143" s="19">
        <f t="shared" si="7"/>
        <v>0</v>
      </c>
      <c r="G143" s="2"/>
      <c r="H143" s="2"/>
      <c r="I143" s="2"/>
      <c r="J143" s="19">
        <f t="shared" si="8"/>
        <v>0</v>
      </c>
      <c r="K143" s="2"/>
      <c r="L143" s="2">
        <f t="shared" si="9"/>
        <v>0</v>
      </c>
      <c r="M143" s="2"/>
      <c r="N143" s="19">
        <f t="shared" si="10"/>
        <v>0</v>
      </c>
      <c r="O143" s="11"/>
      <c r="P143" s="2">
        <v>3252.39</v>
      </c>
      <c r="Q143" s="2"/>
      <c r="R143" s="19">
        <f t="shared" si="11"/>
        <v>2.4168036490179439E-4</v>
      </c>
      <c r="S143" s="2"/>
      <c r="T143" s="2"/>
      <c r="U143" s="2"/>
      <c r="V143" s="19">
        <f t="shared" si="12"/>
        <v>0</v>
      </c>
      <c r="W143" s="2"/>
      <c r="X143" s="2">
        <f t="shared" si="13"/>
        <v>3252.39</v>
      </c>
      <c r="Y143" s="2"/>
      <c r="Z143" s="19">
        <f t="shared" si="14"/>
        <v>0</v>
      </c>
    </row>
    <row r="144" spans="1:26" s="24" customFormat="1" hidden="1" outlineLevel="1" x14ac:dyDescent="0.25">
      <c r="A144" s="44"/>
      <c r="B144" s="11" t="str">
        <f>CONCATENATE("          ", "5026", " - ", "PURCHASES @ COST-WRITING INSTR")</f>
        <v xml:space="preserve">          5026 - PURCHASES @ COST-WRITING INSTR</v>
      </c>
      <c r="C144" s="11"/>
      <c r="D144" s="2">
        <v>10530.19</v>
      </c>
      <c r="E144" s="2"/>
      <c r="F144" s="19">
        <f t="shared" si="7"/>
        <v>2.8280898932411839E-3</v>
      </c>
      <c r="G144" s="2"/>
      <c r="H144" s="2"/>
      <c r="I144" s="2"/>
      <c r="J144" s="19">
        <f t="shared" si="8"/>
        <v>0</v>
      </c>
      <c r="K144" s="2"/>
      <c r="L144" s="2">
        <f t="shared" si="9"/>
        <v>10530.19</v>
      </c>
      <c r="M144" s="2"/>
      <c r="N144" s="19">
        <f t="shared" si="10"/>
        <v>0</v>
      </c>
      <c r="O144" s="11"/>
      <c r="P144" s="2">
        <v>25317.57</v>
      </c>
      <c r="Q144" s="2"/>
      <c r="R144" s="19">
        <f t="shared" si="11"/>
        <v>1.881311760282968E-3</v>
      </c>
      <c r="S144" s="2"/>
      <c r="T144" s="2"/>
      <c r="U144" s="2"/>
      <c r="V144" s="19">
        <f t="shared" si="12"/>
        <v>0</v>
      </c>
      <c r="W144" s="2"/>
      <c r="X144" s="2">
        <f t="shared" si="13"/>
        <v>25317.57</v>
      </c>
      <c r="Y144" s="2"/>
      <c r="Z144" s="19">
        <f t="shared" si="14"/>
        <v>0</v>
      </c>
    </row>
    <row r="145" spans="1:26" s="24" customFormat="1" hidden="1" outlineLevel="1" x14ac:dyDescent="0.25">
      <c r="A145" s="44"/>
      <c r="B145" s="11" t="str">
        <f>CONCATENATE("          ", "5027", " - ", "PURCHASES @ COST-SCHOOL SUPPLI")</f>
        <v xml:space="preserve">          5027 - PURCHASES @ COST-SCHOOL SUPPLI</v>
      </c>
      <c r="C145" s="11"/>
      <c r="D145" s="2">
        <v>9839.7000000000007</v>
      </c>
      <c r="E145" s="2"/>
      <c r="F145" s="19">
        <f t="shared" si="7"/>
        <v>2.6426452060718066E-3</v>
      </c>
      <c r="G145" s="2"/>
      <c r="H145" s="2"/>
      <c r="I145" s="2"/>
      <c r="J145" s="19">
        <f t="shared" si="8"/>
        <v>0</v>
      </c>
      <c r="K145" s="2"/>
      <c r="L145" s="2">
        <f t="shared" si="9"/>
        <v>9839.7000000000007</v>
      </c>
      <c r="M145" s="2"/>
      <c r="N145" s="19">
        <f t="shared" si="10"/>
        <v>0</v>
      </c>
      <c r="O145" s="11"/>
      <c r="P145" s="2">
        <v>72022.38</v>
      </c>
      <c r="Q145" s="2"/>
      <c r="R145" s="19">
        <f t="shared" si="11"/>
        <v>5.3518781817358E-3</v>
      </c>
      <c r="S145" s="2"/>
      <c r="T145" s="2"/>
      <c r="U145" s="2"/>
      <c r="V145" s="19">
        <f t="shared" si="12"/>
        <v>0</v>
      </c>
      <c r="W145" s="2"/>
      <c r="X145" s="2">
        <f t="shared" si="13"/>
        <v>72022.38</v>
      </c>
      <c r="Y145" s="2"/>
      <c r="Z145" s="19">
        <f t="shared" si="14"/>
        <v>0</v>
      </c>
    </row>
    <row r="146" spans="1:26" s="24" customFormat="1" hidden="1" outlineLevel="1" x14ac:dyDescent="0.25">
      <c r="A146" s="44"/>
      <c r="B146" s="11" t="str">
        <f>CONCATENATE("          ", "5028", " - ", "PURCHASES @ COST-ART/TECH")</f>
        <v xml:space="preserve">          5028 - PURCHASES @ COST-ART/TECH</v>
      </c>
      <c r="C146" s="11"/>
      <c r="D146" s="2">
        <v>19494.289999999997</v>
      </c>
      <c r="E146" s="2"/>
      <c r="F146" s="19">
        <f t="shared" si="7"/>
        <v>5.2355754763126466E-3</v>
      </c>
      <c r="G146" s="2"/>
      <c r="H146" s="2"/>
      <c r="I146" s="2"/>
      <c r="J146" s="19">
        <f t="shared" si="8"/>
        <v>0</v>
      </c>
      <c r="K146" s="2"/>
      <c r="L146" s="2">
        <f t="shared" si="9"/>
        <v>19494.289999999997</v>
      </c>
      <c r="M146" s="2"/>
      <c r="N146" s="19">
        <f t="shared" si="10"/>
        <v>0</v>
      </c>
      <c r="O146" s="11"/>
      <c r="P146" s="2">
        <v>90339.069999999992</v>
      </c>
      <c r="Q146" s="2"/>
      <c r="R146" s="19">
        <f t="shared" si="11"/>
        <v>6.7129647436158469E-3</v>
      </c>
      <c r="S146" s="2"/>
      <c r="T146" s="2"/>
      <c r="U146" s="2"/>
      <c r="V146" s="19">
        <f t="shared" si="12"/>
        <v>0</v>
      </c>
      <c r="W146" s="2"/>
      <c r="X146" s="2">
        <f t="shared" si="13"/>
        <v>90339.069999999992</v>
      </c>
      <c r="Y146" s="2"/>
      <c r="Z146" s="19">
        <f t="shared" si="14"/>
        <v>0</v>
      </c>
    </row>
    <row r="147" spans="1:26" s="24" customFormat="1" hidden="1" outlineLevel="1" x14ac:dyDescent="0.25">
      <c r="A147" s="44"/>
      <c r="B147" s="11" t="str">
        <f>CONCATENATE("          ", "5031", " - ", "PURCHASES @ COST-FOOD")</f>
        <v xml:space="preserve">          5031 - PURCHASES @ COST-FOOD</v>
      </c>
      <c r="C147" s="11"/>
      <c r="D147" s="2">
        <v>7839.04</v>
      </c>
      <c r="E147" s="2"/>
      <c r="F147" s="19">
        <f t="shared" si="7"/>
        <v>2.1053285645096023E-3</v>
      </c>
      <c r="G147" s="2"/>
      <c r="H147" s="2"/>
      <c r="I147" s="2"/>
      <c r="J147" s="19">
        <f t="shared" si="8"/>
        <v>0</v>
      </c>
      <c r="K147" s="2"/>
      <c r="L147" s="2">
        <f t="shared" si="9"/>
        <v>7839.04</v>
      </c>
      <c r="M147" s="2"/>
      <c r="N147" s="19">
        <f t="shared" si="10"/>
        <v>0</v>
      </c>
      <c r="O147" s="11"/>
      <c r="P147" s="2">
        <v>15989.089999999998</v>
      </c>
      <c r="Q147" s="2"/>
      <c r="R147" s="19">
        <f t="shared" si="11"/>
        <v>1.1881259952366203E-3</v>
      </c>
      <c r="S147" s="2"/>
      <c r="T147" s="2"/>
      <c r="U147" s="2"/>
      <c r="V147" s="19">
        <f t="shared" si="12"/>
        <v>0</v>
      </c>
      <c r="W147" s="2"/>
      <c r="X147" s="2">
        <f t="shared" si="13"/>
        <v>15989.089999999998</v>
      </c>
      <c r="Y147" s="2"/>
      <c r="Z147" s="19">
        <f t="shared" si="14"/>
        <v>0</v>
      </c>
    </row>
    <row r="148" spans="1:26" s="24" customFormat="1" hidden="1" outlineLevel="1" x14ac:dyDescent="0.25">
      <c r="A148" s="44"/>
      <c r="B148" s="11" t="str">
        <f>CONCATENATE("          ", "5032", " - ", "PURCHASES @ COST-JUICE")</f>
        <v xml:space="preserve">          5032 - PURCHASES @ COST-JUICE</v>
      </c>
      <c r="C148" s="11"/>
      <c r="D148" s="2">
        <v>2565.13</v>
      </c>
      <c r="E148" s="2"/>
      <c r="F148" s="19">
        <f t="shared" si="7"/>
        <v>6.8891617604713285E-4</v>
      </c>
      <c r="G148" s="2"/>
      <c r="H148" s="2"/>
      <c r="I148" s="2"/>
      <c r="J148" s="19">
        <f t="shared" si="8"/>
        <v>0</v>
      </c>
      <c r="K148" s="2"/>
      <c r="L148" s="2">
        <f t="shared" si="9"/>
        <v>2565.13</v>
      </c>
      <c r="M148" s="2"/>
      <c r="N148" s="19">
        <f t="shared" si="10"/>
        <v>0</v>
      </c>
      <c r="O148" s="11"/>
      <c r="P148" s="2">
        <v>3384.28</v>
      </c>
      <c r="Q148" s="2"/>
      <c r="R148" s="19">
        <f t="shared" si="11"/>
        <v>2.5148091874893381E-4</v>
      </c>
      <c r="S148" s="2"/>
      <c r="T148" s="2"/>
      <c r="U148" s="2"/>
      <c r="V148" s="19">
        <f t="shared" si="12"/>
        <v>0</v>
      </c>
      <c r="W148" s="2"/>
      <c r="X148" s="2">
        <f t="shared" si="13"/>
        <v>3384.28</v>
      </c>
      <c r="Y148" s="2"/>
      <c r="Z148" s="19">
        <f t="shared" si="14"/>
        <v>0</v>
      </c>
    </row>
    <row r="149" spans="1:26" s="24" customFormat="1" hidden="1" outlineLevel="1" x14ac:dyDescent="0.25">
      <c r="A149" s="44"/>
      <c r="B149" s="11" t="str">
        <f>CONCATENATE("          ", "5033", " - ", "PURCHASES @ COST-CANDY")</f>
        <v xml:space="preserve">          5033 - PURCHASES @ COST-CANDY</v>
      </c>
      <c r="C149" s="11"/>
      <c r="D149" s="2">
        <v>2102.09</v>
      </c>
      <c r="E149" s="2"/>
      <c r="F149" s="19">
        <f t="shared" si="7"/>
        <v>5.6455766550113156E-4</v>
      </c>
      <c r="G149" s="2"/>
      <c r="H149" s="2"/>
      <c r="I149" s="2"/>
      <c r="J149" s="19">
        <f t="shared" si="8"/>
        <v>0</v>
      </c>
      <c r="K149" s="2"/>
      <c r="L149" s="2">
        <f t="shared" si="9"/>
        <v>2102.09</v>
      </c>
      <c r="M149" s="2"/>
      <c r="N149" s="19">
        <f t="shared" si="10"/>
        <v>0</v>
      </c>
      <c r="O149" s="11"/>
      <c r="P149" s="2">
        <v>4455.2</v>
      </c>
      <c r="Q149" s="2"/>
      <c r="R149" s="19">
        <f t="shared" si="11"/>
        <v>3.3105942451873064E-4</v>
      </c>
      <c r="S149" s="2"/>
      <c r="T149" s="2"/>
      <c r="U149" s="2"/>
      <c r="V149" s="19">
        <f t="shared" si="12"/>
        <v>0</v>
      </c>
      <c r="W149" s="2"/>
      <c r="X149" s="2">
        <f t="shared" si="13"/>
        <v>4455.2</v>
      </c>
      <c r="Y149" s="2"/>
      <c r="Z149" s="19">
        <f t="shared" si="14"/>
        <v>0</v>
      </c>
    </row>
    <row r="150" spans="1:26" s="24" customFormat="1" hidden="1" outlineLevel="1" x14ac:dyDescent="0.25">
      <c r="A150" s="44"/>
      <c r="B150" s="11" t="str">
        <f>CONCATENATE("          ", "5034", " - ", "PURCHASES @ COST-SODA")</f>
        <v xml:space="preserve">          5034 - PURCHASES @ COST-SODA</v>
      </c>
      <c r="C150" s="11"/>
      <c r="D150" s="2">
        <v>876</v>
      </c>
      <c r="E150" s="2"/>
      <c r="F150" s="19">
        <f t="shared" si="7"/>
        <v>2.3526705087745586E-4</v>
      </c>
      <c r="G150" s="2"/>
      <c r="H150" s="2"/>
      <c r="I150" s="2"/>
      <c r="J150" s="19">
        <f t="shared" si="8"/>
        <v>0</v>
      </c>
      <c r="K150" s="2"/>
      <c r="L150" s="2">
        <f t="shared" si="9"/>
        <v>876</v>
      </c>
      <c r="M150" s="2"/>
      <c r="N150" s="19">
        <f t="shared" si="10"/>
        <v>0</v>
      </c>
      <c r="O150" s="11"/>
      <c r="P150" s="2">
        <v>1494.54</v>
      </c>
      <c r="Q150" s="2"/>
      <c r="R150" s="19">
        <f t="shared" si="11"/>
        <v>1.1105709111156036E-4</v>
      </c>
      <c r="S150" s="2"/>
      <c r="T150" s="2"/>
      <c r="U150" s="2"/>
      <c r="V150" s="19">
        <f t="shared" si="12"/>
        <v>0</v>
      </c>
      <c r="W150" s="2"/>
      <c r="X150" s="2">
        <f t="shared" si="13"/>
        <v>1494.54</v>
      </c>
      <c r="Y150" s="2"/>
      <c r="Z150" s="19">
        <f t="shared" si="14"/>
        <v>0</v>
      </c>
    </row>
    <row r="151" spans="1:26" s="24" customFormat="1" hidden="1" outlineLevel="1" x14ac:dyDescent="0.25">
      <c r="A151" s="44"/>
      <c r="B151" s="11" t="str">
        <f>CONCATENATE("          ", "5035", " - ", "PURCHASES @ COST-HEALTH &amp; BEAU")</f>
        <v xml:space="preserve">          5035 - PURCHASES @ COST-HEALTH &amp; BEAU</v>
      </c>
      <c r="C151" s="11"/>
      <c r="D151" s="2">
        <v>291.13</v>
      </c>
      <c r="E151" s="2"/>
      <c r="F151" s="19">
        <f t="shared" si="7"/>
        <v>7.8188694659764529E-5</v>
      </c>
      <c r="G151" s="2"/>
      <c r="H151" s="2"/>
      <c r="I151" s="2"/>
      <c r="J151" s="19">
        <f t="shared" si="8"/>
        <v>0</v>
      </c>
      <c r="K151" s="2"/>
      <c r="L151" s="2">
        <f t="shared" si="9"/>
        <v>291.13</v>
      </c>
      <c r="M151" s="2"/>
      <c r="N151" s="19">
        <f t="shared" si="10"/>
        <v>0</v>
      </c>
      <c r="O151" s="11"/>
      <c r="P151" s="2">
        <v>578.69000000000005</v>
      </c>
      <c r="Q151" s="2"/>
      <c r="R151" s="19">
        <f t="shared" si="11"/>
        <v>4.3001611235128447E-5</v>
      </c>
      <c r="S151" s="2"/>
      <c r="T151" s="2"/>
      <c r="U151" s="2"/>
      <c r="V151" s="19">
        <f t="shared" si="12"/>
        <v>0</v>
      </c>
      <c r="W151" s="2"/>
      <c r="X151" s="2">
        <f t="shared" si="13"/>
        <v>578.69000000000005</v>
      </c>
      <c r="Y151" s="2"/>
      <c r="Z151" s="19">
        <f t="shared" si="14"/>
        <v>0</v>
      </c>
    </row>
    <row r="152" spans="1:26" s="24" customFormat="1" hidden="1" outlineLevel="1" x14ac:dyDescent="0.25">
      <c r="A152" s="44"/>
      <c r="B152" s="11" t="str">
        <f>CONCATENATE("          ", "5037", " - ", "PURCHASES @ COST-WATER")</f>
        <v xml:space="preserve">          5037 - PURCHASES @ COST-WATER</v>
      </c>
      <c r="C152" s="11"/>
      <c r="D152" s="2">
        <v>1463.27</v>
      </c>
      <c r="E152" s="2"/>
      <c r="F152" s="19">
        <f t="shared" si="7"/>
        <v>3.9298997435782516E-4</v>
      </c>
      <c r="G152" s="2"/>
      <c r="H152" s="2"/>
      <c r="I152" s="2"/>
      <c r="J152" s="19">
        <f t="shared" si="8"/>
        <v>0</v>
      </c>
      <c r="K152" s="2"/>
      <c r="L152" s="2">
        <f t="shared" si="9"/>
        <v>1463.27</v>
      </c>
      <c r="M152" s="2"/>
      <c r="N152" s="19">
        <f t="shared" si="10"/>
        <v>0</v>
      </c>
      <c r="O152" s="11"/>
      <c r="P152" s="2">
        <v>2855.85</v>
      </c>
      <c r="Q152" s="2"/>
      <c r="R152" s="19">
        <f t="shared" si="11"/>
        <v>2.1221405492723489E-4</v>
      </c>
      <c r="S152" s="2"/>
      <c r="T152" s="2"/>
      <c r="U152" s="2"/>
      <c r="V152" s="19">
        <f t="shared" si="12"/>
        <v>0</v>
      </c>
      <c r="W152" s="2"/>
      <c r="X152" s="2">
        <f t="shared" si="13"/>
        <v>2855.85</v>
      </c>
      <c r="Y152" s="2"/>
      <c r="Z152" s="19">
        <f t="shared" si="14"/>
        <v>0</v>
      </c>
    </row>
    <row r="153" spans="1:26" s="24" customFormat="1" hidden="1" outlineLevel="1" x14ac:dyDescent="0.25">
      <c r="A153" s="44"/>
      <c r="B153" s="11" t="str">
        <f>CONCATENATE("          ", "5040", " - ", "PURCHASES @ COST-LOGO CLOTHING")</f>
        <v xml:space="preserve">          5040 - PURCHASES @ COST-LOGO CLOTHING</v>
      </c>
      <c r="C153" s="11"/>
      <c r="D153" s="2">
        <v>176749.05</v>
      </c>
      <c r="E153" s="2"/>
      <c r="F153" s="19">
        <f t="shared" si="7"/>
        <v>4.7469438058095878E-2</v>
      </c>
      <c r="G153" s="2"/>
      <c r="H153" s="2"/>
      <c r="I153" s="2"/>
      <c r="J153" s="19">
        <f t="shared" si="8"/>
        <v>0</v>
      </c>
      <c r="K153" s="2"/>
      <c r="L153" s="2">
        <f t="shared" si="9"/>
        <v>176749.05</v>
      </c>
      <c r="M153" s="2"/>
      <c r="N153" s="19">
        <f t="shared" si="10"/>
        <v>0</v>
      </c>
      <c r="O153" s="11"/>
      <c r="P153" s="2">
        <v>512600.91000000003</v>
      </c>
      <c r="Q153" s="2"/>
      <c r="R153" s="19">
        <f t="shared" si="11"/>
        <v>3.8090627193476757E-2</v>
      </c>
      <c r="S153" s="2"/>
      <c r="T153" s="2"/>
      <c r="U153" s="2"/>
      <c r="V153" s="19">
        <f t="shared" si="12"/>
        <v>0</v>
      </c>
      <c r="W153" s="2"/>
      <c r="X153" s="2">
        <f t="shared" si="13"/>
        <v>512600.91000000003</v>
      </c>
      <c r="Y153" s="2"/>
      <c r="Z153" s="19">
        <f t="shared" si="14"/>
        <v>0</v>
      </c>
    </row>
    <row r="154" spans="1:26" s="24" customFormat="1" hidden="1" outlineLevel="1" x14ac:dyDescent="0.25">
      <c r="A154" s="44"/>
      <c r="B154" s="11" t="str">
        <f>CONCATENATE("          ", "5041", " - ", "PURCHASES @ COST-LOGO GIFTS")</f>
        <v xml:space="preserve">          5041 - PURCHASES @ COST-LOGO GIFTS</v>
      </c>
      <c r="C154" s="11"/>
      <c r="D154" s="2">
        <v>27759.98</v>
      </c>
      <c r="E154" s="2"/>
      <c r="F154" s="19">
        <f t="shared" si="7"/>
        <v>7.4554893002478969E-3</v>
      </c>
      <c r="G154" s="2"/>
      <c r="H154" s="2"/>
      <c r="I154" s="2"/>
      <c r="J154" s="19">
        <f t="shared" si="8"/>
        <v>0</v>
      </c>
      <c r="K154" s="2"/>
      <c r="L154" s="2">
        <f t="shared" si="9"/>
        <v>27759.98</v>
      </c>
      <c r="M154" s="2"/>
      <c r="N154" s="19">
        <f t="shared" si="10"/>
        <v>0</v>
      </c>
      <c r="O154" s="11"/>
      <c r="P154" s="2">
        <v>70456.460000000006</v>
      </c>
      <c r="Q154" s="2"/>
      <c r="R154" s="19">
        <f t="shared" si="11"/>
        <v>5.2355169467648965E-3</v>
      </c>
      <c r="S154" s="2"/>
      <c r="T154" s="2"/>
      <c r="U154" s="2"/>
      <c r="V154" s="19">
        <f t="shared" si="12"/>
        <v>0</v>
      </c>
      <c r="W154" s="2"/>
      <c r="X154" s="2">
        <f t="shared" si="13"/>
        <v>70456.460000000006</v>
      </c>
      <c r="Y154" s="2"/>
      <c r="Z154" s="19">
        <f t="shared" si="14"/>
        <v>0</v>
      </c>
    </row>
    <row r="155" spans="1:26" s="24" customFormat="1" hidden="1" outlineLevel="1" x14ac:dyDescent="0.25">
      <c r="A155" s="44"/>
      <c r="B155" s="11" t="str">
        <f>CONCATENATE("          ", "5042", " - ", "PURCHASES @ COST-EVERYDAY GIFT")</f>
        <v xml:space="preserve">          5042 - PURCHASES @ COST-EVERYDAY GIFT</v>
      </c>
      <c r="C155" s="11"/>
      <c r="D155" s="2">
        <v>13956.79</v>
      </c>
      <c r="E155" s="2"/>
      <c r="F155" s="19">
        <f t="shared" si="7"/>
        <v>3.7483708025296434E-3</v>
      </c>
      <c r="G155" s="2"/>
      <c r="H155" s="2"/>
      <c r="I155" s="2"/>
      <c r="J155" s="19">
        <f t="shared" si="8"/>
        <v>0</v>
      </c>
      <c r="K155" s="2"/>
      <c r="L155" s="2">
        <f t="shared" si="9"/>
        <v>13956.79</v>
      </c>
      <c r="M155" s="2"/>
      <c r="N155" s="19">
        <f t="shared" si="10"/>
        <v>0</v>
      </c>
      <c r="O155" s="11"/>
      <c r="P155" s="2">
        <v>49248.47</v>
      </c>
      <c r="Q155" s="2"/>
      <c r="R155" s="19">
        <f t="shared" si="11"/>
        <v>3.6595820920784635E-3</v>
      </c>
      <c r="S155" s="2"/>
      <c r="T155" s="2"/>
      <c r="U155" s="2"/>
      <c r="V155" s="19">
        <f t="shared" si="12"/>
        <v>0</v>
      </c>
      <c r="W155" s="2"/>
      <c r="X155" s="2">
        <f t="shared" si="13"/>
        <v>49248.47</v>
      </c>
      <c r="Y155" s="2"/>
      <c r="Z155" s="19">
        <f t="shared" si="14"/>
        <v>0</v>
      </c>
    </row>
    <row r="156" spans="1:26" s="24" customFormat="1" hidden="1" outlineLevel="1" x14ac:dyDescent="0.25">
      <c r="A156" s="44"/>
      <c r="B156" s="11" t="str">
        <f>CONCATENATE("          ", "5043", " - ", "PURCHASES @ COST-CARDS")</f>
        <v xml:space="preserve">          5043 - PURCHASES @ COST-CARDS</v>
      </c>
      <c r="C156" s="11"/>
      <c r="D156" s="2">
        <v>331.09</v>
      </c>
      <c r="E156" s="2"/>
      <c r="F156" s="19">
        <f t="shared" si="7"/>
        <v>8.8920739583352577E-5</v>
      </c>
      <c r="G156" s="2"/>
      <c r="H156" s="2"/>
      <c r="I156" s="2"/>
      <c r="J156" s="19">
        <f t="shared" si="8"/>
        <v>0</v>
      </c>
      <c r="K156" s="2"/>
      <c r="L156" s="2">
        <f t="shared" si="9"/>
        <v>331.09</v>
      </c>
      <c r="M156" s="2"/>
      <c r="N156" s="19">
        <f t="shared" si="10"/>
        <v>0</v>
      </c>
      <c r="O156" s="11"/>
      <c r="P156" s="2">
        <v>1340.08</v>
      </c>
      <c r="Q156" s="2"/>
      <c r="R156" s="19">
        <f t="shared" si="11"/>
        <v>9.9579393429938167E-5</v>
      </c>
      <c r="S156" s="2"/>
      <c r="T156" s="2"/>
      <c r="U156" s="2"/>
      <c r="V156" s="19">
        <f t="shared" si="12"/>
        <v>0</v>
      </c>
      <c r="W156" s="2"/>
      <c r="X156" s="2">
        <f t="shared" si="13"/>
        <v>1340.08</v>
      </c>
      <c r="Y156" s="2"/>
      <c r="Z156" s="19">
        <f t="shared" si="14"/>
        <v>0</v>
      </c>
    </row>
    <row r="157" spans="1:26" s="24" customFormat="1" hidden="1" outlineLevel="1" x14ac:dyDescent="0.25">
      <c r="A157" s="44"/>
      <c r="B157" s="11" t="str">
        <f>CONCATENATE("          ", "5044", " - ", "PURCHASES @ COST-ACCESSORIES")</f>
        <v xml:space="preserve">          5044 - PURCHASES @ COST-ACCESSORIES</v>
      </c>
      <c r="C157" s="11"/>
      <c r="D157" s="2">
        <v>3747.48</v>
      </c>
      <c r="E157" s="2"/>
      <c r="F157" s="19">
        <f t="shared" si="7"/>
        <v>1.0064595523085027E-3</v>
      </c>
      <c r="G157" s="2"/>
      <c r="H157" s="2"/>
      <c r="I157" s="2"/>
      <c r="J157" s="19">
        <f t="shared" si="8"/>
        <v>0</v>
      </c>
      <c r="K157" s="2"/>
      <c r="L157" s="2">
        <f t="shared" si="9"/>
        <v>3747.48</v>
      </c>
      <c r="M157" s="2"/>
      <c r="N157" s="19">
        <f t="shared" si="10"/>
        <v>0</v>
      </c>
      <c r="O157" s="11"/>
      <c r="P157" s="2">
        <v>24151.129999999997</v>
      </c>
      <c r="Q157" s="2"/>
      <c r="R157" s="19">
        <f t="shared" si="11"/>
        <v>1.7946353024055151E-3</v>
      </c>
      <c r="S157" s="2"/>
      <c r="T157" s="2"/>
      <c r="U157" s="2"/>
      <c r="V157" s="19">
        <f t="shared" si="12"/>
        <v>0</v>
      </c>
      <c r="W157" s="2"/>
      <c r="X157" s="2">
        <f t="shared" si="13"/>
        <v>24151.129999999997</v>
      </c>
      <c r="Y157" s="2"/>
      <c r="Z157" s="19">
        <f t="shared" si="14"/>
        <v>0</v>
      </c>
    </row>
    <row r="158" spans="1:26" s="24" customFormat="1" hidden="1" outlineLevel="1" x14ac:dyDescent="0.25">
      <c r="A158" s="44"/>
      <c r="B158" s="11" t="str">
        <f>CONCATENATE("          ", "5045", " - ", "PURCHASES @ COST-SPECIAL ORDER")</f>
        <v xml:space="preserve">          5045 - PURCHASES @ COST-SPECIAL ORDER</v>
      </c>
      <c r="C158" s="11"/>
      <c r="D158" s="2">
        <v>3599.17</v>
      </c>
      <c r="E158" s="2"/>
      <c r="F158" s="19">
        <f t="shared" si="7"/>
        <v>9.6662798117193251E-4</v>
      </c>
      <c r="G158" s="2"/>
      <c r="H158" s="2"/>
      <c r="I158" s="2"/>
      <c r="J158" s="19">
        <f t="shared" si="8"/>
        <v>0</v>
      </c>
      <c r="K158" s="2"/>
      <c r="L158" s="2">
        <f t="shared" si="9"/>
        <v>3599.17</v>
      </c>
      <c r="M158" s="2"/>
      <c r="N158" s="19">
        <f t="shared" si="10"/>
        <v>0</v>
      </c>
      <c r="O158" s="11"/>
      <c r="P158" s="2">
        <v>28063.200000000001</v>
      </c>
      <c r="Q158" s="2"/>
      <c r="R158" s="19">
        <f t="shared" si="11"/>
        <v>2.08533552750809E-3</v>
      </c>
      <c r="S158" s="2"/>
      <c r="T158" s="2"/>
      <c r="U158" s="2"/>
      <c r="V158" s="19">
        <f t="shared" si="12"/>
        <v>0</v>
      </c>
      <c r="W158" s="2"/>
      <c r="X158" s="2">
        <f t="shared" si="13"/>
        <v>28063.200000000001</v>
      </c>
      <c r="Y158" s="2"/>
      <c r="Z158" s="19">
        <f t="shared" si="14"/>
        <v>0</v>
      </c>
    </row>
    <row r="159" spans="1:26" s="24" customFormat="1" hidden="1" outlineLevel="1" x14ac:dyDescent="0.25">
      <c r="A159" s="44"/>
      <c r="B159" s="11" t="str">
        <f>CONCATENATE("          ", "5053", " - ", "PURCHASES @ COST-FOOD")</f>
        <v xml:space="preserve">          5053 - PURCHASES @ COST-FOOD</v>
      </c>
      <c r="C159" s="11"/>
      <c r="D159" s="2">
        <v>926039.94000000006</v>
      </c>
      <c r="E159" s="2"/>
      <c r="F159" s="19">
        <f t="shared" si="7"/>
        <v>0.2487062621901098</v>
      </c>
      <c r="G159" s="2"/>
      <c r="H159" s="2"/>
      <c r="I159" s="2"/>
      <c r="J159" s="19">
        <f t="shared" si="8"/>
        <v>0</v>
      </c>
      <c r="K159" s="2"/>
      <c r="L159" s="2">
        <f t="shared" si="9"/>
        <v>926039.94000000006</v>
      </c>
      <c r="M159" s="2"/>
      <c r="N159" s="19">
        <f t="shared" si="10"/>
        <v>0</v>
      </c>
      <c r="O159" s="11"/>
      <c r="P159" s="2">
        <v>2338600.98</v>
      </c>
      <c r="Q159" s="2"/>
      <c r="R159" s="19">
        <f t="shared" si="11"/>
        <v>0.17377803344804713</v>
      </c>
      <c r="S159" s="2"/>
      <c r="T159" s="2"/>
      <c r="U159" s="2"/>
      <c r="V159" s="19">
        <f t="shared" si="12"/>
        <v>0</v>
      </c>
      <c r="W159" s="2"/>
      <c r="X159" s="2">
        <f t="shared" si="13"/>
        <v>2338600.98</v>
      </c>
      <c r="Y159" s="2"/>
      <c r="Z159" s="19">
        <f t="shared" si="14"/>
        <v>0</v>
      </c>
    </row>
    <row r="160" spans="1:26" s="24" customFormat="1" hidden="1" outlineLevel="1" x14ac:dyDescent="0.25">
      <c r="A160" s="44"/>
      <c r="B160" s="11" t="str">
        <f>CONCATENATE("          ", "5059", " - ", "PURCHASES @ COST-FOOD")</f>
        <v xml:space="preserve">          5059 - PURCHASES @ COST-FOOD</v>
      </c>
      <c r="C160" s="11"/>
      <c r="D160" s="2">
        <v>-22045.34</v>
      </c>
      <c r="E160" s="2"/>
      <c r="F160" s="19">
        <f t="shared" si="7"/>
        <v>-5.9207101910854027E-3</v>
      </c>
      <c r="G160" s="2"/>
      <c r="H160" s="2"/>
      <c r="I160" s="2"/>
      <c r="J160" s="19">
        <f t="shared" si="8"/>
        <v>0</v>
      </c>
      <c r="K160" s="2"/>
      <c r="L160" s="2">
        <f t="shared" si="9"/>
        <v>-22045.34</v>
      </c>
      <c r="M160" s="2"/>
      <c r="N160" s="19">
        <f t="shared" si="10"/>
        <v>0</v>
      </c>
      <c r="O160" s="11"/>
      <c r="P160" s="2">
        <v>-109586.63</v>
      </c>
      <c r="Q160" s="2"/>
      <c r="R160" s="19">
        <f t="shared" si="11"/>
        <v>-8.1432228997008142E-3</v>
      </c>
      <c r="S160" s="2"/>
      <c r="T160" s="2"/>
      <c r="U160" s="2"/>
      <c r="V160" s="19">
        <f t="shared" si="12"/>
        <v>0</v>
      </c>
      <c r="W160" s="2"/>
      <c r="X160" s="2">
        <f t="shared" si="13"/>
        <v>-109586.63</v>
      </c>
      <c r="Y160" s="2"/>
      <c r="Z160" s="19">
        <f t="shared" si="14"/>
        <v>0</v>
      </c>
    </row>
    <row r="161" spans="1:26" s="24" customFormat="1" hidden="1" outlineLevel="1" x14ac:dyDescent="0.25">
      <c r="A161" s="44"/>
      <c r="B161" s="11" t="str">
        <f>CONCATENATE("          ", "5081", " - ", "PURCHASES @ COST-ELECTRONICS")</f>
        <v xml:space="preserve">          5081 - PURCHASES @ COST-ELECTRONICS</v>
      </c>
      <c r="C161" s="11"/>
      <c r="D161" s="2">
        <v>18978.52</v>
      </c>
      <c r="E161" s="2"/>
      <c r="F161" s="19">
        <f t="shared" si="7"/>
        <v>5.0970552858662262E-3</v>
      </c>
      <c r="G161" s="2"/>
      <c r="H161" s="2"/>
      <c r="I161" s="2"/>
      <c r="J161" s="19">
        <f t="shared" si="8"/>
        <v>0</v>
      </c>
      <c r="K161" s="2"/>
      <c r="L161" s="2">
        <f t="shared" si="9"/>
        <v>18978.52</v>
      </c>
      <c r="M161" s="2"/>
      <c r="N161" s="19">
        <f t="shared" si="10"/>
        <v>0</v>
      </c>
      <c r="O161" s="11"/>
      <c r="P161" s="2">
        <v>169136.69</v>
      </c>
      <c r="Q161" s="2"/>
      <c r="R161" s="19">
        <f t="shared" si="11"/>
        <v>1.2568301143922371E-2</v>
      </c>
      <c r="S161" s="2"/>
      <c r="T161" s="2"/>
      <c r="U161" s="2"/>
      <c r="V161" s="19">
        <f t="shared" si="12"/>
        <v>0</v>
      </c>
      <c r="W161" s="2"/>
      <c r="X161" s="2">
        <f t="shared" si="13"/>
        <v>169136.69</v>
      </c>
      <c r="Y161" s="2"/>
      <c r="Z161" s="19">
        <f t="shared" si="14"/>
        <v>0</v>
      </c>
    </row>
    <row r="162" spans="1:26" s="24" customFormat="1" hidden="1" outlineLevel="1" x14ac:dyDescent="0.25">
      <c r="A162" s="44"/>
      <c r="B162" s="11" t="str">
        <f>CONCATENATE("          ", "5082", " - ", "PURCHASES @ COST-COMPUTER HARD")</f>
        <v xml:space="preserve">          5082 - PURCHASES @ COST-COMPUTER HARD</v>
      </c>
      <c r="C162" s="11"/>
      <c r="D162" s="2">
        <v>94594.73</v>
      </c>
      <c r="E162" s="2"/>
      <c r="F162" s="19">
        <f t="shared" si="7"/>
        <v>2.5405277574942011E-2</v>
      </c>
      <c r="G162" s="2"/>
      <c r="H162" s="2"/>
      <c r="I162" s="2"/>
      <c r="J162" s="19">
        <f t="shared" si="8"/>
        <v>0</v>
      </c>
      <c r="K162" s="2"/>
      <c r="L162" s="2">
        <f t="shared" si="9"/>
        <v>94594.73</v>
      </c>
      <c r="M162" s="2"/>
      <c r="N162" s="19">
        <f t="shared" si="10"/>
        <v>0</v>
      </c>
      <c r="O162" s="11"/>
      <c r="P162" s="2">
        <v>895787.3</v>
      </c>
      <c r="Q162" s="2"/>
      <c r="R162" s="19">
        <f t="shared" si="11"/>
        <v>6.6564649853920702E-2</v>
      </c>
      <c r="S162" s="2"/>
      <c r="T162" s="2"/>
      <c r="U162" s="2"/>
      <c r="V162" s="19">
        <f t="shared" si="12"/>
        <v>0</v>
      </c>
      <c r="W162" s="2"/>
      <c r="X162" s="2">
        <f t="shared" si="13"/>
        <v>895787.3</v>
      </c>
      <c r="Y162" s="2"/>
      <c r="Z162" s="19">
        <f t="shared" si="14"/>
        <v>0</v>
      </c>
    </row>
    <row r="163" spans="1:26" s="24" customFormat="1" hidden="1" outlineLevel="1" x14ac:dyDescent="0.25">
      <c r="A163" s="44"/>
      <c r="B163" s="11" t="str">
        <f>CONCATENATE("          ", "5083", " - ", "PURCHASES @ COST-COMPUTER EQUI")</f>
        <v xml:space="preserve">          5083 - PURCHASES @ COST-COMPUTER EQUI</v>
      </c>
      <c r="C163" s="11"/>
      <c r="D163" s="2">
        <v>14172.43</v>
      </c>
      <c r="E163" s="2"/>
      <c r="F163" s="19">
        <f t="shared" si="7"/>
        <v>3.8062851710812581E-3</v>
      </c>
      <c r="G163" s="2"/>
      <c r="H163" s="2"/>
      <c r="I163" s="2"/>
      <c r="J163" s="19">
        <f t="shared" si="8"/>
        <v>0</v>
      </c>
      <c r="K163" s="2"/>
      <c r="L163" s="2">
        <f t="shared" si="9"/>
        <v>14172.43</v>
      </c>
      <c r="M163" s="2"/>
      <c r="N163" s="19">
        <f t="shared" si="10"/>
        <v>0</v>
      </c>
      <c r="O163" s="11"/>
      <c r="P163" s="2">
        <v>42040.84</v>
      </c>
      <c r="Q163" s="2"/>
      <c r="R163" s="19">
        <f t="shared" si="11"/>
        <v>3.1239936022364944E-3</v>
      </c>
      <c r="S163" s="2"/>
      <c r="T163" s="2"/>
      <c r="U163" s="2"/>
      <c r="V163" s="19">
        <f t="shared" si="12"/>
        <v>0</v>
      </c>
      <c r="W163" s="2"/>
      <c r="X163" s="2">
        <f t="shared" si="13"/>
        <v>42040.84</v>
      </c>
      <c r="Y163" s="2"/>
      <c r="Z163" s="19">
        <f t="shared" si="14"/>
        <v>0</v>
      </c>
    </row>
    <row r="164" spans="1:26" s="24" customFormat="1" hidden="1" outlineLevel="1" x14ac:dyDescent="0.25">
      <c r="A164" s="44"/>
      <c r="B164" s="11" t="str">
        <f>CONCATENATE("          ", "5084", " - ", "PURCHASES @ COST-SOFTWARE LICE")</f>
        <v xml:space="preserve">          5084 - PURCHASES @ COST-SOFTWARE LICE</v>
      </c>
      <c r="C164" s="11"/>
      <c r="D164" s="2">
        <v>1206</v>
      </c>
      <c r="E164" s="2"/>
      <c r="F164" s="19">
        <f t="shared" si="7"/>
        <v>3.2389504949567556E-4</v>
      </c>
      <c r="G164" s="2"/>
      <c r="H164" s="2"/>
      <c r="I164" s="2"/>
      <c r="J164" s="19">
        <f t="shared" si="8"/>
        <v>0</v>
      </c>
      <c r="K164" s="2"/>
      <c r="L164" s="2">
        <f t="shared" si="9"/>
        <v>1206</v>
      </c>
      <c r="M164" s="2"/>
      <c r="N164" s="19">
        <f t="shared" si="10"/>
        <v>0</v>
      </c>
      <c r="O164" s="11"/>
      <c r="P164" s="2">
        <v>2728</v>
      </c>
      <c r="Q164" s="2"/>
      <c r="R164" s="19">
        <f t="shared" si="11"/>
        <v>2.0271370759721163E-4</v>
      </c>
      <c r="S164" s="2"/>
      <c r="T164" s="2"/>
      <c r="U164" s="2"/>
      <c r="V164" s="19">
        <f t="shared" si="12"/>
        <v>0</v>
      </c>
      <c r="W164" s="2"/>
      <c r="X164" s="2">
        <f t="shared" si="13"/>
        <v>2728</v>
      </c>
      <c r="Y164" s="2"/>
      <c r="Z164" s="19">
        <f t="shared" si="14"/>
        <v>0</v>
      </c>
    </row>
    <row r="165" spans="1:26" s="24" customFormat="1" hidden="1" outlineLevel="1" x14ac:dyDescent="0.25">
      <c r="A165" s="44"/>
      <c r="B165" s="11" t="str">
        <f>CONCATENATE("          ", "5085", " - ", "PURCHASES @ COST-SOFTWARE")</f>
        <v xml:space="preserve">          5085 - PURCHASES @ COST-SOFTWARE</v>
      </c>
      <c r="C165" s="11"/>
      <c r="D165" s="2">
        <v>506.04</v>
      </c>
      <c r="E165" s="2"/>
      <c r="F165" s="19">
        <f t="shared" si="7"/>
        <v>1.3590700733564815E-4</v>
      </c>
      <c r="G165" s="2"/>
      <c r="H165" s="2"/>
      <c r="I165" s="2"/>
      <c r="J165" s="19">
        <f t="shared" si="8"/>
        <v>0</v>
      </c>
      <c r="K165" s="2"/>
      <c r="L165" s="2">
        <f t="shared" si="9"/>
        <v>506.04</v>
      </c>
      <c r="M165" s="2"/>
      <c r="N165" s="19">
        <f t="shared" si="10"/>
        <v>0</v>
      </c>
      <c r="O165" s="11"/>
      <c r="P165" s="2">
        <v>6932.04</v>
      </c>
      <c r="Q165" s="2"/>
      <c r="R165" s="19">
        <f t="shared" si="11"/>
        <v>5.151097982449321E-4</v>
      </c>
      <c r="S165" s="2"/>
      <c r="T165" s="2"/>
      <c r="U165" s="2"/>
      <c r="V165" s="19">
        <f t="shared" si="12"/>
        <v>0</v>
      </c>
      <c r="W165" s="2"/>
      <c r="X165" s="2">
        <f t="shared" si="13"/>
        <v>6932.04</v>
      </c>
      <c r="Y165" s="2"/>
      <c r="Z165" s="19">
        <f t="shared" si="14"/>
        <v>0</v>
      </c>
    </row>
    <row r="166" spans="1:26" s="24" customFormat="1" hidden="1" outlineLevel="1" x14ac:dyDescent="0.25">
      <c r="A166" s="44"/>
      <c r="B166" s="11" t="str">
        <f>CONCATENATE("          ", "5086", " - ", "PURCHASES @ COST-COMPUTER SUPP")</f>
        <v xml:space="preserve">          5086 - PURCHASES @ COST-COMPUTER SUPP</v>
      </c>
      <c r="C166" s="11"/>
      <c r="D166" s="2">
        <v>5942.35</v>
      </c>
      <c r="E166" s="2"/>
      <c r="F166" s="19">
        <f t="shared" si="7"/>
        <v>1.5959351139059931E-3</v>
      </c>
      <c r="G166" s="2"/>
      <c r="H166" s="2"/>
      <c r="I166" s="2"/>
      <c r="J166" s="19">
        <f t="shared" si="8"/>
        <v>0</v>
      </c>
      <c r="K166" s="2"/>
      <c r="L166" s="2">
        <f t="shared" si="9"/>
        <v>5942.35</v>
      </c>
      <c r="M166" s="2"/>
      <c r="N166" s="19">
        <f t="shared" si="10"/>
        <v>0</v>
      </c>
      <c r="O166" s="11"/>
      <c r="P166" s="2">
        <v>18509.099999999999</v>
      </c>
      <c r="Q166" s="2"/>
      <c r="R166" s="19">
        <f t="shared" si="11"/>
        <v>1.3753842688004213E-3</v>
      </c>
      <c r="S166" s="2"/>
      <c r="T166" s="2"/>
      <c r="U166" s="2"/>
      <c r="V166" s="19">
        <f t="shared" si="12"/>
        <v>0</v>
      </c>
      <c r="W166" s="2"/>
      <c r="X166" s="2">
        <f t="shared" si="13"/>
        <v>18509.099999999999</v>
      </c>
      <c r="Y166" s="2"/>
      <c r="Z166" s="19">
        <f t="shared" si="14"/>
        <v>0</v>
      </c>
    </row>
    <row r="167" spans="1:26" s="24" customFormat="1" hidden="1" outlineLevel="1" x14ac:dyDescent="0.25">
      <c r="A167" s="44"/>
      <c r="B167" s="11" t="str">
        <f>CONCATENATE("          ", "5088", " - ", "PURCHASES @ COST-MUSIC")</f>
        <v xml:space="preserve">          5088 - PURCHASES @ COST-MUSIC</v>
      </c>
      <c r="C167" s="11"/>
      <c r="D167" s="2"/>
      <c r="E167" s="2"/>
      <c r="F167" s="19">
        <f t="shared" si="7"/>
        <v>0</v>
      </c>
      <c r="G167" s="2"/>
      <c r="H167" s="2"/>
      <c r="I167" s="2"/>
      <c r="J167" s="19">
        <f t="shared" si="8"/>
        <v>0</v>
      </c>
      <c r="K167" s="2"/>
      <c r="L167" s="2">
        <f t="shared" si="9"/>
        <v>0</v>
      </c>
      <c r="M167" s="2"/>
      <c r="N167" s="19">
        <f t="shared" si="10"/>
        <v>0</v>
      </c>
      <c r="O167" s="11"/>
      <c r="P167" s="2">
        <v>88.75</v>
      </c>
      <c r="Q167" s="2"/>
      <c r="R167" s="19">
        <f t="shared" si="11"/>
        <v>6.5948832658550331E-6</v>
      </c>
      <c r="S167" s="2"/>
      <c r="T167" s="2"/>
      <c r="U167" s="2"/>
      <c r="V167" s="19">
        <f t="shared" si="12"/>
        <v>0</v>
      </c>
      <c r="W167" s="2"/>
      <c r="X167" s="2">
        <f t="shared" si="13"/>
        <v>88.75</v>
      </c>
      <c r="Y167" s="2"/>
      <c r="Z167" s="19">
        <f t="shared" si="14"/>
        <v>0</v>
      </c>
    </row>
    <row r="168" spans="1:26" s="24" customFormat="1" hidden="1" outlineLevel="1" x14ac:dyDescent="0.25">
      <c r="A168" s="44"/>
      <c r="B168" s="11" t="str">
        <f>CONCATENATE("          ", "5092", " - ", "PURCHASES @ COST-GRAD MERCH")</f>
        <v xml:space="preserve">          5092 - PURCHASES @ COST-GRAD MERCH</v>
      </c>
      <c r="C168" s="11"/>
      <c r="D168" s="2">
        <v>1296.1400000000001</v>
      </c>
      <c r="E168" s="2"/>
      <c r="F168" s="19">
        <f t="shared" si="7"/>
        <v>3.4810392160308865E-4</v>
      </c>
      <c r="G168" s="2"/>
      <c r="H168" s="2"/>
      <c r="I168" s="2"/>
      <c r="J168" s="19">
        <f t="shared" si="8"/>
        <v>0</v>
      </c>
      <c r="K168" s="2"/>
      <c r="L168" s="2">
        <f t="shared" si="9"/>
        <v>1296.1400000000001</v>
      </c>
      <c r="M168" s="2"/>
      <c r="N168" s="19">
        <f t="shared" si="10"/>
        <v>0</v>
      </c>
      <c r="O168" s="11"/>
      <c r="P168" s="2">
        <v>1296.1400000000001</v>
      </c>
      <c r="Q168" s="2"/>
      <c r="R168" s="19">
        <f t="shared" si="11"/>
        <v>9.6314276013581335E-5</v>
      </c>
      <c r="S168" s="2"/>
      <c r="T168" s="2"/>
      <c r="U168" s="2"/>
      <c r="V168" s="19">
        <f t="shared" si="12"/>
        <v>0</v>
      </c>
      <c r="W168" s="2"/>
      <c r="X168" s="2">
        <f t="shared" si="13"/>
        <v>1296.1400000000001</v>
      </c>
      <c r="Y168" s="2"/>
      <c r="Z168" s="19">
        <f t="shared" si="14"/>
        <v>0</v>
      </c>
    </row>
    <row r="169" spans="1:26" s="24" customFormat="1" hidden="1" outlineLevel="1" x14ac:dyDescent="0.25">
      <c r="A169" s="44"/>
      <c r="B169" s="11" t="str">
        <f>CONCATENATE("          ", "5095", " - ", "PURCHASES @ COST-CUSTOMER SERV")</f>
        <v xml:space="preserve">          5095 - PURCHASES @ COST-CUSTOMER SERV</v>
      </c>
      <c r="C169" s="11"/>
      <c r="D169" s="2"/>
      <c r="E169" s="2"/>
      <c r="F169" s="19">
        <f t="shared" si="7"/>
        <v>0</v>
      </c>
      <c r="G169" s="2"/>
      <c r="H169" s="2"/>
      <c r="I169" s="2"/>
      <c r="J169" s="19">
        <f t="shared" si="8"/>
        <v>0</v>
      </c>
      <c r="K169" s="2"/>
      <c r="L169" s="2">
        <f t="shared" si="9"/>
        <v>0</v>
      </c>
      <c r="M169" s="2"/>
      <c r="N169" s="19">
        <f t="shared" si="10"/>
        <v>0</v>
      </c>
      <c r="O169" s="11"/>
      <c r="P169" s="2">
        <v>0</v>
      </c>
      <c r="Q169" s="2"/>
      <c r="R169" s="19">
        <f t="shared" si="11"/>
        <v>0</v>
      </c>
      <c r="S169" s="2"/>
      <c r="T169" s="2"/>
      <c r="U169" s="2"/>
      <c r="V169" s="19">
        <f t="shared" si="12"/>
        <v>0</v>
      </c>
      <c r="W169" s="2"/>
      <c r="X169" s="2">
        <f t="shared" si="13"/>
        <v>0</v>
      </c>
      <c r="Y169" s="2"/>
      <c r="Z169" s="19">
        <f t="shared" si="14"/>
        <v>0</v>
      </c>
    </row>
    <row r="170" spans="1:26" s="24" customFormat="1" hidden="1" outlineLevel="1" x14ac:dyDescent="0.25">
      <c r="A170" s="44"/>
      <c r="B170" s="11" t="str">
        <f>CONCATENATE("          ", "5200", " - ", "PURCHASES OFFSET")</f>
        <v xml:space="preserve">          5200 - PURCHASES OFFSET</v>
      </c>
      <c r="C170" s="11"/>
      <c r="D170" s="2">
        <v>-237338.99999999997</v>
      </c>
      <c r="E170" s="2"/>
      <c r="F170" s="19">
        <f t="shared" si="7"/>
        <v>-6.3742062315301926E-2</v>
      </c>
      <c r="G170" s="2"/>
      <c r="H170" s="2"/>
      <c r="I170" s="2"/>
      <c r="J170" s="19">
        <f t="shared" si="8"/>
        <v>0</v>
      </c>
      <c r="K170" s="2"/>
      <c r="L170" s="2">
        <f t="shared" si="9"/>
        <v>-237338.99999999997</v>
      </c>
      <c r="M170" s="2"/>
      <c r="N170" s="19">
        <f t="shared" si="10"/>
        <v>0</v>
      </c>
      <c r="O170" s="11"/>
      <c r="P170" s="2">
        <v>-3872821</v>
      </c>
      <c r="Q170" s="2"/>
      <c r="R170" s="19">
        <f t="shared" si="11"/>
        <v>-0.28778368906537416</v>
      </c>
      <c r="S170" s="2"/>
      <c r="T170" s="2"/>
      <c r="U170" s="2"/>
      <c r="V170" s="19">
        <f t="shared" si="12"/>
        <v>0</v>
      </c>
      <c r="W170" s="2"/>
      <c r="X170" s="2">
        <f t="shared" si="13"/>
        <v>-3872821</v>
      </c>
      <c r="Y170" s="2"/>
      <c r="Z170" s="19">
        <f t="shared" si="14"/>
        <v>0</v>
      </c>
    </row>
    <row r="171" spans="1:26" s="24" customFormat="1" hidden="1" outlineLevel="1" x14ac:dyDescent="0.25">
      <c r="A171" s="44"/>
      <c r="B171" s="11" t="str">
        <f>CONCATENATE("          ", "5300", " - ", "COG$ OFFSET")</f>
        <v xml:space="preserve">          5300 - COG$ OFFSET</v>
      </c>
      <c r="C171" s="11"/>
      <c r="D171" s="2">
        <v>328565</v>
      </c>
      <c r="E171" s="2"/>
      <c r="F171" s="19">
        <f t="shared" si="7"/>
        <v>8.8242601109076807E-2</v>
      </c>
      <c r="G171" s="2"/>
      <c r="H171" s="2"/>
      <c r="I171" s="2"/>
      <c r="J171" s="19">
        <f t="shared" si="8"/>
        <v>0</v>
      </c>
      <c r="K171" s="2"/>
      <c r="L171" s="2">
        <f t="shared" si="9"/>
        <v>328565</v>
      </c>
      <c r="M171" s="2"/>
      <c r="N171" s="19">
        <f t="shared" si="10"/>
        <v>0</v>
      </c>
      <c r="O171" s="11"/>
      <c r="P171" s="2">
        <v>3332472</v>
      </c>
      <c r="Q171" s="2"/>
      <c r="R171" s="19">
        <f t="shared" si="11"/>
        <v>0.24763114170963893</v>
      </c>
      <c r="S171" s="2"/>
      <c r="T171" s="2"/>
      <c r="U171" s="2"/>
      <c r="V171" s="19">
        <f t="shared" si="12"/>
        <v>0</v>
      </c>
      <c r="W171" s="2"/>
      <c r="X171" s="2">
        <f t="shared" si="13"/>
        <v>3332472</v>
      </c>
      <c r="Y171" s="2"/>
      <c r="Z171" s="19">
        <f t="shared" si="14"/>
        <v>0</v>
      </c>
    </row>
    <row r="172" spans="1:26" s="24" customFormat="1" hidden="1" outlineLevel="1" x14ac:dyDescent="0.25">
      <c r="A172" s="44"/>
      <c r="B172" s="11" t="str">
        <f>CONCATENATE("          ", "5500", " - ", "FREIGHT-IN")</f>
        <v xml:space="preserve">          5500 - FREIGHT-IN</v>
      </c>
      <c r="C172" s="11"/>
      <c r="D172" s="2">
        <v>35.229999999999997</v>
      </c>
      <c r="E172" s="2"/>
      <c r="F172" s="19">
        <f t="shared" si="7"/>
        <v>9.4617102767269059E-6</v>
      </c>
      <c r="G172" s="2"/>
      <c r="H172" s="2"/>
      <c r="I172" s="2"/>
      <c r="J172" s="19">
        <f t="shared" si="8"/>
        <v>0</v>
      </c>
      <c r="K172" s="2"/>
      <c r="L172" s="2">
        <f t="shared" si="9"/>
        <v>35.229999999999997</v>
      </c>
      <c r="M172" s="2"/>
      <c r="N172" s="19">
        <f t="shared" si="10"/>
        <v>0</v>
      </c>
      <c r="O172" s="11"/>
      <c r="P172" s="2">
        <v>35.229999999999997</v>
      </c>
      <c r="Q172" s="2"/>
      <c r="R172" s="19">
        <f t="shared" si="11"/>
        <v>2.6178899995050457E-6</v>
      </c>
      <c r="S172" s="2"/>
      <c r="T172" s="2"/>
      <c r="U172" s="2"/>
      <c r="V172" s="19">
        <f t="shared" si="12"/>
        <v>0</v>
      </c>
      <c r="W172" s="2"/>
      <c r="X172" s="2">
        <f t="shared" si="13"/>
        <v>35.229999999999997</v>
      </c>
      <c r="Y172" s="2"/>
      <c r="Z172" s="19">
        <f t="shared" si="14"/>
        <v>0</v>
      </c>
    </row>
    <row r="173" spans="1:26" s="24" customFormat="1" hidden="1" outlineLevel="1" x14ac:dyDescent="0.25">
      <c r="A173" s="44"/>
      <c r="B173" s="11" t="str">
        <f>CONCATENATE("          ", "5501", " - ", "FREIGHT-IN-NEW TEXT")</f>
        <v xml:space="preserve">          5501 - FREIGHT-IN-NEW TEXT</v>
      </c>
      <c r="C173" s="11"/>
      <c r="D173" s="2">
        <v>7434.02</v>
      </c>
      <c r="E173" s="2"/>
      <c r="F173" s="19">
        <f t="shared" si="7"/>
        <v>1.9965524675388409E-3</v>
      </c>
      <c r="G173" s="2"/>
      <c r="H173" s="2"/>
      <c r="I173" s="2"/>
      <c r="J173" s="19">
        <f t="shared" si="8"/>
        <v>0</v>
      </c>
      <c r="K173" s="2"/>
      <c r="L173" s="2">
        <f t="shared" si="9"/>
        <v>7434.02</v>
      </c>
      <c r="M173" s="2"/>
      <c r="N173" s="19">
        <f t="shared" si="10"/>
        <v>0</v>
      </c>
      <c r="O173" s="11"/>
      <c r="P173" s="2">
        <v>34017.480000000003</v>
      </c>
      <c r="Q173" s="2"/>
      <c r="R173" s="19">
        <f t="shared" si="11"/>
        <v>2.5277894039274175E-3</v>
      </c>
      <c r="S173" s="2"/>
      <c r="T173" s="2"/>
      <c r="U173" s="2"/>
      <c r="V173" s="19">
        <f t="shared" si="12"/>
        <v>0</v>
      </c>
      <c r="W173" s="2"/>
      <c r="X173" s="2">
        <f t="shared" si="13"/>
        <v>34017.480000000003</v>
      </c>
      <c r="Y173" s="2"/>
      <c r="Z173" s="19">
        <f t="shared" si="14"/>
        <v>0</v>
      </c>
    </row>
    <row r="174" spans="1:26" s="24" customFormat="1" hidden="1" outlineLevel="1" x14ac:dyDescent="0.25">
      <c r="A174" s="44"/>
      <c r="B174" s="11" t="str">
        <f>CONCATENATE("          ", "5502", " - ", "FREIGHT-IN-USED TEXT")</f>
        <v xml:space="preserve">          5502 - FREIGHT-IN-USED TEXT</v>
      </c>
      <c r="C174" s="11"/>
      <c r="D174" s="2">
        <v>591.29999999999995</v>
      </c>
      <c r="E174" s="2"/>
      <c r="F174" s="19">
        <f t="shared" si="7"/>
        <v>1.5880525934228271E-4</v>
      </c>
      <c r="G174" s="2"/>
      <c r="H174" s="2"/>
      <c r="I174" s="2"/>
      <c r="J174" s="19">
        <f t="shared" si="8"/>
        <v>0</v>
      </c>
      <c r="K174" s="2"/>
      <c r="L174" s="2">
        <f t="shared" si="9"/>
        <v>591.29999999999995</v>
      </c>
      <c r="M174" s="2"/>
      <c r="N174" s="19">
        <f t="shared" si="10"/>
        <v>0</v>
      </c>
      <c r="O174" s="11"/>
      <c r="P174" s="2">
        <v>6852.47</v>
      </c>
      <c r="Q174" s="2"/>
      <c r="R174" s="19">
        <f t="shared" si="11"/>
        <v>5.0919706741153401E-4</v>
      </c>
      <c r="S174" s="2"/>
      <c r="T174" s="2"/>
      <c r="U174" s="2"/>
      <c r="V174" s="19">
        <f t="shared" si="12"/>
        <v>0</v>
      </c>
      <c r="W174" s="2"/>
      <c r="X174" s="2">
        <f t="shared" si="13"/>
        <v>6852.47</v>
      </c>
      <c r="Y174" s="2"/>
      <c r="Z174" s="19">
        <f t="shared" si="14"/>
        <v>0</v>
      </c>
    </row>
    <row r="175" spans="1:26" s="24" customFormat="1" hidden="1" outlineLevel="1" x14ac:dyDescent="0.25">
      <c r="A175" s="44"/>
      <c r="B175" s="11" t="str">
        <f>CONCATENATE("          ", "5504", " - ", "FREIGHT-IN-DIGITAL TEXT")</f>
        <v xml:space="preserve">          5504 - FREIGHT-IN-DIGITAL TEXT</v>
      </c>
      <c r="C175" s="11"/>
      <c r="D175" s="2">
        <v>93.94</v>
      </c>
      <c r="E175" s="2"/>
      <c r="F175" s="19">
        <f t="shared" si="7"/>
        <v>2.5229436939986534E-5</v>
      </c>
      <c r="G175" s="2"/>
      <c r="H175" s="2"/>
      <c r="I175" s="2"/>
      <c r="J175" s="19">
        <f t="shared" si="8"/>
        <v>0</v>
      </c>
      <c r="K175" s="2"/>
      <c r="L175" s="2">
        <f t="shared" si="9"/>
        <v>93.94</v>
      </c>
      <c r="M175" s="2"/>
      <c r="N175" s="19">
        <f t="shared" si="10"/>
        <v>0</v>
      </c>
      <c r="O175" s="11"/>
      <c r="P175" s="2">
        <v>100.97</v>
      </c>
      <c r="Q175" s="2"/>
      <c r="R175" s="19">
        <f t="shared" si="11"/>
        <v>7.502933671587411E-6</v>
      </c>
      <c r="S175" s="2"/>
      <c r="T175" s="2"/>
      <c r="U175" s="2"/>
      <c r="V175" s="19">
        <f t="shared" si="12"/>
        <v>0</v>
      </c>
      <c r="W175" s="2"/>
      <c r="X175" s="2">
        <f t="shared" si="13"/>
        <v>100.97</v>
      </c>
      <c r="Y175" s="2"/>
      <c r="Z175" s="19">
        <f t="shared" si="14"/>
        <v>0</v>
      </c>
    </row>
    <row r="176" spans="1:26" s="24" customFormat="1" hidden="1" outlineLevel="1" x14ac:dyDescent="0.25">
      <c r="A176" s="44"/>
      <c r="B176" s="11" t="str">
        <f>CONCATENATE("          ", "5525", " - ", "FREIGHT-IN-TEST FORMS")</f>
        <v xml:space="preserve">          5525 - FREIGHT-IN-TEST FORMS</v>
      </c>
      <c r="C176" s="11"/>
      <c r="D176" s="2">
        <v>39.22</v>
      </c>
      <c r="E176" s="2"/>
      <c r="F176" s="19">
        <f t="shared" si="7"/>
        <v>1.0533303350929017E-5</v>
      </c>
      <c r="G176" s="2"/>
      <c r="H176" s="2"/>
      <c r="I176" s="2"/>
      <c r="J176" s="19">
        <f t="shared" si="8"/>
        <v>0</v>
      </c>
      <c r="K176" s="2"/>
      <c r="L176" s="2">
        <f t="shared" si="9"/>
        <v>39.22</v>
      </c>
      <c r="M176" s="2"/>
      <c r="N176" s="19">
        <f t="shared" si="10"/>
        <v>0</v>
      </c>
      <c r="O176" s="11"/>
      <c r="P176" s="2">
        <v>39.22</v>
      </c>
      <c r="Q176" s="2"/>
      <c r="R176" s="19">
        <f t="shared" si="11"/>
        <v>2.9143810894291199E-6</v>
      </c>
      <c r="S176" s="2"/>
      <c r="T176" s="2"/>
      <c r="U176" s="2"/>
      <c r="V176" s="19">
        <f t="shared" si="12"/>
        <v>0</v>
      </c>
      <c r="W176" s="2"/>
      <c r="X176" s="2">
        <f t="shared" si="13"/>
        <v>39.22</v>
      </c>
      <c r="Y176" s="2"/>
      <c r="Z176" s="19">
        <f t="shared" si="14"/>
        <v>0</v>
      </c>
    </row>
    <row r="177" spans="1:26" s="24" customFormat="1" hidden="1" outlineLevel="1" x14ac:dyDescent="0.25">
      <c r="A177" s="44"/>
      <c r="B177" s="11" t="str">
        <f>CONCATENATE("          ", "5526", " - ", "FREIGHT-IN-WRITING INSTRUMENTS")</f>
        <v xml:space="preserve">          5526 - FREIGHT-IN-WRITING INSTRUMENTS</v>
      </c>
      <c r="C177" s="11"/>
      <c r="D177" s="2"/>
      <c r="E177" s="2"/>
      <c r="F177" s="19">
        <f t="shared" si="7"/>
        <v>0</v>
      </c>
      <c r="G177" s="2"/>
      <c r="H177" s="2"/>
      <c r="I177" s="2"/>
      <c r="J177" s="19">
        <f t="shared" si="8"/>
        <v>0</v>
      </c>
      <c r="K177" s="2"/>
      <c r="L177" s="2">
        <f t="shared" si="9"/>
        <v>0</v>
      </c>
      <c r="M177" s="2"/>
      <c r="N177" s="19">
        <f t="shared" si="10"/>
        <v>0</v>
      </c>
      <c r="O177" s="11"/>
      <c r="P177" s="2">
        <v>56.57</v>
      </c>
      <c r="Q177" s="2"/>
      <c r="R177" s="19">
        <f t="shared" si="11"/>
        <v>4.2036343250638788E-6</v>
      </c>
      <c r="S177" s="2"/>
      <c r="T177" s="2"/>
      <c r="U177" s="2"/>
      <c r="V177" s="19">
        <f t="shared" si="12"/>
        <v>0</v>
      </c>
      <c r="W177" s="2"/>
      <c r="X177" s="2">
        <f t="shared" si="13"/>
        <v>56.57</v>
      </c>
      <c r="Y177" s="2"/>
      <c r="Z177" s="19">
        <f t="shared" si="14"/>
        <v>0</v>
      </c>
    </row>
    <row r="178" spans="1:26" s="24" customFormat="1" hidden="1" outlineLevel="1" x14ac:dyDescent="0.25">
      <c r="A178" s="44"/>
      <c r="B178" s="11" t="str">
        <f>CONCATENATE("          ", "5527", " - ", "FREIGHT-IN-SCHOOL SUPPLIES")</f>
        <v xml:space="preserve">          5527 - FREIGHT-IN-SCHOOL SUPPLIES</v>
      </c>
      <c r="C178" s="11"/>
      <c r="D178" s="2">
        <v>344.59</v>
      </c>
      <c r="E178" s="2"/>
      <c r="F178" s="19">
        <f t="shared" si="7"/>
        <v>9.2546430435916108E-5</v>
      </c>
      <c r="G178" s="2"/>
      <c r="H178" s="2"/>
      <c r="I178" s="2"/>
      <c r="J178" s="19">
        <f t="shared" si="8"/>
        <v>0</v>
      </c>
      <c r="K178" s="2"/>
      <c r="L178" s="2">
        <f t="shared" si="9"/>
        <v>344.59</v>
      </c>
      <c r="M178" s="2"/>
      <c r="N178" s="19">
        <f t="shared" si="10"/>
        <v>0</v>
      </c>
      <c r="O178" s="11"/>
      <c r="P178" s="2">
        <v>738.49</v>
      </c>
      <c r="Q178" s="2"/>
      <c r="R178" s="19">
        <f t="shared" si="11"/>
        <v>5.4876116540859531E-5</v>
      </c>
      <c r="S178" s="2"/>
      <c r="T178" s="2"/>
      <c r="U178" s="2"/>
      <c r="V178" s="19">
        <f t="shared" si="12"/>
        <v>0</v>
      </c>
      <c r="W178" s="2"/>
      <c r="X178" s="2">
        <f t="shared" si="13"/>
        <v>738.49</v>
      </c>
      <c r="Y178" s="2"/>
      <c r="Z178" s="19">
        <f t="shared" si="14"/>
        <v>0</v>
      </c>
    </row>
    <row r="179" spans="1:26" s="24" customFormat="1" hidden="1" outlineLevel="1" x14ac:dyDescent="0.25">
      <c r="A179" s="44"/>
      <c r="B179" s="11" t="str">
        <f>CONCATENATE("          ", "5528", " - ", "FREIGHT-IN-ART/TECH")</f>
        <v xml:space="preserve">          5528 - FREIGHT-IN-ART/TECH</v>
      </c>
      <c r="C179" s="11"/>
      <c r="D179" s="2">
        <v>185.67</v>
      </c>
      <c r="E179" s="2"/>
      <c r="F179" s="19">
        <f t="shared" si="7"/>
        <v>4.9865334858923777E-5</v>
      </c>
      <c r="G179" s="2"/>
      <c r="H179" s="2"/>
      <c r="I179" s="2"/>
      <c r="J179" s="19">
        <f t="shared" si="8"/>
        <v>0</v>
      </c>
      <c r="K179" s="2"/>
      <c r="L179" s="2">
        <f t="shared" si="9"/>
        <v>185.67</v>
      </c>
      <c r="M179" s="2"/>
      <c r="N179" s="19">
        <f t="shared" si="10"/>
        <v>0</v>
      </c>
      <c r="O179" s="11"/>
      <c r="P179" s="2">
        <v>818.44</v>
      </c>
      <c r="Q179" s="2"/>
      <c r="R179" s="19">
        <f t="shared" si="11"/>
        <v>6.0817084620917116E-5</v>
      </c>
      <c r="S179" s="2"/>
      <c r="T179" s="2"/>
      <c r="U179" s="2"/>
      <c r="V179" s="19">
        <f t="shared" si="12"/>
        <v>0</v>
      </c>
      <c r="W179" s="2"/>
      <c r="X179" s="2">
        <f t="shared" si="13"/>
        <v>818.44</v>
      </c>
      <c r="Y179" s="2"/>
      <c r="Z179" s="19">
        <f t="shared" si="14"/>
        <v>0</v>
      </c>
    </row>
    <row r="180" spans="1:26" s="24" customFormat="1" hidden="1" outlineLevel="1" x14ac:dyDescent="0.25">
      <c r="A180" s="44"/>
      <c r="B180" s="11" t="str">
        <f>CONCATENATE("          ", "5540", " - ", "FREIGHT-IN-LOGO CLOTHING")</f>
        <v xml:space="preserve">          5540 - FREIGHT-IN-LOGO CLOTHING</v>
      </c>
      <c r="C180" s="11"/>
      <c r="D180" s="2">
        <v>9102.58</v>
      </c>
      <c r="E180" s="2"/>
      <c r="F180" s="19">
        <f t="shared" si="7"/>
        <v>2.4446771141279819E-3</v>
      </c>
      <c r="G180" s="2"/>
      <c r="H180" s="2"/>
      <c r="I180" s="2"/>
      <c r="J180" s="19">
        <f t="shared" si="8"/>
        <v>0</v>
      </c>
      <c r="K180" s="2"/>
      <c r="L180" s="2">
        <f t="shared" si="9"/>
        <v>9102.58</v>
      </c>
      <c r="M180" s="2"/>
      <c r="N180" s="19">
        <f t="shared" si="10"/>
        <v>0</v>
      </c>
      <c r="O180" s="11"/>
      <c r="P180" s="2">
        <v>14107.44</v>
      </c>
      <c r="Q180" s="2"/>
      <c r="R180" s="19">
        <f t="shared" si="11"/>
        <v>1.0483033237189176E-3</v>
      </c>
      <c r="S180" s="2"/>
      <c r="T180" s="2"/>
      <c r="U180" s="2"/>
      <c r="V180" s="19">
        <f t="shared" si="12"/>
        <v>0</v>
      </c>
      <c r="W180" s="2"/>
      <c r="X180" s="2">
        <f t="shared" si="13"/>
        <v>14107.44</v>
      </c>
      <c r="Y180" s="2"/>
      <c r="Z180" s="19">
        <f t="shared" si="14"/>
        <v>0</v>
      </c>
    </row>
    <row r="181" spans="1:26" s="24" customFormat="1" hidden="1" outlineLevel="1" x14ac:dyDescent="0.25">
      <c r="A181" s="44"/>
      <c r="B181" s="11" t="str">
        <f>CONCATENATE("          ", "5541", " - ", "FREIGHT-IN-LOGO GIFTS")</f>
        <v xml:space="preserve">          5541 - FREIGHT-IN-LOGO GIFTS</v>
      </c>
      <c r="C181" s="11"/>
      <c r="D181" s="2">
        <v>718.84</v>
      </c>
      <c r="E181" s="2"/>
      <c r="F181" s="19">
        <f t="shared" si="7"/>
        <v>1.9305863795976072E-4</v>
      </c>
      <c r="G181" s="2"/>
      <c r="H181" s="2"/>
      <c r="I181" s="2"/>
      <c r="J181" s="19">
        <f t="shared" si="8"/>
        <v>0</v>
      </c>
      <c r="K181" s="2"/>
      <c r="L181" s="2">
        <f t="shared" si="9"/>
        <v>718.84</v>
      </c>
      <c r="M181" s="2"/>
      <c r="N181" s="19">
        <f t="shared" si="10"/>
        <v>0</v>
      </c>
      <c r="O181" s="11"/>
      <c r="P181" s="2">
        <v>1536.85</v>
      </c>
      <c r="Q181" s="2"/>
      <c r="R181" s="19">
        <f t="shared" si="11"/>
        <v>1.1420108560145698E-4</v>
      </c>
      <c r="S181" s="2"/>
      <c r="T181" s="2"/>
      <c r="U181" s="2"/>
      <c r="V181" s="19">
        <f t="shared" si="12"/>
        <v>0</v>
      </c>
      <c r="W181" s="2"/>
      <c r="X181" s="2">
        <f t="shared" si="13"/>
        <v>1536.85</v>
      </c>
      <c r="Y181" s="2"/>
      <c r="Z181" s="19">
        <f t="shared" si="14"/>
        <v>0</v>
      </c>
    </row>
    <row r="182" spans="1:26" s="24" customFormat="1" hidden="1" outlineLevel="1" x14ac:dyDescent="0.25">
      <c r="A182" s="44"/>
      <c r="B182" s="11" t="str">
        <f>CONCATENATE("          ", "5542", " - ", "FREIGHT-IN-EVERYDAY GIFTS")</f>
        <v xml:space="preserve">          5542 - FREIGHT-IN-EVERYDAY GIFTS</v>
      </c>
      <c r="C182" s="11"/>
      <c r="D182" s="2">
        <v>596.04999999999995</v>
      </c>
      <c r="E182" s="2"/>
      <c r="F182" s="19">
        <f t="shared" si="7"/>
        <v>1.600809653829995E-4</v>
      </c>
      <c r="G182" s="2"/>
      <c r="H182" s="2"/>
      <c r="I182" s="2"/>
      <c r="J182" s="19">
        <f t="shared" si="8"/>
        <v>0</v>
      </c>
      <c r="K182" s="2"/>
      <c r="L182" s="2">
        <f t="shared" si="9"/>
        <v>596.04999999999995</v>
      </c>
      <c r="M182" s="2"/>
      <c r="N182" s="19">
        <f t="shared" si="10"/>
        <v>0</v>
      </c>
      <c r="O182" s="11"/>
      <c r="P182" s="2">
        <v>767.73</v>
      </c>
      <c r="Q182" s="2"/>
      <c r="R182" s="19">
        <f t="shared" si="11"/>
        <v>5.7048898362759264E-5</v>
      </c>
      <c r="S182" s="2"/>
      <c r="T182" s="2"/>
      <c r="U182" s="2"/>
      <c r="V182" s="19">
        <f t="shared" si="12"/>
        <v>0</v>
      </c>
      <c r="W182" s="2"/>
      <c r="X182" s="2">
        <f t="shared" si="13"/>
        <v>767.73</v>
      </c>
      <c r="Y182" s="2"/>
      <c r="Z182" s="19">
        <f t="shared" si="14"/>
        <v>0</v>
      </c>
    </row>
    <row r="183" spans="1:26" s="24" customFormat="1" hidden="1" outlineLevel="1" x14ac:dyDescent="0.25">
      <c r="A183" s="44"/>
      <c r="B183" s="11" t="str">
        <f>CONCATENATE("          ", "5543", " - ", "FREIGHT-IN-CARDS")</f>
        <v xml:space="preserve">          5543 - FREIGHT-IN-CARDS</v>
      </c>
      <c r="C183" s="11"/>
      <c r="D183" s="2"/>
      <c r="E183" s="2"/>
      <c r="F183" s="19">
        <f t="shared" si="7"/>
        <v>0</v>
      </c>
      <c r="G183" s="2"/>
      <c r="H183" s="2"/>
      <c r="I183" s="2"/>
      <c r="J183" s="19">
        <f t="shared" si="8"/>
        <v>0</v>
      </c>
      <c r="K183" s="2"/>
      <c r="L183" s="2">
        <f t="shared" si="9"/>
        <v>0</v>
      </c>
      <c r="M183" s="2"/>
      <c r="N183" s="19">
        <f t="shared" si="10"/>
        <v>0</v>
      </c>
      <c r="O183" s="11"/>
      <c r="P183" s="2">
        <v>4.58</v>
      </c>
      <c r="Q183" s="2"/>
      <c r="R183" s="19">
        <f t="shared" si="11"/>
        <v>3.4033313079004002E-7</v>
      </c>
      <c r="S183" s="2"/>
      <c r="T183" s="2"/>
      <c r="U183" s="2"/>
      <c r="V183" s="19">
        <f t="shared" si="12"/>
        <v>0</v>
      </c>
      <c r="W183" s="2"/>
      <c r="X183" s="2">
        <f t="shared" si="13"/>
        <v>4.58</v>
      </c>
      <c r="Y183" s="2"/>
      <c r="Z183" s="19">
        <f t="shared" si="14"/>
        <v>0</v>
      </c>
    </row>
    <row r="184" spans="1:26" s="24" customFormat="1" hidden="1" outlineLevel="1" x14ac:dyDescent="0.25">
      <c r="A184" s="44"/>
      <c r="B184" s="11" t="str">
        <f>CONCATENATE("          ", "5544", " - ", "FREIGHT-IN-ACCESSORIES")</f>
        <v xml:space="preserve">          5544 - FREIGHT-IN-ACCESSORIES</v>
      </c>
      <c r="C184" s="11"/>
      <c r="D184" s="2">
        <v>223.25</v>
      </c>
      <c r="E184" s="2"/>
      <c r="F184" s="19">
        <f t="shared" si="7"/>
        <v>5.9958183913689526E-5</v>
      </c>
      <c r="G184" s="2"/>
      <c r="H184" s="2"/>
      <c r="I184" s="2"/>
      <c r="J184" s="19">
        <f t="shared" si="8"/>
        <v>0</v>
      </c>
      <c r="K184" s="2"/>
      <c r="L184" s="2">
        <f t="shared" si="9"/>
        <v>223.25</v>
      </c>
      <c r="M184" s="2"/>
      <c r="N184" s="19">
        <f t="shared" si="10"/>
        <v>0</v>
      </c>
      <c r="O184" s="11"/>
      <c r="P184" s="2">
        <v>359.09</v>
      </c>
      <c r="Q184" s="2"/>
      <c r="R184" s="19">
        <f t="shared" si="11"/>
        <v>2.6683455007728267E-5</v>
      </c>
      <c r="S184" s="2"/>
      <c r="T184" s="2"/>
      <c r="U184" s="2"/>
      <c r="V184" s="19">
        <f t="shared" si="12"/>
        <v>0</v>
      </c>
      <c r="W184" s="2"/>
      <c r="X184" s="2">
        <f t="shared" si="13"/>
        <v>359.09</v>
      </c>
      <c r="Y184" s="2"/>
      <c r="Z184" s="19">
        <f t="shared" si="14"/>
        <v>0</v>
      </c>
    </row>
    <row r="185" spans="1:26" s="24" customFormat="1" hidden="1" outlineLevel="1" x14ac:dyDescent="0.25">
      <c r="A185" s="44"/>
      <c r="B185" s="11" t="str">
        <f>CONCATENATE("          ", "5545", " - ", "FREIGHT-IN-SPECIAL ORDERS")</f>
        <v xml:space="preserve">          5545 - FREIGHT-IN-SPECIAL ORDERS</v>
      </c>
      <c r="C185" s="11"/>
      <c r="D185" s="2">
        <v>84.47</v>
      </c>
      <c r="E185" s="2"/>
      <c r="F185" s="19">
        <f t="shared" si="7"/>
        <v>2.2686081949336412E-5</v>
      </c>
      <c r="G185" s="2"/>
      <c r="H185" s="2"/>
      <c r="I185" s="2"/>
      <c r="J185" s="19">
        <f t="shared" si="8"/>
        <v>0</v>
      </c>
      <c r="K185" s="2"/>
      <c r="L185" s="2">
        <f t="shared" si="9"/>
        <v>84.47</v>
      </c>
      <c r="M185" s="2"/>
      <c r="N185" s="19">
        <f t="shared" si="10"/>
        <v>0</v>
      </c>
      <c r="O185" s="11"/>
      <c r="P185" s="2">
        <v>346.98</v>
      </c>
      <c r="Q185" s="2"/>
      <c r="R185" s="19">
        <f t="shared" si="11"/>
        <v>2.5783578541818362E-5</v>
      </c>
      <c r="S185" s="2"/>
      <c r="T185" s="2"/>
      <c r="U185" s="2"/>
      <c r="V185" s="19">
        <f t="shared" si="12"/>
        <v>0</v>
      </c>
      <c r="W185" s="2"/>
      <c r="X185" s="2">
        <f t="shared" si="13"/>
        <v>346.98</v>
      </c>
      <c r="Y185" s="2"/>
      <c r="Z185" s="19">
        <f t="shared" si="14"/>
        <v>0</v>
      </c>
    </row>
    <row r="186" spans="1:26" s="24" customFormat="1" hidden="1" outlineLevel="1" x14ac:dyDescent="0.25">
      <c r="A186" s="44"/>
      <c r="B186" s="11" t="str">
        <f>CONCATENATE("          ", "5581", " - ", "FREIGHT-IN-ELECTRONICS")</f>
        <v xml:space="preserve">          5581 - FREIGHT-IN-ELECTRONICS</v>
      </c>
      <c r="C186" s="11"/>
      <c r="D186" s="2">
        <v>12.8</v>
      </c>
      <c r="E186" s="2"/>
      <c r="F186" s="19">
        <f t="shared" si="7"/>
        <v>3.4376920676157936E-6</v>
      </c>
      <c r="G186" s="2"/>
      <c r="H186" s="2"/>
      <c r="I186" s="2"/>
      <c r="J186" s="19">
        <f t="shared" si="8"/>
        <v>0</v>
      </c>
      <c r="K186" s="2"/>
      <c r="L186" s="2">
        <f t="shared" si="9"/>
        <v>12.8</v>
      </c>
      <c r="M186" s="2"/>
      <c r="N186" s="19">
        <f t="shared" si="10"/>
        <v>0</v>
      </c>
      <c r="O186" s="11"/>
      <c r="P186" s="2">
        <v>105.75</v>
      </c>
      <c r="Q186" s="2"/>
      <c r="R186" s="19">
        <f t="shared" si="11"/>
        <v>7.8581285111455744E-6</v>
      </c>
      <c r="S186" s="2"/>
      <c r="T186" s="2"/>
      <c r="U186" s="2"/>
      <c r="V186" s="19">
        <f t="shared" si="12"/>
        <v>0</v>
      </c>
      <c r="W186" s="2"/>
      <c r="X186" s="2">
        <f t="shared" si="13"/>
        <v>105.75</v>
      </c>
      <c r="Y186" s="2"/>
      <c r="Z186" s="19">
        <f t="shared" si="14"/>
        <v>0</v>
      </c>
    </row>
    <row r="187" spans="1:26" s="24" customFormat="1" hidden="1" outlineLevel="1" x14ac:dyDescent="0.25">
      <c r="A187" s="44"/>
      <c r="B187" s="11" t="str">
        <f>CONCATENATE("          ", "5582", " - ", "FREIGHT-IN-COMPUTER HARDWARE")</f>
        <v xml:space="preserve">          5582 - FREIGHT-IN-COMPUTER HARDWARE</v>
      </c>
      <c r="C187" s="11"/>
      <c r="D187" s="2"/>
      <c r="E187" s="2"/>
      <c r="F187" s="19">
        <f t="shared" si="7"/>
        <v>0</v>
      </c>
      <c r="G187" s="2"/>
      <c r="H187" s="2"/>
      <c r="I187" s="2"/>
      <c r="J187" s="19">
        <f t="shared" si="8"/>
        <v>0</v>
      </c>
      <c r="K187" s="2"/>
      <c r="L187" s="2">
        <f t="shared" si="9"/>
        <v>0</v>
      </c>
      <c r="M187" s="2"/>
      <c r="N187" s="19">
        <f t="shared" si="10"/>
        <v>0</v>
      </c>
      <c r="O187" s="11"/>
      <c r="P187" s="2">
        <v>4.84</v>
      </c>
      <c r="Q187" s="2"/>
      <c r="R187" s="19">
        <f t="shared" si="11"/>
        <v>3.5965335218860126E-7</v>
      </c>
      <c r="S187" s="2"/>
      <c r="T187" s="2"/>
      <c r="U187" s="2"/>
      <c r="V187" s="19">
        <f t="shared" si="12"/>
        <v>0</v>
      </c>
      <c r="W187" s="2"/>
      <c r="X187" s="2">
        <f t="shared" si="13"/>
        <v>4.84</v>
      </c>
      <c r="Y187" s="2"/>
      <c r="Z187" s="19">
        <f t="shared" si="14"/>
        <v>0</v>
      </c>
    </row>
    <row r="188" spans="1:26" s="24" customFormat="1" hidden="1" outlineLevel="1" x14ac:dyDescent="0.25">
      <c r="A188" s="44"/>
      <c r="B188" s="11" t="str">
        <f>CONCATENATE("          ", "5583", " - ", "FREIGHT-IN-COMPUTER EQUIPMENT")</f>
        <v xml:space="preserve">          5583 - FREIGHT-IN-COMPUTER EQUIPMENT</v>
      </c>
      <c r="C188" s="11"/>
      <c r="D188" s="2"/>
      <c r="E188" s="2"/>
      <c r="F188" s="19">
        <f t="shared" si="7"/>
        <v>0</v>
      </c>
      <c r="G188" s="2"/>
      <c r="H188" s="2"/>
      <c r="I188" s="2"/>
      <c r="J188" s="19">
        <f t="shared" si="8"/>
        <v>0</v>
      </c>
      <c r="K188" s="2"/>
      <c r="L188" s="2">
        <f t="shared" si="9"/>
        <v>0</v>
      </c>
      <c r="M188" s="2"/>
      <c r="N188" s="19">
        <f t="shared" si="10"/>
        <v>0</v>
      </c>
      <c r="O188" s="11"/>
      <c r="P188" s="2">
        <v>41</v>
      </c>
      <c r="Q188" s="2"/>
      <c r="R188" s="19">
        <f t="shared" si="11"/>
        <v>3.0466502974654239E-6</v>
      </c>
      <c r="S188" s="2"/>
      <c r="T188" s="2"/>
      <c r="U188" s="2"/>
      <c r="V188" s="19">
        <f t="shared" si="12"/>
        <v>0</v>
      </c>
      <c r="W188" s="2"/>
      <c r="X188" s="2">
        <f t="shared" si="13"/>
        <v>41</v>
      </c>
      <c r="Y188" s="2"/>
      <c r="Z188" s="19">
        <f t="shared" si="14"/>
        <v>0</v>
      </c>
    </row>
    <row r="189" spans="1:26" s="24" customFormat="1" hidden="1" outlineLevel="1" x14ac:dyDescent="0.25">
      <c r="A189" s="44"/>
      <c r="B189" s="11" t="str">
        <f>CONCATENATE("          ", "5586", " - ", "FREIGHT-IN-COMPUTER SUPPLIES")</f>
        <v xml:space="preserve">          5586 - FREIGHT-IN-COMPUTER SUPPLIES</v>
      </c>
      <c r="C189" s="11"/>
      <c r="D189" s="2">
        <v>60.12</v>
      </c>
      <c r="E189" s="2"/>
      <c r="F189" s="19">
        <f t="shared" si="7"/>
        <v>1.6146409930082928E-5</v>
      </c>
      <c r="G189" s="2"/>
      <c r="H189" s="2"/>
      <c r="I189" s="2"/>
      <c r="J189" s="19">
        <f t="shared" si="8"/>
        <v>0</v>
      </c>
      <c r="K189" s="2"/>
      <c r="L189" s="2">
        <f t="shared" si="9"/>
        <v>60.12</v>
      </c>
      <c r="M189" s="2"/>
      <c r="N189" s="19">
        <f t="shared" si="10"/>
        <v>0</v>
      </c>
      <c r="O189" s="11"/>
      <c r="P189" s="2">
        <v>162.51</v>
      </c>
      <c r="Q189" s="2"/>
      <c r="R189" s="19">
        <f t="shared" si="11"/>
        <v>1.2075881459539171E-5</v>
      </c>
      <c r="S189" s="2"/>
      <c r="T189" s="2"/>
      <c r="U189" s="2"/>
      <c r="V189" s="19">
        <f t="shared" si="12"/>
        <v>0</v>
      </c>
      <c r="W189" s="2"/>
      <c r="X189" s="2">
        <f t="shared" si="13"/>
        <v>162.51</v>
      </c>
      <c r="Y189" s="2"/>
      <c r="Z189" s="19">
        <f t="shared" si="14"/>
        <v>0</v>
      </c>
    </row>
    <row r="190" spans="1:26" s="24" customFormat="1" hidden="1" outlineLevel="1" x14ac:dyDescent="0.25">
      <c r="A190" s="44"/>
      <c r="B190" s="11" t="str">
        <f>CONCATENATE("          ", "5592", " - ", "FREIGHT-IN-GRAD MERCH")</f>
        <v xml:space="preserve">          5592 - FREIGHT-IN-GRAD MERCH</v>
      </c>
      <c r="C190" s="11"/>
      <c r="D190" s="2"/>
      <c r="E190" s="2"/>
      <c r="F190" s="19">
        <f t="shared" si="7"/>
        <v>0</v>
      </c>
      <c r="G190" s="2"/>
      <c r="H190" s="2"/>
      <c r="I190" s="2"/>
      <c r="J190" s="19">
        <f t="shared" si="8"/>
        <v>0</v>
      </c>
      <c r="K190" s="2"/>
      <c r="L190" s="2">
        <f t="shared" si="9"/>
        <v>0</v>
      </c>
      <c r="M190" s="2"/>
      <c r="N190" s="19">
        <f t="shared" si="10"/>
        <v>0</v>
      </c>
      <c r="O190" s="11"/>
      <c r="P190" s="2">
        <v>70.78</v>
      </c>
      <c r="Q190" s="2"/>
      <c r="R190" s="19">
        <f t="shared" si="11"/>
        <v>5.2595587330390903E-6</v>
      </c>
      <c r="S190" s="2"/>
      <c r="T190" s="2"/>
      <c r="U190" s="2"/>
      <c r="V190" s="19">
        <f t="shared" si="12"/>
        <v>0</v>
      </c>
      <c r="W190" s="2"/>
      <c r="X190" s="2">
        <f t="shared" si="13"/>
        <v>70.78</v>
      </c>
      <c r="Y190" s="2"/>
      <c r="Z190" s="19">
        <f t="shared" si="14"/>
        <v>0</v>
      </c>
    </row>
    <row r="191" spans="1:26" x14ac:dyDescent="0.25">
      <c r="A191" s="9"/>
      <c r="B191" s="10"/>
      <c r="C191" s="10"/>
      <c r="D191" s="3"/>
      <c r="E191" s="3"/>
      <c r="F191" s="8"/>
      <c r="G191" s="3"/>
      <c r="H191" s="3"/>
      <c r="I191" s="3"/>
      <c r="J191" s="8"/>
      <c r="K191" s="3"/>
      <c r="L191" s="3"/>
      <c r="M191" s="3"/>
      <c r="N191" s="8"/>
      <c r="O191" s="10"/>
      <c r="P191" s="3"/>
      <c r="Q191" s="3"/>
      <c r="R191" s="8"/>
      <c r="S191" s="3"/>
      <c r="T191" s="3"/>
      <c r="U191" s="3"/>
      <c r="V191" s="8"/>
      <c r="W191" s="3"/>
      <c r="X191" s="3"/>
      <c r="Y191" s="3"/>
      <c r="Z191" s="8"/>
    </row>
    <row r="192" spans="1:26" s="23" customFormat="1" x14ac:dyDescent="0.25">
      <c r="A192" s="10"/>
      <c r="B192" s="28" t="s">
        <v>6</v>
      </c>
      <c r="C192" s="28"/>
      <c r="D192" s="22">
        <f>D12-D132</f>
        <v>2482422.2699999996</v>
      </c>
      <c r="E192" s="14"/>
      <c r="F192" s="20">
        <f>IF(D$12=0,0,D192/D$12)</f>
        <v>0.66670338641029614</v>
      </c>
      <c r="G192" s="14"/>
      <c r="H192" s="22">
        <f>H12-H132</f>
        <v>2551631.9673800003</v>
      </c>
      <c r="I192" s="14"/>
      <c r="J192" s="20">
        <f>IF(H$12=0,0,H192/H$12)</f>
        <v>0.66309350858858807</v>
      </c>
      <c r="K192" s="16"/>
      <c r="L192" s="22">
        <f>+D192-H192</f>
        <v>-69209.697380000725</v>
      </c>
      <c r="M192" s="16"/>
      <c r="N192" s="20">
        <f>IF(H192=0,0,L192/H192)</f>
        <v>-2.7123698975704873E-2</v>
      </c>
      <c r="O192" s="29"/>
      <c r="P192" s="22">
        <f>P12-P132</f>
        <v>7213114.1499999976</v>
      </c>
      <c r="Q192" s="14"/>
      <c r="R192" s="20">
        <f>IF(P$12=0,0,P192/P$12)</f>
        <v>0.53599600904267197</v>
      </c>
      <c r="S192" s="14"/>
      <c r="T192" s="22">
        <f>T12-T132</f>
        <v>7768399.275390001</v>
      </c>
      <c r="U192" s="14"/>
      <c r="V192" s="20">
        <f>IF(T$12=0,0,T192/T$12)</f>
        <v>0.55395187440539762</v>
      </c>
      <c r="W192" s="16"/>
      <c r="X192" s="22">
        <f>+P192-T192</f>
        <v>-555285.12539000344</v>
      </c>
      <c r="Y192" s="16"/>
      <c r="Z192" s="20">
        <f>IF(T192=0,0,X192/T192)</f>
        <v>-7.147999294386502E-2</v>
      </c>
    </row>
    <row r="193" spans="1:26" x14ac:dyDescent="0.25">
      <c r="A193" s="9"/>
      <c r="B193" s="10"/>
      <c r="C193" s="9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6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3" customFormat="1" x14ac:dyDescent="0.25">
      <c r="A194" s="10"/>
      <c r="B194" s="29" t="s">
        <v>9</v>
      </c>
      <c r="C194" s="10"/>
      <c r="D194" s="21">
        <f>SUM(OSRRefD22x_0)</f>
        <v>1862720.9900000009</v>
      </c>
      <c r="E194" s="21"/>
      <c r="F194" s="35">
        <f t="shared" ref="F194:F205" si="15">IF(D$12=0,0,D194/D$12)</f>
        <v>0.50027040402378442</v>
      </c>
      <c r="G194" s="21"/>
      <c r="H194" s="21">
        <f>SUM(OSRRefH22x_0)</f>
        <v>1774889.2836611362</v>
      </c>
      <c r="I194" s="21"/>
      <c r="J194" s="35">
        <f t="shared" ref="J194:J205" si="16">IF(H$12=0,0,H194/H$12)</f>
        <v>0.46124111059307665</v>
      </c>
      <c r="K194" s="4"/>
      <c r="L194" s="21">
        <f t="shared" ref="L194:L205" si="17">+D194-H194</f>
        <v>87831.706338864751</v>
      </c>
      <c r="M194" s="4"/>
      <c r="N194" s="35">
        <f t="shared" ref="N194:N205" si="18">IF(H194=0,0,L194/H194)</f>
        <v>4.9485738151334557E-2</v>
      </c>
      <c r="O194" s="10"/>
      <c r="P194" s="21">
        <f>SUM(OSRRefP22x_0)</f>
        <v>6148200.4900000012</v>
      </c>
      <c r="Q194" s="21"/>
      <c r="R194" s="35">
        <f t="shared" ref="R194:R205" si="19">IF(P$12=0,0,P194/P$12)</f>
        <v>0.45686382565208705</v>
      </c>
      <c r="S194" s="21"/>
      <c r="T194" s="21">
        <f>SUM(OSRRefT22x_0)</f>
        <v>6237572.0488063842</v>
      </c>
      <c r="U194" s="21"/>
      <c r="V194" s="35">
        <f t="shared" ref="V194:V205" si="20">IF(T$12=0,0,T194/T$12)</f>
        <v>0.44479108316707161</v>
      </c>
      <c r="W194" s="4"/>
      <c r="X194" s="21">
        <f t="shared" ref="X194:X205" si="21">+P194-T194</f>
        <v>-89371.558806383051</v>
      </c>
      <c r="Y194" s="4"/>
      <c r="Z194" s="35">
        <f t="shared" ref="Z194:Z205" si="22">IF(T194=0,0,X194/T194)</f>
        <v>-1.4327940119502926E-2</v>
      </c>
    </row>
    <row r="195" spans="1:26" s="26" customFormat="1" outlineLevel="1" collapsed="1" x14ac:dyDescent="0.25">
      <c r="A195" s="25"/>
      <c r="B195" s="13" t="str">
        <f>CONCATENATE("     ","*Benefits                                         ")</f>
        <v xml:space="preserve">     *Benefits                                         </v>
      </c>
      <c r="C195" s="13"/>
      <c r="D195" s="1">
        <f>SUM(OSRRefD22_0x_0)</f>
        <v>257850.38999999998</v>
      </c>
      <c r="E195" s="1"/>
      <c r="F195" s="5">
        <f t="shared" si="15"/>
        <v>6.9250800026143644E-2</v>
      </c>
      <c r="G195" s="1"/>
      <c r="H195" s="1">
        <f>SUM(OSRRefH22_0x_0)</f>
        <v>243606.38590891552</v>
      </c>
      <c r="I195" s="1"/>
      <c r="J195" s="5">
        <f t="shared" si="16"/>
        <v>6.3306078310654754E-2</v>
      </c>
      <c r="K195" s="1"/>
      <c r="L195" s="1">
        <f t="shared" si="17"/>
        <v>14244.004091084469</v>
      </c>
      <c r="M195" s="1"/>
      <c r="N195" s="5">
        <f t="shared" si="18"/>
        <v>5.8471390386335378E-2</v>
      </c>
      <c r="O195" s="13"/>
      <c r="P195" s="1">
        <f>SUM(OSRRefP22_0x_0)</f>
        <v>958745.79</v>
      </c>
      <c r="Q195" s="1"/>
      <c r="R195" s="5">
        <f t="shared" si="19"/>
        <v>7.1243003568224952E-2</v>
      </c>
      <c r="S195" s="1"/>
      <c r="T195" s="1">
        <f>SUM(OSRRefT22_0x_0)</f>
        <v>907407.66386237391</v>
      </c>
      <c r="U195" s="1"/>
      <c r="V195" s="5">
        <f t="shared" si="20"/>
        <v>6.470575963297788E-2</v>
      </c>
      <c r="W195" s="1"/>
      <c r="X195" s="1">
        <f t="shared" si="21"/>
        <v>51338.126137626125</v>
      </c>
      <c r="Y195" s="1"/>
      <c r="Z195" s="5">
        <f t="shared" si="22"/>
        <v>5.6576694447461218E-2</v>
      </c>
    </row>
    <row r="196" spans="1:26" s="24" customFormat="1" hidden="1" outlineLevel="2" x14ac:dyDescent="0.25">
      <c r="A196" s="27"/>
      <c r="B196" s="11" t="str">
        <f>CONCATENATE("          ", "6111", " - ", "F.I.C.A.")</f>
        <v xml:space="preserve">          6111 - F.I.C.A.</v>
      </c>
      <c r="C196" s="11"/>
      <c r="D196" s="6">
        <v>68701.600000000006</v>
      </c>
      <c r="E196" s="2"/>
      <c r="F196" s="7">
        <f t="shared" si="15"/>
        <v>1.8451167605665095E-2</v>
      </c>
      <c r="G196" s="2"/>
      <c r="H196" s="6">
        <v>39468.085821419721</v>
      </c>
      <c r="I196" s="2"/>
      <c r="J196" s="7">
        <f t="shared" si="16"/>
        <v>1.0256585526114474E-2</v>
      </c>
      <c r="K196" s="2"/>
      <c r="L196" s="6">
        <f t="shared" si="17"/>
        <v>29233.514178580284</v>
      </c>
      <c r="M196" s="2"/>
      <c r="N196" s="7">
        <f t="shared" si="18"/>
        <v>0.7406874078173552</v>
      </c>
      <c r="O196" s="11"/>
      <c r="P196" s="6">
        <v>186599.85</v>
      </c>
      <c r="Q196" s="2"/>
      <c r="R196" s="7">
        <f t="shared" si="19"/>
        <v>1.3865963134378134E-2</v>
      </c>
      <c r="S196" s="2"/>
      <c r="T196" s="6">
        <v>160595.09431200268</v>
      </c>
      <c r="U196" s="2"/>
      <c r="V196" s="7">
        <f t="shared" si="20"/>
        <v>1.1451774086364695E-2</v>
      </c>
      <c r="W196" s="2"/>
      <c r="X196" s="6">
        <f t="shared" si="21"/>
        <v>26004.755687997327</v>
      </c>
      <c r="Y196" s="2"/>
      <c r="Z196" s="7">
        <f t="shared" si="22"/>
        <v>0.16192745986048321</v>
      </c>
    </row>
    <row r="197" spans="1:26" s="24" customFormat="1" hidden="1" outlineLevel="2" x14ac:dyDescent="0.25">
      <c r="A197" s="27"/>
      <c r="B197" s="11" t="str">
        <f>CONCATENATE("          ", "6112", " - ", "COMPENSATION INSURANCE")</f>
        <v xml:space="preserve">          6112 - COMPENSATION INSURANCE</v>
      </c>
      <c r="C197" s="11"/>
      <c r="D197" s="6">
        <v>-3346.01</v>
      </c>
      <c r="E197" s="2"/>
      <c r="F197" s="7">
        <f t="shared" si="15"/>
        <v>-8.9863687774711888E-4</v>
      </c>
      <c r="G197" s="2"/>
      <c r="H197" s="6">
        <v>29924.852413521148</v>
      </c>
      <c r="I197" s="2"/>
      <c r="J197" s="7">
        <f t="shared" si="16"/>
        <v>7.7765820598540538E-3</v>
      </c>
      <c r="K197" s="2"/>
      <c r="L197" s="6">
        <f t="shared" si="17"/>
        <v>-33270.86241352115</v>
      </c>
      <c r="M197" s="2"/>
      <c r="N197" s="7">
        <f t="shared" si="18"/>
        <v>-1.1118137511177215</v>
      </c>
      <c r="O197" s="11"/>
      <c r="P197" s="6">
        <v>53296.4</v>
      </c>
      <c r="Q197" s="2"/>
      <c r="R197" s="7">
        <f t="shared" si="19"/>
        <v>3.9603778759472246E-3</v>
      </c>
      <c r="S197" s="2"/>
      <c r="T197" s="6">
        <v>96417.993791756147</v>
      </c>
      <c r="U197" s="2"/>
      <c r="V197" s="7">
        <f t="shared" si="20"/>
        <v>6.875409784426907E-3</v>
      </c>
      <c r="W197" s="2"/>
      <c r="X197" s="6">
        <f t="shared" si="21"/>
        <v>-43121.593791756146</v>
      </c>
      <c r="Y197" s="2"/>
      <c r="Z197" s="7">
        <f t="shared" si="22"/>
        <v>-0.44723595768742386</v>
      </c>
    </row>
    <row r="198" spans="1:26" s="24" customFormat="1" hidden="1" outlineLevel="2" x14ac:dyDescent="0.25">
      <c r="A198" s="27"/>
      <c r="B198" s="11" t="str">
        <f>CONCATENATE("          ", "6113", " - ", "GROUP INSURANCE")</f>
        <v xml:space="preserve">          6113 - GROUP INSURANCE</v>
      </c>
      <c r="C198" s="11"/>
      <c r="D198" s="6">
        <v>93374.51</v>
      </c>
      <c r="E198" s="2"/>
      <c r="F198" s="7">
        <f t="shared" si="15"/>
        <v>2.5077563464414965E-2</v>
      </c>
      <c r="G198" s="2"/>
      <c r="H198" s="6">
        <v>100071.21538461538</v>
      </c>
      <c r="I198" s="2"/>
      <c r="J198" s="7">
        <f t="shared" si="16"/>
        <v>2.6005542400475336E-2</v>
      </c>
      <c r="K198" s="2"/>
      <c r="L198" s="6">
        <f t="shared" si="17"/>
        <v>-6696.7053846153867</v>
      </c>
      <c r="M198" s="2"/>
      <c r="N198" s="7">
        <f t="shared" si="18"/>
        <v>-6.6919396940240586E-2</v>
      </c>
      <c r="O198" s="11"/>
      <c r="P198" s="6">
        <v>373725.63</v>
      </c>
      <c r="Q198" s="2"/>
      <c r="R198" s="7">
        <f t="shared" si="19"/>
        <v>2.7771007361218365E-2</v>
      </c>
      <c r="S198" s="2"/>
      <c r="T198" s="6">
        <v>384168.94230769225</v>
      </c>
      <c r="U198" s="2"/>
      <c r="V198" s="7">
        <f t="shared" si="20"/>
        <v>2.7394460317437957E-2</v>
      </c>
      <c r="W198" s="2"/>
      <c r="X198" s="6">
        <f t="shared" si="21"/>
        <v>-10443.312307692249</v>
      </c>
      <c r="Y198" s="2"/>
      <c r="Z198" s="7">
        <f t="shared" si="22"/>
        <v>-2.7184166020708389E-2</v>
      </c>
    </row>
    <row r="199" spans="1:26" s="24" customFormat="1" hidden="1" outlineLevel="2" x14ac:dyDescent="0.25">
      <c r="A199" s="27"/>
      <c r="B199" s="11" t="str">
        <f>CONCATENATE("          ", "6114", " - ", "STATE UNEMPLOYMENT INSURANCE")</f>
        <v xml:space="preserve">          6114 - STATE UNEMPLOYMENT INSURANCE</v>
      </c>
      <c r="C199" s="11"/>
      <c r="D199" s="6">
        <v>2593.4</v>
      </c>
      <c r="E199" s="2"/>
      <c r="F199" s="7">
        <f t="shared" si="15"/>
        <v>6.9650864126209364E-4</v>
      </c>
      <c r="G199" s="2"/>
      <c r="H199" s="6">
        <v>2464.2070000384238</v>
      </c>
      <c r="I199" s="2"/>
      <c r="J199" s="7">
        <f t="shared" si="16"/>
        <v>6.4037435117330732E-4</v>
      </c>
      <c r="K199" s="2"/>
      <c r="L199" s="6">
        <f t="shared" si="17"/>
        <v>129.19299996157633</v>
      </c>
      <c r="M199" s="2"/>
      <c r="N199" s="7">
        <f t="shared" si="18"/>
        <v>5.242781956205865E-2</v>
      </c>
      <c r="O199" s="11"/>
      <c r="P199" s="6">
        <v>7628.11</v>
      </c>
      <c r="Q199" s="2"/>
      <c r="R199" s="7">
        <f t="shared" si="19"/>
        <v>5.6683374635607253E-4</v>
      </c>
      <c r="S199" s="2"/>
      <c r="T199" s="6">
        <v>8152.5398699475681</v>
      </c>
      <c r="U199" s="2"/>
      <c r="V199" s="7">
        <f t="shared" si="20"/>
        <v>5.8134431329103723E-4</v>
      </c>
      <c r="W199" s="2"/>
      <c r="X199" s="6">
        <f t="shared" si="21"/>
        <v>-524.42986994756848</v>
      </c>
      <c r="Y199" s="2"/>
      <c r="Z199" s="7">
        <f t="shared" si="22"/>
        <v>-6.4327176354053356E-2</v>
      </c>
    </row>
    <row r="200" spans="1:26" s="24" customFormat="1" hidden="1" outlineLevel="2" x14ac:dyDescent="0.25">
      <c r="A200" s="27"/>
      <c r="B200" s="11" t="str">
        <f>CONCATENATE("          ", "6115", " - ", "P.E.R.S.")</f>
        <v xml:space="preserve">          6115 - P.E.R.S.</v>
      </c>
      <c r="C200" s="11"/>
      <c r="D200" s="6">
        <v>31711.139999999996</v>
      </c>
      <c r="E200" s="2"/>
      <c r="F200" s="7">
        <f t="shared" si="15"/>
        <v>8.5166511275823337E-3</v>
      </c>
      <c r="G200" s="2"/>
      <c r="H200" s="6">
        <v>22864.080113057695</v>
      </c>
      <c r="I200" s="2"/>
      <c r="J200" s="7">
        <f t="shared" si="16"/>
        <v>5.9416966461606257E-3</v>
      </c>
      <c r="K200" s="2"/>
      <c r="L200" s="6">
        <f t="shared" si="17"/>
        <v>8847.0598869423011</v>
      </c>
      <c r="M200" s="2"/>
      <c r="N200" s="7">
        <f t="shared" si="18"/>
        <v>0.38694143141537268</v>
      </c>
      <c r="O200" s="11"/>
      <c r="P200" s="6">
        <v>87252.32</v>
      </c>
      <c r="Q200" s="2"/>
      <c r="R200" s="7">
        <f t="shared" si="19"/>
        <v>6.4835928459158138E-3</v>
      </c>
      <c r="S200" s="2"/>
      <c r="T200" s="6">
        <v>82310.688407007692</v>
      </c>
      <c r="U200" s="2"/>
      <c r="V200" s="7">
        <f t="shared" si="20"/>
        <v>5.8694408603722874E-3</v>
      </c>
      <c r="W200" s="2"/>
      <c r="X200" s="6">
        <f t="shared" si="21"/>
        <v>4941.6315929923148</v>
      </c>
      <c r="Y200" s="2"/>
      <c r="Z200" s="7">
        <f t="shared" si="22"/>
        <v>6.0036329286387045E-2</v>
      </c>
    </row>
    <row r="201" spans="1:26" s="24" customFormat="1" hidden="1" outlineLevel="2" x14ac:dyDescent="0.25">
      <c r="A201" s="27"/>
      <c r="B201" s="11" t="str">
        <f>CONCATENATE("          ", "6116", " - ", "EDUCATIONAL BENEFITS")</f>
        <v xml:space="preserve">          6116 - EDUCATIONAL BENEFITS</v>
      </c>
      <c r="C201" s="11"/>
      <c r="D201" s="6"/>
      <c r="E201" s="2"/>
      <c r="F201" s="7">
        <f t="shared" si="15"/>
        <v>0</v>
      </c>
      <c r="G201" s="2"/>
      <c r="H201" s="6">
        <v>0</v>
      </c>
      <c r="I201" s="2"/>
      <c r="J201" s="7">
        <f t="shared" si="16"/>
        <v>0</v>
      </c>
      <c r="K201" s="2"/>
      <c r="L201" s="6">
        <f t="shared" si="17"/>
        <v>0</v>
      </c>
      <c r="M201" s="2"/>
      <c r="N201" s="7">
        <f t="shared" si="18"/>
        <v>0</v>
      </c>
      <c r="O201" s="11"/>
      <c r="P201" s="6"/>
      <c r="Q201" s="2"/>
      <c r="R201" s="7">
        <f t="shared" si="19"/>
        <v>0</v>
      </c>
      <c r="S201" s="2"/>
      <c r="T201" s="6">
        <v>8000</v>
      </c>
      <c r="U201" s="2"/>
      <c r="V201" s="7">
        <f t="shared" si="20"/>
        <v>5.704669441080831E-4</v>
      </c>
      <c r="W201" s="2"/>
      <c r="X201" s="6">
        <f t="shared" si="21"/>
        <v>-8000</v>
      </c>
      <c r="Y201" s="2"/>
      <c r="Z201" s="7">
        <f t="shared" si="22"/>
        <v>-1</v>
      </c>
    </row>
    <row r="202" spans="1:26" s="24" customFormat="1" hidden="1" outlineLevel="2" x14ac:dyDescent="0.25">
      <c r="A202" s="27"/>
      <c r="B202" s="11" t="str">
        <f>CONCATENATE("          ", "6117", " - ", "RETIREMENT STAFF HOURLY")</f>
        <v xml:space="preserve">          6117 - RETIREMENT STAFF HOURLY</v>
      </c>
      <c r="C202" s="11"/>
      <c r="D202" s="6">
        <v>1954.23</v>
      </c>
      <c r="E202" s="2"/>
      <c r="F202" s="7">
        <f t="shared" si="15"/>
        <v>5.2484695072631347E-4</v>
      </c>
      <c r="G202" s="2"/>
      <c r="H202" s="6"/>
      <c r="I202" s="2"/>
      <c r="J202" s="7">
        <f t="shared" si="16"/>
        <v>0</v>
      </c>
      <c r="K202" s="2"/>
      <c r="L202" s="6">
        <f t="shared" si="17"/>
        <v>1954.23</v>
      </c>
      <c r="M202" s="2"/>
      <c r="N202" s="7">
        <f t="shared" si="18"/>
        <v>0</v>
      </c>
      <c r="O202" s="11"/>
      <c r="P202" s="6">
        <v>7996.4</v>
      </c>
      <c r="Q202" s="2"/>
      <c r="R202" s="7">
        <f t="shared" si="19"/>
        <v>5.942008399671345E-4</v>
      </c>
      <c r="S202" s="2"/>
      <c r="T202" s="6"/>
      <c r="U202" s="2"/>
      <c r="V202" s="7">
        <f t="shared" si="20"/>
        <v>0</v>
      </c>
      <c r="W202" s="2"/>
      <c r="X202" s="6">
        <f t="shared" si="21"/>
        <v>7996.4</v>
      </c>
      <c r="Y202" s="2"/>
      <c r="Z202" s="7">
        <f t="shared" si="22"/>
        <v>0</v>
      </c>
    </row>
    <row r="203" spans="1:26" s="24" customFormat="1" hidden="1" outlineLevel="2" x14ac:dyDescent="0.25">
      <c r="A203" s="27"/>
      <c r="B203" s="11" t="str">
        <f>CONCATENATE("          ", "6118", " - ", "VACATION")</f>
        <v xml:space="preserve">          6118 - VACATION</v>
      </c>
      <c r="C203" s="11"/>
      <c r="D203" s="6">
        <v>30937.859999999997</v>
      </c>
      <c r="E203" s="2"/>
      <c r="F203" s="7">
        <f t="shared" si="15"/>
        <v>8.3089715555474952E-3</v>
      </c>
      <c r="G203" s="2"/>
      <c r="H203" s="6">
        <v>17478.635809826916</v>
      </c>
      <c r="I203" s="2"/>
      <c r="J203" s="7">
        <f t="shared" si="16"/>
        <v>4.5421793160793384E-3</v>
      </c>
      <c r="K203" s="2"/>
      <c r="L203" s="6">
        <f t="shared" si="17"/>
        <v>13459.224190173081</v>
      </c>
      <c r="M203" s="2"/>
      <c r="N203" s="7">
        <f t="shared" si="18"/>
        <v>0.7700385966395602</v>
      </c>
      <c r="O203" s="11"/>
      <c r="P203" s="6">
        <v>104837.95999999999</v>
      </c>
      <c r="Q203" s="2"/>
      <c r="R203" s="7">
        <f t="shared" si="19"/>
        <v>7.790356146821175E-3</v>
      </c>
      <c r="S203" s="2"/>
      <c r="T203" s="6">
        <v>63084.177627376899</v>
      </c>
      <c r="U203" s="2"/>
      <c r="V203" s="7">
        <f t="shared" si="20"/>
        <v>4.4984297540826505E-3</v>
      </c>
      <c r="W203" s="2"/>
      <c r="X203" s="6">
        <f t="shared" si="21"/>
        <v>41753.782372623093</v>
      </c>
      <c r="Y203" s="2"/>
      <c r="Z203" s="7">
        <f t="shared" si="22"/>
        <v>0.66187408543633031</v>
      </c>
    </row>
    <row r="204" spans="1:26" s="24" customFormat="1" hidden="1" outlineLevel="2" x14ac:dyDescent="0.25">
      <c r="A204" s="27"/>
      <c r="B204" s="11" t="str">
        <f>CONCATENATE("          ", "6119", " - ", "SICK LEAVE")</f>
        <v xml:space="preserve">          6119 - SICK LEAVE</v>
      </c>
      <c r="C204" s="11"/>
      <c r="D204" s="6">
        <v>21819.96</v>
      </c>
      <c r="E204" s="2"/>
      <c r="F204" s="7">
        <f t="shared" si="15"/>
        <v>5.8601799537260869E-3</v>
      </c>
      <c r="G204" s="2"/>
      <c r="H204" s="6">
        <v>26410.309366436239</v>
      </c>
      <c r="I204" s="2"/>
      <c r="J204" s="7">
        <f t="shared" si="16"/>
        <v>6.8632565058674919E-3</v>
      </c>
      <c r="K204" s="2"/>
      <c r="L204" s="6">
        <f t="shared" si="17"/>
        <v>-4590.3493664362395</v>
      </c>
      <c r="M204" s="2"/>
      <c r="N204" s="7">
        <f t="shared" si="18"/>
        <v>-0.17380899643189804</v>
      </c>
      <c r="O204" s="11"/>
      <c r="P204" s="6">
        <v>101414.38</v>
      </c>
      <c r="Q204" s="2"/>
      <c r="R204" s="7">
        <f t="shared" si="19"/>
        <v>7.5359549022993057E-3</v>
      </c>
      <c r="S204" s="2"/>
      <c r="T204" s="6">
        <v>84853.227546590628</v>
      </c>
      <c r="U204" s="2"/>
      <c r="V204" s="7">
        <f t="shared" si="20"/>
        <v>6.050745177026421E-3</v>
      </c>
      <c r="W204" s="2"/>
      <c r="X204" s="6">
        <f t="shared" si="21"/>
        <v>16561.152453409377</v>
      </c>
      <c r="Y204" s="2"/>
      <c r="Z204" s="7">
        <f t="shared" si="22"/>
        <v>0.19517410158990231</v>
      </c>
    </row>
    <row r="205" spans="1:26" s="24" customFormat="1" hidden="1" outlineLevel="2" x14ac:dyDescent="0.25">
      <c r="A205" s="27"/>
      <c r="B205" s="11" t="str">
        <f>CONCATENATE("          ", "6156", " - ", "EMPLOYEE MEALS")</f>
        <v xml:space="preserve">          6156 - EMPLOYEE MEALS</v>
      </c>
      <c r="C205" s="11"/>
      <c r="D205" s="6">
        <v>10103.700000000001</v>
      </c>
      <c r="E205" s="2"/>
      <c r="F205" s="7">
        <f t="shared" si="15"/>
        <v>2.7135476049663823E-3</v>
      </c>
      <c r="G205" s="2"/>
      <c r="H205" s="6">
        <v>4925</v>
      </c>
      <c r="I205" s="2"/>
      <c r="J205" s="7">
        <f t="shared" si="16"/>
        <v>1.2798615049301302E-3</v>
      </c>
      <c r="K205" s="2"/>
      <c r="L205" s="6">
        <f t="shared" si="17"/>
        <v>5178.7000000000007</v>
      </c>
      <c r="M205" s="2"/>
      <c r="N205" s="7">
        <f t="shared" si="18"/>
        <v>1.05151269035533</v>
      </c>
      <c r="O205" s="11"/>
      <c r="P205" s="6">
        <v>35994.74</v>
      </c>
      <c r="Q205" s="2"/>
      <c r="R205" s="7">
        <f t="shared" si="19"/>
        <v>2.6747167153217217E-3</v>
      </c>
      <c r="S205" s="2"/>
      <c r="T205" s="6">
        <v>19825</v>
      </c>
      <c r="U205" s="2"/>
      <c r="V205" s="7">
        <f t="shared" si="20"/>
        <v>1.4136883958678435E-3</v>
      </c>
      <c r="W205" s="2"/>
      <c r="X205" s="6">
        <f t="shared" si="21"/>
        <v>16169.739999999998</v>
      </c>
      <c r="Y205" s="2"/>
      <c r="Z205" s="7">
        <f t="shared" si="22"/>
        <v>0.81562370744010082</v>
      </c>
    </row>
    <row r="206" spans="1:26" s="26" customFormat="1" outlineLevel="1" collapsed="1" x14ac:dyDescent="0.25">
      <c r="A206" s="25"/>
      <c r="B206" s="13" t="str">
        <f>CONCATENATE("     ","*Payroll                                          ")</f>
        <v xml:space="preserve">     *Payroll                                          </v>
      </c>
      <c r="C206" s="13"/>
      <c r="D206" s="1">
        <f>SUM(OSRRefD22_1x_0)</f>
        <v>957117.34</v>
      </c>
      <c r="E206" s="1"/>
      <c r="F206" s="5">
        <f t="shared" ref="F206:F216" si="23">IF(D$12=0,0,D206/D$12)</f>
        <v>0.25705270996058815</v>
      </c>
      <c r="G206" s="1"/>
      <c r="H206" s="1">
        <f>SUM(OSRRefH22_1x_0)</f>
        <v>904980.62775222072</v>
      </c>
      <c r="I206" s="1"/>
      <c r="J206" s="5">
        <f t="shared" ref="J206:J216" si="24">IF(H$12=0,0,H206/H$12)</f>
        <v>0.23517763820661344</v>
      </c>
      <c r="K206" s="1"/>
      <c r="L206" s="1">
        <f t="shared" ref="L206:L216" si="25">+D206-H206</f>
        <v>52136.712247779244</v>
      </c>
      <c r="M206" s="1"/>
      <c r="N206" s="5">
        <f t="shared" ref="N206:N216" si="26">IF(H206=0,0,L206/H206)</f>
        <v>5.7610859999595504E-2</v>
      </c>
      <c r="O206" s="13"/>
      <c r="P206" s="1">
        <f>SUM(OSRRefP22_1x_0)</f>
        <v>3021583.71</v>
      </c>
      <c r="Q206" s="1"/>
      <c r="R206" s="5">
        <f t="shared" ref="R206:R216" si="27">IF(P$12=0,0,P206/P$12)</f>
        <v>0.22452948558263849</v>
      </c>
      <c r="S206" s="1"/>
      <c r="T206" s="1">
        <f>SUM(OSRRefT22_1x_0)</f>
        <v>2989480.2849440109</v>
      </c>
      <c r="U206" s="1"/>
      <c r="V206" s="5">
        <f t="shared" ref="V206:V216" si="28">IF(T$12=0,0,T206/T$12)</f>
        <v>0.21317496032792141</v>
      </c>
      <c r="W206" s="1"/>
      <c r="X206" s="1">
        <f t="shared" ref="X206:X216" si="29">+P206-T206</f>
        <v>32103.425055989064</v>
      </c>
      <c r="Y206" s="1"/>
      <c r="Z206" s="5">
        <f t="shared" ref="Z206:Z216" si="30">IF(T206=0,0,X206/T206)</f>
        <v>1.0738798050508074E-2</v>
      </c>
    </row>
    <row r="207" spans="1:26" s="24" customFormat="1" hidden="1" outlineLevel="2" x14ac:dyDescent="0.25">
      <c r="A207" s="27"/>
      <c r="B207" s="11" t="str">
        <f>CONCATENATE("          ", "6001", " - ", "ADMINISTRATIVE SALARIES")</f>
        <v xml:space="preserve">          6001 - ADMINISTRATIVE SALARIES</v>
      </c>
      <c r="C207" s="11"/>
      <c r="D207" s="6">
        <v>39846.089999999997</v>
      </c>
      <c r="E207" s="2"/>
      <c r="F207" s="7">
        <f t="shared" si="23"/>
        <v>1.0701452149883202E-2</v>
      </c>
      <c r="G207" s="2"/>
      <c r="H207" s="6">
        <v>75834.619788846161</v>
      </c>
      <c r="I207" s="2"/>
      <c r="J207" s="7">
        <f t="shared" si="24"/>
        <v>1.9707169666752667E-2</v>
      </c>
      <c r="K207" s="2"/>
      <c r="L207" s="6">
        <f t="shared" si="25"/>
        <v>-35988.529788846165</v>
      </c>
      <c r="M207" s="2"/>
      <c r="N207" s="7">
        <f t="shared" si="26"/>
        <v>-0.47456596853854599</v>
      </c>
      <c r="O207" s="11"/>
      <c r="P207" s="6">
        <v>146476.41</v>
      </c>
      <c r="Q207" s="2"/>
      <c r="R207" s="7">
        <f t="shared" si="27"/>
        <v>1.0884448734101644E-2</v>
      </c>
      <c r="S207" s="2"/>
      <c r="T207" s="6">
        <v>273004.63123984617</v>
      </c>
      <c r="U207" s="2"/>
      <c r="V207" s="7">
        <f t="shared" si="28"/>
        <v>1.9467514713843646E-2</v>
      </c>
      <c r="W207" s="2"/>
      <c r="X207" s="6">
        <f t="shared" si="29"/>
        <v>-126528.22123984617</v>
      </c>
      <c r="Y207" s="2"/>
      <c r="Z207" s="7">
        <f t="shared" si="30"/>
        <v>-0.46346547553138667</v>
      </c>
    </row>
    <row r="208" spans="1:26" s="24" customFormat="1" hidden="1" outlineLevel="2" x14ac:dyDescent="0.25">
      <c r="A208" s="27"/>
      <c r="B208" s="11" t="str">
        <f>CONCATENATE("          ", "6002", " - ", "STAFF SALARIES")</f>
        <v xml:space="preserve">          6002 - STAFF SALARIES</v>
      </c>
      <c r="C208" s="11"/>
      <c r="D208" s="6">
        <v>213778.99</v>
      </c>
      <c r="E208" s="2"/>
      <c r="F208" s="7">
        <f t="shared" si="23"/>
        <v>5.741455766764969E-2</v>
      </c>
      <c r="G208" s="2"/>
      <c r="H208" s="6">
        <v>167917.87953513453</v>
      </c>
      <c r="I208" s="2"/>
      <c r="J208" s="7">
        <f t="shared" si="24"/>
        <v>4.3636879189139818E-2</v>
      </c>
      <c r="K208" s="2"/>
      <c r="L208" s="6">
        <f t="shared" si="25"/>
        <v>45861.110464865458</v>
      </c>
      <c r="M208" s="2"/>
      <c r="N208" s="7">
        <f t="shared" si="26"/>
        <v>0.2731163029918422</v>
      </c>
      <c r="O208" s="11"/>
      <c r="P208" s="6">
        <v>755841.06</v>
      </c>
      <c r="Q208" s="2"/>
      <c r="R208" s="7">
        <f t="shared" si="27"/>
        <v>5.6165448543550767E-2</v>
      </c>
      <c r="S208" s="2"/>
      <c r="T208" s="6">
        <v>604504.36632648448</v>
      </c>
      <c r="U208" s="2"/>
      <c r="V208" s="7">
        <f t="shared" si="28"/>
        <v>4.3106219819782847E-2</v>
      </c>
      <c r="W208" s="2"/>
      <c r="X208" s="6">
        <f t="shared" si="29"/>
        <v>151336.69367351558</v>
      </c>
      <c r="Y208" s="2"/>
      <c r="Z208" s="7">
        <f t="shared" si="30"/>
        <v>0.25034838804089088</v>
      </c>
    </row>
    <row r="209" spans="1:26" s="24" customFormat="1" hidden="1" outlineLevel="2" x14ac:dyDescent="0.25">
      <c r="A209" s="27"/>
      <c r="B209" s="11" t="str">
        <f>CONCATENATE("          ", "6003", " - ", "STAFF HOURLY-9 MONTH")</f>
        <v xml:space="preserve">          6003 - STAFF HOURLY-9 MONTH</v>
      </c>
      <c r="C209" s="11"/>
      <c r="D209" s="6"/>
      <c r="E209" s="2"/>
      <c r="F209" s="7">
        <f t="shared" si="23"/>
        <v>0</v>
      </c>
      <c r="G209" s="2"/>
      <c r="H209" s="6">
        <v>0</v>
      </c>
      <c r="I209" s="2"/>
      <c r="J209" s="7">
        <f t="shared" si="24"/>
        <v>0</v>
      </c>
      <c r="K209" s="2"/>
      <c r="L209" s="6">
        <f t="shared" si="25"/>
        <v>0</v>
      </c>
      <c r="M209" s="2"/>
      <c r="N209" s="7">
        <f t="shared" si="26"/>
        <v>0</v>
      </c>
      <c r="O209" s="11"/>
      <c r="P209" s="6"/>
      <c r="Q209" s="2"/>
      <c r="R209" s="7">
        <f t="shared" si="27"/>
        <v>0</v>
      </c>
      <c r="S209" s="2"/>
      <c r="T209" s="6">
        <v>0</v>
      </c>
      <c r="U209" s="2"/>
      <c r="V209" s="7">
        <f t="shared" si="28"/>
        <v>0</v>
      </c>
      <c r="W209" s="2"/>
      <c r="X209" s="6">
        <f t="shared" si="29"/>
        <v>0</v>
      </c>
      <c r="Y209" s="2"/>
      <c r="Z209" s="7">
        <f t="shared" si="30"/>
        <v>0</v>
      </c>
    </row>
    <row r="210" spans="1:26" s="24" customFormat="1" hidden="1" outlineLevel="2" x14ac:dyDescent="0.25">
      <c r="A210" s="27"/>
      <c r="B210" s="11" t="str">
        <f>CONCATENATE("          ", "6004", " - ", "STAFF HOURLY")</f>
        <v xml:space="preserve">          6004 - STAFF HOURLY</v>
      </c>
      <c r="C210" s="11"/>
      <c r="D210" s="6">
        <v>130620.26000000001</v>
      </c>
      <c r="E210" s="2"/>
      <c r="F210" s="7">
        <f t="shared" si="23"/>
        <v>3.5080643099368168E-2</v>
      </c>
      <c r="G210" s="2"/>
      <c r="H210" s="6">
        <v>188207.07673</v>
      </c>
      <c r="I210" s="2"/>
      <c r="J210" s="7">
        <f t="shared" si="24"/>
        <v>4.8909440093839247E-2</v>
      </c>
      <c r="K210" s="2"/>
      <c r="L210" s="6">
        <f t="shared" si="25"/>
        <v>-57586.816729999991</v>
      </c>
      <c r="M210" s="2"/>
      <c r="N210" s="7">
        <f t="shared" si="26"/>
        <v>-0.30597583114588972</v>
      </c>
      <c r="O210" s="11"/>
      <c r="P210" s="6">
        <v>336427.16000000003</v>
      </c>
      <c r="Q210" s="2"/>
      <c r="R210" s="7">
        <f t="shared" si="27"/>
        <v>2.4999412368035313E-2</v>
      </c>
      <c r="S210" s="2"/>
      <c r="T210" s="6">
        <v>671648.56905399996</v>
      </c>
      <c r="U210" s="2"/>
      <c r="V210" s="7">
        <f t="shared" si="28"/>
        <v>4.7894163337850272E-2</v>
      </c>
      <c r="W210" s="2"/>
      <c r="X210" s="6">
        <f t="shared" si="29"/>
        <v>-335221.40905399993</v>
      </c>
      <c r="Y210" s="2"/>
      <c r="Z210" s="7">
        <f t="shared" si="30"/>
        <v>-0.49910239446523474</v>
      </c>
    </row>
    <row r="211" spans="1:26" s="24" customFormat="1" hidden="1" outlineLevel="2" x14ac:dyDescent="0.25">
      <c r="A211" s="27"/>
      <c r="B211" s="11" t="str">
        <f>CONCATENATE("          ", "6005", " - ", "TEMPORARY WAGES-HOURLY")</f>
        <v xml:space="preserve">          6005 - TEMPORARY WAGES-HOURLY</v>
      </c>
      <c r="C211" s="11"/>
      <c r="D211" s="6">
        <v>204868.69999999998</v>
      </c>
      <c r="E211" s="2"/>
      <c r="F211" s="7">
        <f t="shared" si="23"/>
        <v>5.502152381974685E-2</v>
      </c>
      <c r="G211" s="2"/>
      <c r="H211" s="6">
        <v>82686.551770000005</v>
      </c>
      <c r="I211" s="2"/>
      <c r="J211" s="7">
        <f t="shared" si="24"/>
        <v>2.1487783672250828E-2</v>
      </c>
      <c r="K211" s="2"/>
      <c r="L211" s="6">
        <f t="shared" si="25"/>
        <v>122182.14822999998</v>
      </c>
      <c r="M211" s="2"/>
      <c r="N211" s="7">
        <f t="shared" si="26"/>
        <v>1.4776544143461259</v>
      </c>
      <c r="O211" s="11"/>
      <c r="P211" s="6">
        <v>535259.53999999992</v>
      </c>
      <c r="Q211" s="2"/>
      <c r="R211" s="7">
        <f t="shared" si="27"/>
        <v>3.9774356994200136E-2</v>
      </c>
      <c r="S211" s="2"/>
      <c r="T211" s="6">
        <v>230812.98089000001</v>
      </c>
      <c r="U211" s="2"/>
      <c r="V211" s="7">
        <f t="shared" si="28"/>
        <v>1.6458896983599459E-2</v>
      </c>
      <c r="W211" s="2"/>
      <c r="X211" s="6">
        <f t="shared" si="29"/>
        <v>304446.55910999991</v>
      </c>
      <c r="Y211" s="2"/>
      <c r="Z211" s="7">
        <f t="shared" si="30"/>
        <v>1.3190183582226336</v>
      </c>
    </row>
    <row r="212" spans="1:26" s="24" customFormat="1" hidden="1" outlineLevel="2" x14ac:dyDescent="0.25">
      <c r="A212" s="27"/>
      <c r="B212" s="11" t="str">
        <f>CONCATENATE("          ", "6006", " - ", "TEMPORARY PART TIME")</f>
        <v xml:space="preserve">          6006 - TEMPORARY PART TIME</v>
      </c>
      <c r="C212" s="11"/>
      <c r="D212" s="6">
        <v>18317.53</v>
      </c>
      <c r="E212" s="2"/>
      <c r="F212" s="7">
        <f t="shared" si="23"/>
        <v>4.9195334046339316E-3</v>
      </c>
      <c r="G212" s="2"/>
      <c r="H212" s="6">
        <v>0</v>
      </c>
      <c r="I212" s="2"/>
      <c r="J212" s="7">
        <f t="shared" si="24"/>
        <v>0</v>
      </c>
      <c r="K212" s="2"/>
      <c r="L212" s="6">
        <f t="shared" si="25"/>
        <v>18317.53</v>
      </c>
      <c r="M212" s="2"/>
      <c r="N212" s="7">
        <f t="shared" si="26"/>
        <v>0</v>
      </c>
      <c r="O212" s="11"/>
      <c r="P212" s="6">
        <v>64764.42</v>
      </c>
      <c r="Q212" s="2"/>
      <c r="R212" s="7">
        <f t="shared" si="27"/>
        <v>4.8125497428823331E-3</v>
      </c>
      <c r="S212" s="2"/>
      <c r="T212" s="6">
        <v>0</v>
      </c>
      <c r="U212" s="2"/>
      <c r="V212" s="7">
        <f t="shared" si="28"/>
        <v>0</v>
      </c>
      <c r="W212" s="2"/>
      <c r="X212" s="6">
        <f t="shared" si="29"/>
        <v>64764.42</v>
      </c>
      <c r="Y212" s="2"/>
      <c r="Z212" s="7">
        <f t="shared" si="30"/>
        <v>0</v>
      </c>
    </row>
    <row r="213" spans="1:26" s="24" customFormat="1" hidden="1" outlineLevel="2" x14ac:dyDescent="0.25">
      <c r="A213" s="27"/>
      <c r="B213" s="11" t="str">
        <f>CONCATENATE("          ", "6007", " - ", "STUDENT HOURLY")</f>
        <v xml:space="preserve">          6007 - STUDENT HOURLY</v>
      </c>
      <c r="C213" s="11"/>
      <c r="D213" s="6">
        <v>302913.64</v>
      </c>
      <c r="E213" s="2"/>
      <c r="F213" s="7">
        <f t="shared" si="23"/>
        <v>8.1353423234423919E-2</v>
      </c>
      <c r="G213" s="2"/>
      <c r="H213" s="6">
        <v>53738.827499999999</v>
      </c>
      <c r="I213" s="2"/>
      <c r="J213" s="7">
        <f t="shared" si="24"/>
        <v>1.3965128251234653E-2</v>
      </c>
      <c r="K213" s="2"/>
      <c r="L213" s="6">
        <f t="shared" si="25"/>
        <v>249174.8125</v>
      </c>
      <c r="M213" s="2"/>
      <c r="N213" s="7">
        <f t="shared" si="26"/>
        <v>4.6367742671720924</v>
      </c>
      <c r="O213" s="11"/>
      <c r="P213" s="6">
        <v>1073775.6600000001</v>
      </c>
      <c r="Q213" s="2"/>
      <c r="R213" s="7">
        <f t="shared" si="27"/>
        <v>7.9790705706100792E-2</v>
      </c>
      <c r="S213" s="2"/>
      <c r="T213" s="6">
        <v>431742.97011320002</v>
      </c>
      <c r="U213" s="2"/>
      <c r="V213" s="7">
        <f t="shared" si="28"/>
        <v>3.078688660007808E-2</v>
      </c>
      <c r="W213" s="2"/>
      <c r="X213" s="6">
        <f t="shared" si="29"/>
        <v>642032.68988680013</v>
      </c>
      <c r="Y213" s="2"/>
      <c r="Z213" s="7">
        <f t="shared" si="30"/>
        <v>1.4870715549079203</v>
      </c>
    </row>
    <row r="214" spans="1:26" s="24" customFormat="1" hidden="1" outlineLevel="2" x14ac:dyDescent="0.25">
      <c r="A214" s="27"/>
      <c r="B214" s="11" t="str">
        <f>CONCATENATE("          ", "6008", " - ", "STUDENT HOURLY-FICA EXEMPT")</f>
        <v xml:space="preserve">          6008 - STUDENT HOURLY-FICA EXEMPT</v>
      </c>
      <c r="C214" s="11"/>
      <c r="D214" s="6">
        <v>46772.13</v>
      </c>
      <c r="E214" s="2"/>
      <c r="F214" s="7">
        <f t="shared" si="23"/>
        <v>1.2561576584882397E-2</v>
      </c>
      <c r="G214" s="2"/>
      <c r="H214" s="6">
        <v>336595.67242824001</v>
      </c>
      <c r="I214" s="2"/>
      <c r="J214" s="7">
        <f t="shared" si="24"/>
        <v>8.7471237333396221E-2</v>
      </c>
      <c r="K214" s="2"/>
      <c r="L214" s="6">
        <f t="shared" si="25"/>
        <v>-289823.54242824001</v>
      </c>
      <c r="M214" s="2"/>
      <c r="N214" s="7">
        <f t="shared" si="26"/>
        <v>-0.86104357889517569</v>
      </c>
      <c r="O214" s="11"/>
      <c r="P214" s="6">
        <v>109039.45999999999</v>
      </c>
      <c r="Q214" s="2"/>
      <c r="R214" s="7">
        <f t="shared" si="27"/>
        <v>8.1025634937675409E-3</v>
      </c>
      <c r="S214" s="2"/>
      <c r="T214" s="6">
        <v>777766.76732048008</v>
      </c>
      <c r="U214" s="2"/>
      <c r="V214" s="7">
        <f t="shared" si="28"/>
        <v>5.5461278872767097E-2</v>
      </c>
      <c r="W214" s="2"/>
      <c r="X214" s="6">
        <f t="shared" si="29"/>
        <v>-668727.30732048012</v>
      </c>
      <c r="Y214" s="2"/>
      <c r="Z214" s="7">
        <f t="shared" si="30"/>
        <v>-0.85980442392048095</v>
      </c>
    </row>
    <row r="215" spans="1:26" s="24" customFormat="1" hidden="1" outlineLevel="2" x14ac:dyDescent="0.25">
      <c r="A215" s="27"/>
      <c r="B215" s="11" t="str">
        <f>CONCATENATE("          ", "6009", " - ", "TEMPORARY-SEASONAL")</f>
        <v xml:space="preserve">          6009 - TEMPORARY-SEASONAL</v>
      </c>
      <c r="C215" s="11"/>
      <c r="D215" s="6"/>
      <c r="E215" s="2"/>
      <c r="F215" s="7">
        <f t="shared" si="23"/>
        <v>0</v>
      </c>
      <c r="G215" s="2"/>
      <c r="H215" s="6">
        <v>0</v>
      </c>
      <c r="I215" s="2"/>
      <c r="J215" s="7">
        <f t="shared" si="24"/>
        <v>0</v>
      </c>
      <c r="K215" s="2"/>
      <c r="L215" s="6">
        <f t="shared" si="25"/>
        <v>0</v>
      </c>
      <c r="M215" s="2"/>
      <c r="N215" s="7">
        <f t="shared" si="26"/>
        <v>0</v>
      </c>
      <c r="O215" s="11"/>
      <c r="P215" s="6"/>
      <c r="Q215" s="2"/>
      <c r="R215" s="7">
        <f t="shared" si="27"/>
        <v>0</v>
      </c>
      <c r="S215" s="2"/>
      <c r="T215" s="6">
        <v>0</v>
      </c>
      <c r="U215" s="2"/>
      <c r="V215" s="7">
        <f t="shared" si="28"/>
        <v>0</v>
      </c>
      <c r="W215" s="2"/>
      <c r="X215" s="6">
        <f t="shared" si="29"/>
        <v>0</v>
      </c>
      <c r="Y215" s="2"/>
      <c r="Z215" s="7">
        <f t="shared" si="30"/>
        <v>0</v>
      </c>
    </row>
    <row r="216" spans="1:26" s="24" customFormat="1" hidden="1" outlineLevel="2" x14ac:dyDescent="0.25">
      <c r="A216" s="27"/>
      <c r="B216" s="11" t="str">
        <f>CONCATENATE("          ", "6010", " - ", "GRATUITY")</f>
        <v xml:space="preserve">          6010 - GRATUITY</v>
      </c>
      <c r="C216" s="11"/>
      <c r="D216" s="6"/>
      <c r="E216" s="2"/>
      <c r="F216" s="7">
        <f t="shared" si="23"/>
        <v>0</v>
      </c>
      <c r="G216" s="2"/>
      <c r="H216" s="6">
        <v>0</v>
      </c>
      <c r="I216" s="2"/>
      <c r="J216" s="7">
        <f t="shared" si="24"/>
        <v>0</v>
      </c>
      <c r="K216" s="2"/>
      <c r="L216" s="6">
        <f t="shared" si="25"/>
        <v>0</v>
      </c>
      <c r="M216" s="2"/>
      <c r="N216" s="7">
        <f t="shared" si="26"/>
        <v>0</v>
      </c>
      <c r="O216" s="11"/>
      <c r="P216" s="6"/>
      <c r="Q216" s="2"/>
      <c r="R216" s="7">
        <f t="shared" si="27"/>
        <v>0</v>
      </c>
      <c r="S216" s="2"/>
      <c r="T216" s="6">
        <v>0</v>
      </c>
      <c r="U216" s="2"/>
      <c r="V216" s="7">
        <f t="shared" si="28"/>
        <v>0</v>
      </c>
      <c r="W216" s="2"/>
      <c r="X216" s="6">
        <f t="shared" si="29"/>
        <v>0</v>
      </c>
      <c r="Y216" s="2"/>
      <c r="Z216" s="7">
        <f t="shared" si="30"/>
        <v>0</v>
      </c>
    </row>
    <row r="217" spans="1:26" s="26" customFormat="1" outlineLevel="1" collapsed="1" x14ac:dyDescent="0.25">
      <c r="A217" s="25"/>
      <c r="B217" s="13" t="str">
        <f>CONCATENATE("     ","Advertising/Promo                                 ")</f>
        <v xml:space="preserve">     Advertising/Promo                                 </v>
      </c>
      <c r="C217" s="13"/>
      <c r="D217" s="1">
        <f>SUM(OSRRefD22_2x_0)</f>
        <v>18492.79</v>
      </c>
      <c r="E217" s="1"/>
      <c r="F217" s="5">
        <f t="shared" ref="F217:F221" si="31">IF(D$12=0,0,D217/D$12)</f>
        <v>4.9666029289909906E-3</v>
      </c>
      <c r="G217" s="1"/>
      <c r="H217" s="1">
        <f>SUM(OSRRefH22_2x_0)</f>
        <v>12650</v>
      </c>
      <c r="I217" s="1"/>
      <c r="J217" s="5">
        <f t="shared" ref="J217:J221" si="32">IF(H$12=0,0,H217/H$12)</f>
        <v>3.2873600075870348E-3</v>
      </c>
      <c r="K217" s="1"/>
      <c r="L217" s="1">
        <f t="shared" ref="L217:L221" si="33">+D217-H217</f>
        <v>5842.7900000000009</v>
      </c>
      <c r="M217" s="1"/>
      <c r="N217" s="5">
        <f t="shared" ref="N217:N221" si="34">IF(H217=0,0,L217/H217)</f>
        <v>0.46188063241106725</v>
      </c>
      <c r="O217" s="13"/>
      <c r="P217" s="1">
        <f>SUM(OSRRefP22_2x_0)</f>
        <v>40476.879999999997</v>
      </c>
      <c r="Q217" s="1"/>
      <c r="R217" s="5">
        <f t="shared" ref="R217:R221" si="35">IF(P$12=0,0,P217/P$12)</f>
        <v>3.0077780120115185E-3</v>
      </c>
      <c r="S217" s="1"/>
      <c r="T217" s="1">
        <f>SUM(OSRRefT22_2x_0)</f>
        <v>44110</v>
      </c>
      <c r="U217" s="1"/>
      <c r="V217" s="5">
        <f t="shared" ref="V217:V221" si="36">IF(T$12=0,0,T217/T$12)</f>
        <v>3.1454121130759429E-3</v>
      </c>
      <c r="W217" s="1"/>
      <c r="X217" s="1">
        <f t="shared" ref="X217:X221" si="37">+P217-T217</f>
        <v>-3633.1200000000026</v>
      </c>
      <c r="Y217" s="1"/>
      <c r="Z217" s="5">
        <f t="shared" ref="Z217:Z221" si="38">IF(T217=0,0,X217/T217)</f>
        <v>-8.2364996599410628E-2</v>
      </c>
    </row>
    <row r="218" spans="1:26" s="24" customFormat="1" hidden="1" outlineLevel="2" x14ac:dyDescent="0.25">
      <c r="A218" s="27"/>
      <c r="B218" s="11" t="str">
        <f>CONCATENATE("          ", "6362", " - ", "ADVERTISING EXPENSE")</f>
        <v xml:space="preserve">          6362 - ADVERTISING EXPENSE</v>
      </c>
      <c r="C218" s="11"/>
      <c r="D218" s="6">
        <v>18492.79</v>
      </c>
      <c r="E218" s="2"/>
      <c r="F218" s="7">
        <f t="shared" si="31"/>
        <v>4.9666029289909906E-3</v>
      </c>
      <c r="G218" s="2"/>
      <c r="H218" s="6">
        <v>12650</v>
      </c>
      <c r="I218" s="2"/>
      <c r="J218" s="7">
        <f t="shared" si="32"/>
        <v>3.2873600075870348E-3</v>
      </c>
      <c r="K218" s="2"/>
      <c r="L218" s="6">
        <f t="shared" si="33"/>
        <v>5842.7900000000009</v>
      </c>
      <c r="M218" s="2"/>
      <c r="N218" s="7">
        <f t="shared" si="34"/>
        <v>0.46188063241106725</v>
      </c>
      <c r="O218" s="11"/>
      <c r="P218" s="6">
        <v>40476.879999999997</v>
      </c>
      <c r="Q218" s="2"/>
      <c r="R218" s="7">
        <f t="shared" si="35"/>
        <v>3.0077780120115185E-3</v>
      </c>
      <c r="S218" s="2"/>
      <c r="T218" s="6">
        <v>44110</v>
      </c>
      <c r="U218" s="2"/>
      <c r="V218" s="7">
        <f t="shared" si="36"/>
        <v>3.1454121130759429E-3</v>
      </c>
      <c r="W218" s="2"/>
      <c r="X218" s="6">
        <f t="shared" si="37"/>
        <v>-3633.1200000000026</v>
      </c>
      <c r="Y218" s="2"/>
      <c r="Z218" s="7">
        <f t="shared" si="38"/>
        <v>-8.2364996599410628E-2</v>
      </c>
    </row>
    <row r="219" spans="1:26" s="26" customFormat="1" outlineLevel="1" collapsed="1" x14ac:dyDescent="0.25">
      <c r="A219" s="25"/>
      <c r="B219" s="13" t="str">
        <f>CONCATENATE("     ","Bad Debts/Over/Short                              ")</f>
        <v xml:space="preserve">     Bad Debts/Over/Short                              </v>
      </c>
      <c r="C219" s="13"/>
      <c r="D219" s="1">
        <f>SUM(OSRRefD22_3x_0)</f>
        <v>67.44</v>
      </c>
      <c r="E219" s="1"/>
      <c r="F219" s="5">
        <f t="shared" si="31"/>
        <v>1.8112340081250713E-5</v>
      </c>
      <c r="G219" s="1"/>
      <c r="H219" s="1">
        <f>SUM(OSRRefH22_3x_0)</f>
        <v>402</v>
      </c>
      <c r="I219" s="1"/>
      <c r="J219" s="5">
        <f t="shared" si="32"/>
        <v>1.0446788324505834E-4</v>
      </c>
      <c r="K219" s="1"/>
      <c r="L219" s="1">
        <f t="shared" si="33"/>
        <v>-334.56</v>
      </c>
      <c r="M219" s="1"/>
      <c r="N219" s="5">
        <f t="shared" si="34"/>
        <v>-0.83223880597014921</v>
      </c>
      <c r="O219" s="13"/>
      <c r="P219" s="1">
        <f>SUM(OSRRefP22_3x_0)</f>
        <v>-268.83999999999997</v>
      </c>
      <c r="Q219" s="1"/>
      <c r="R219" s="5">
        <f t="shared" si="35"/>
        <v>-1.9977108926112303E-5</v>
      </c>
      <c r="S219" s="1"/>
      <c r="T219" s="1">
        <f>SUM(OSRRefT22_3x_0)</f>
        <v>1520</v>
      </c>
      <c r="U219" s="1"/>
      <c r="V219" s="5">
        <f t="shared" si="36"/>
        <v>1.0838871938053578E-4</v>
      </c>
      <c r="W219" s="1"/>
      <c r="X219" s="1">
        <f t="shared" si="37"/>
        <v>-1788.84</v>
      </c>
      <c r="Y219" s="1"/>
      <c r="Z219" s="5">
        <f t="shared" si="38"/>
        <v>-1.1768684210526315</v>
      </c>
    </row>
    <row r="220" spans="1:26" s="24" customFormat="1" hidden="1" outlineLevel="2" x14ac:dyDescent="0.25">
      <c r="A220" s="27"/>
      <c r="B220" s="11" t="str">
        <f>CONCATENATE("          ", "6272", " - ", "CASH (OVER/SHORT)")</f>
        <v xml:space="preserve">          6272 - CASH (OVER/SHORT)</v>
      </c>
      <c r="C220" s="11"/>
      <c r="D220" s="6">
        <v>22.64</v>
      </c>
      <c r="E220" s="2"/>
      <c r="F220" s="7">
        <f t="shared" si="31"/>
        <v>6.0804178445954347E-6</v>
      </c>
      <c r="G220" s="2"/>
      <c r="H220" s="6">
        <v>342</v>
      </c>
      <c r="I220" s="2"/>
      <c r="J220" s="7">
        <f t="shared" si="32"/>
        <v>8.8875661865198884E-5</v>
      </c>
      <c r="K220" s="2"/>
      <c r="L220" s="6">
        <f t="shared" si="33"/>
        <v>-319.36</v>
      </c>
      <c r="M220" s="2"/>
      <c r="N220" s="7">
        <f t="shared" si="34"/>
        <v>-0.9338011695906433</v>
      </c>
      <c r="O220" s="11"/>
      <c r="P220" s="6">
        <v>-313.64</v>
      </c>
      <c r="Q220" s="2"/>
      <c r="R220" s="7">
        <f t="shared" si="35"/>
        <v>-2.3306131690172087E-5</v>
      </c>
      <c r="S220" s="2"/>
      <c r="T220" s="6">
        <v>1330</v>
      </c>
      <c r="U220" s="2"/>
      <c r="V220" s="7">
        <f t="shared" si="36"/>
        <v>9.4840129457968806E-5</v>
      </c>
      <c r="W220" s="2"/>
      <c r="X220" s="6">
        <f t="shared" si="37"/>
        <v>-1643.6399999999999</v>
      </c>
      <c r="Y220" s="2"/>
      <c r="Z220" s="7">
        <f t="shared" si="38"/>
        <v>-1.2358195488721804</v>
      </c>
    </row>
    <row r="221" spans="1:26" s="24" customFormat="1" hidden="1" outlineLevel="2" x14ac:dyDescent="0.25">
      <c r="A221" s="27"/>
      <c r="B221" s="11" t="str">
        <f>CONCATENATE("          ", "6342", " - ", "BAD DEBT")</f>
        <v xml:space="preserve">          6342 - BAD DEBT</v>
      </c>
      <c r="C221" s="11"/>
      <c r="D221" s="6">
        <v>44.8</v>
      </c>
      <c r="E221" s="2"/>
      <c r="F221" s="7">
        <f t="shared" si="31"/>
        <v>1.2031922236655277E-5</v>
      </c>
      <c r="G221" s="2"/>
      <c r="H221" s="6">
        <v>60</v>
      </c>
      <c r="I221" s="2"/>
      <c r="J221" s="7">
        <f t="shared" si="32"/>
        <v>1.5592221379859454E-5</v>
      </c>
      <c r="K221" s="2"/>
      <c r="L221" s="6">
        <f t="shared" si="33"/>
        <v>-15.200000000000003</v>
      </c>
      <c r="M221" s="2"/>
      <c r="N221" s="7">
        <f t="shared" si="34"/>
        <v>-0.25333333333333335</v>
      </c>
      <c r="O221" s="11"/>
      <c r="P221" s="6">
        <v>44.8</v>
      </c>
      <c r="Q221" s="2"/>
      <c r="R221" s="7">
        <f t="shared" si="35"/>
        <v>3.32902276405978E-6</v>
      </c>
      <c r="S221" s="2"/>
      <c r="T221" s="6">
        <v>190</v>
      </c>
      <c r="U221" s="2"/>
      <c r="V221" s="7">
        <f t="shared" si="36"/>
        <v>1.3548589922566972E-5</v>
      </c>
      <c r="W221" s="2"/>
      <c r="X221" s="6">
        <f t="shared" si="37"/>
        <v>-145.19999999999999</v>
      </c>
      <c r="Y221" s="2"/>
      <c r="Z221" s="7">
        <f t="shared" si="38"/>
        <v>-0.76421052631578945</v>
      </c>
    </row>
    <row r="222" spans="1:26" s="26" customFormat="1" outlineLevel="1" collapsed="1" x14ac:dyDescent="0.25">
      <c r="A222" s="25"/>
      <c r="B222" s="13" t="str">
        <f>CONCATENATE("     ","Bank/card Fees                                    ")</f>
        <v xml:space="preserve">     Bank/card Fees                                    </v>
      </c>
      <c r="C222" s="13"/>
      <c r="D222" s="1">
        <f>SUM(OSRRefD22_4x_0)</f>
        <v>61421.33</v>
      </c>
      <c r="E222" s="1"/>
      <c r="F222" s="5">
        <f t="shared" ref="F222:F228" si="39">IF(D$12=0,0,D222/D$12)</f>
        <v>1.6495907728391559E-2</v>
      </c>
      <c r="G222" s="1"/>
      <c r="H222" s="1">
        <f>SUM(OSRRefH22_4x_0)</f>
        <v>45538</v>
      </c>
      <c r="I222" s="1"/>
      <c r="J222" s="5">
        <f t="shared" ref="J222:J228" si="40">IF(H$12=0,0,H222/H$12)</f>
        <v>1.1833976286600663E-2</v>
      </c>
      <c r="K222" s="1"/>
      <c r="L222" s="1">
        <f t="shared" ref="L222:L228" si="41">+D222-H222</f>
        <v>15883.330000000002</v>
      </c>
      <c r="M222" s="1"/>
      <c r="N222" s="5">
        <f t="shared" ref="N222:N228" si="42">IF(H222=0,0,L222/H222)</f>
        <v>0.34879287627915151</v>
      </c>
      <c r="O222" s="13"/>
      <c r="P222" s="1">
        <f>SUM(OSRRefP22_4x_0)</f>
        <v>182275.66</v>
      </c>
      <c r="Q222" s="1"/>
      <c r="R222" s="5">
        <f t="shared" ref="R222:R228" si="43">IF(P$12=0,0,P222/P$12)</f>
        <v>1.3544638872187962E-2</v>
      </c>
      <c r="S222" s="1"/>
      <c r="T222" s="1">
        <f>SUM(OSRRefT22_4x_0)</f>
        <v>160628</v>
      </c>
      <c r="U222" s="1"/>
      <c r="V222" s="5">
        <f t="shared" ref="V222:V228" si="44">IF(T$12=0,0,T222/T$12)</f>
        <v>1.1454120537274145E-2</v>
      </c>
      <c r="W222" s="1"/>
      <c r="X222" s="1">
        <f t="shared" ref="X222:X228" si="45">+P222-T222</f>
        <v>21647.660000000003</v>
      </c>
      <c r="Y222" s="1"/>
      <c r="Z222" s="5">
        <f t="shared" ref="Z222:Z228" si="46">IF(T222=0,0,X222/T222)</f>
        <v>0.13476890703986855</v>
      </c>
    </row>
    <row r="223" spans="1:26" s="24" customFormat="1" hidden="1" outlineLevel="2" x14ac:dyDescent="0.25">
      <c r="A223" s="27"/>
      <c r="B223" s="11" t="str">
        <f>CONCATENATE("          ", "6381", " - ", "BANK/CREDIT CARD FEES")</f>
        <v xml:space="preserve">          6381 - BANK/CREDIT CARD FEES</v>
      </c>
      <c r="C223" s="11"/>
      <c r="D223" s="6">
        <v>61421.33</v>
      </c>
      <c r="E223" s="2"/>
      <c r="F223" s="7">
        <f t="shared" si="39"/>
        <v>1.6495907728391559E-2</v>
      </c>
      <c r="G223" s="2"/>
      <c r="H223" s="6">
        <v>45538</v>
      </c>
      <c r="I223" s="2"/>
      <c r="J223" s="7">
        <f t="shared" si="40"/>
        <v>1.1833976286600663E-2</v>
      </c>
      <c r="K223" s="2"/>
      <c r="L223" s="6">
        <f t="shared" si="41"/>
        <v>15883.330000000002</v>
      </c>
      <c r="M223" s="2"/>
      <c r="N223" s="7">
        <f t="shared" si="42"/>
        <v>0.34879287627915151</v>
      </c>
      <c r="O223" s="11"/>
      <c r="P223" s="6">
        <v>182275.66</v>
      </c>
      <c r="Q223" s="2"/>
      <c r="R223" s="7">
        <f t="shared" si="43"/>
        <v>1.3544638872187962E-2</v>
      </c>
      <c r="S223" s="2"/>
      <c r="T223" s="6">
        <v>160628</v>
      </c>
      <c r="U223" s="2"/>
      <c r="V223" s="7">
        <f t="shared" si="44"/>
        <v>1.1454120537274145E-2</v>
      </c>
      <c r="W223" s="2"/>
      <c r="X223" s="6">
        <f t="shared" si="45"/>
        <v>21647.660000000003</v>
      </c>
      <c r="Y223" s="2"/>
      <c r="Z223" s="7">
        <f t="shared" si="46"/>
        <v>0.13476890703986855</v>
      </c>
    </row>
    <row r="224" spans="1:26" s="26" customFormat="1" outlineLevel="1" collapsed="1" x14ac:dyDescent="0.25">
      <c r="A224" s="25"/>
      <c r="B224" s="13" t="str">
        <f>CONCATENATE("     ","Depreciation                                      ")</f>
        <v xml:space="preserve">     Depreciation                                      </v>
      </c>
      <c r="C224" s="13"/>
      <c r="D224" s="1">
        <f>SUM(OSRRefD22_5x_0)</f>
        <v>77862.400000000009</v>
      </c>
      <c r="E224" s="1"/>
      <c r="F224" s="5">
        <f t="shared" si="39"/>
        <v>2.0911480847306874E-2</v>
      </c>
      <c r="G224" s="1"/>
      <c r="H224" s="1">
        <f>SUM(OSRRefH22_5x_0)</f>
        <v>83801</v>
      </c>
      <c r="I224" s="1"/>
      <c r="J224" s="5">
        <f t="shared" si="40"/>
        <v>2.1777395730893368E-2</v>
      </c>
      <c r="K224" s="1"/>
      <c r="L224" s="1">
        <f t="shared" si="41"/>
        <v>-5938.5999999999913</v>
      </c>
      <c r="M224" s="1"/>
      <c r="N224" s="5">
        <f t="shared" si="42"/>
        <v>-7.0865502798295857E-2</v>
      </c>
      <c r="O224" s="13"/>
      <c r="P224" s="1">
        <f>SUM(OSRRefP22_5x_0)</f>
        <v>311449.60000000003</v>
      </c>
      <c r="Q224" s="1"/>
      <c r="R224" s="5">
        <f t="shared" si="43"/>
        <v>2.3143366255743595E-2</v>
      </c>
      <c r="S224" s="1"/>
      <c r="T224" s="1">
        <f>SUM(OSRRefT22_5x_0)</f>
        <v>318817</v>
      </c>
      <c r="U224" s="1"/>
      <c r="V224" s="5">
        <f t="shared" si="44"/>
        <v>2.2734319964963341E-2</v>
      </c>
      <c r="W224" s="1"/>
      <c r="X224" s="1">
        <f t="shared" si="45"/>
        <v>-7367.3999999999651</v>
      </c>
      <c r="Y224" s="1"/>
      <c r="Z224" s="5">
        <f t="shared" si="46"/>
        <v>-2.3108554437184858E-2</v>
      </c>
    </row>
    <row r="225" spans="1:26" s="24" customFormat="1" hidden="1" outlineLevel="2" x14ac:dyDescent="0.25">
      <c r="A225" s="27"/>
      <c r="B225" s="11" t="str">
        <f>CONCATENATE("          ", "6321", " - ", "BUILDING DEPRECIATION")</f>
        <v xml:space="preserve">          6321 - BUILDING DEPRECIATION</v>
      </c>
      <c r="C225" s="11"/>
      <c r="D225" s="6">
        <v>45519.990000000005</v>
      </c>
      <c r="E225" s="2"/>
      <c r="F225" s="7">
        <f t="shared" si="39"/>
        <v>1.2225289729761739E-2</v>
      </c>
      <c r="G225" s="2"/>
      <c r="H225" s="6">
        <v>44515</v>
      </c>
      <c r="I225" s="2"/>
      <c r="J225" s="7">
        <f t="shared" si="40"/>
        <v>1.1568128912074061E-2</v>
      </c>
      <c r="K225" s="2"/>
      <c r="L225" s="6">
        <f t="shared" si="41"/>
        <v>1004.9900000000052</v>
      </c>
      <c r="M225" s="2"/>
      <c r="N225" s="7">
        <f t="shared" si="42"/>
        <v>2.2576434909581156E-2</v>
      </c>
      <c r="O225" s="11"/>
      <c r="P225" s="6">
        <v>182079.96000000002</v>
      </c>
      <c r="Q225" s="2"/>
      <c r="R225" s="7">
        <f t="shared" si="43"/>
        <v>1.3530096690158354E-2</v>
      </c>
      <c r="S225" s="2"/>
      <c r="T225" s="6">
        <v>178474</v>
      </c>
      <c r="U225" s="2"/>
      <c r="V225" s="7">
        <f t="shared" si="44"/>
        <v>1.2726689672843253E-2</v>
      </c>
      <c r="W225" s="2"/>
      <c r="X225" s="6">
        <f t="shared" si="45"/>
        <v>3605.960000000021</v>
      </c>
      <c r="Y225" s="2"/>
      <c r="Z225" s="7">
        <f t="shared" si="46"/>
        <v>2.0204399520378436E-2</v>
      </c>
    </row>
    <row r="226" spans="1:26" s="24" customFormat="1" hidden="1" outlineLevel="2" x14ac:dyDescent="0.25">
      <c r="A226" s="27"/>
      <c r="B226" s="11" t="str">
        <f>CONCATENATE("          ", "6322", " - ", "EQUIPMENT DEPRECIATION EXPENSE")</f>
        <v xml:space="preserve">          6322 - EQUIPMENT DEPRECIATION EXPENSE</v>
      </c>
      <c r="C226" s="11"/>
      <c r="D226" s="6">
        <v>31918.16</v>
      </c>
      <c r="E226" s="2"/>
      <c r="F226" s="7">
        <f t="shared" si="39"/>
        <v>8.5722504253821653E-3</v>
      </c>
      <c r="G226" s="2"/>
      <c r="H226" s="6">
        <v>31525</v>
      </c>
      <c r="I226" s="2"/>
      <c r="J226" s="7">
        <f t="shared" si="40"/>
        <v>8.1924129833344881E-3</v>
      </c>
      <c r="K226" s="2"/>
      <c r="L226" s="6">
        <f t="shared" si="41"/>
        <v>393.15999999999985</v>
      </c>
      <c r="M226" s="2"/>
      <c r="N226" s="7">
        <f t="shared" si="42"/>
        <v>1.2471371927042025E-2</v>
      </c>
      <c r="O226" s="11"/>
      <c r="P226" s="6">
        <v>127672.64</v>
      </c>
      <c r="Q226" s="2"/>
      <c r="R226" s="7">
        <f t="shared" si="43"/>
        <v>9.4871679666877068E-3</v>
      </c>
      <c r="S226" s="2"/>
      <c r="T226" s="6">
        <v>126100</v>
      </c>
      <c r="U226" s="2"/>
      <c r="V226" s="7">
        <f t="shared" si="44"/>
        <v>8.9919852065036589E-3</v>
      </c>
      <c r="W226" s="2"/>
      <c r="X226" s="6">
        <f t="shared" si="45"/>
        <v>1572.6399999999994</v>
      </c>
      <c r="Y226" s="2"/>
      <c r="Z226" s="7">
        <f t="shared" si="46"/>
        <v>1.2471371927042025E-2</v>
      </c>
    </row>
    <row r="227" spans="1:26" s="24" customFormat="1" hidden="1" outlineLevel="2" x14ac:dyDescent="0.25">
      <c r="A227" s="27"/>
      <c r="B227" s="11" t="str">
        <f>CONCATENATE("          ", "6324", " - ", "FURNITURE + FIXT DEPRECIATION")</f>
        <v xml:space="preserve">          6324 - FURNITURE + FIXT DEPRECIATION</v>
      </c>
      <c r="C227" s="11"/>
      <c r="D227" s="6"/>
      <c r="E227" s="2"/>
      <c r="F227" s="7">
        <f t="shared" si="39"/>
        <v>0</v>
      </c>
      <c r="G227" s="2"/>
      <c r="H227" s="6">
        <v>5254</v>
      </c>
      <c r="I227" s="2"/>
      <c r="J227" s="7">
        <f t="shared" si="40"/>
        <v>1.3653588521630262E-3</v>
      </c>
      <c r="K227" s="2"/>
      <c r="L227" s="6">
        <f t="shared" si="41"/>
        <v>-5254</v>
      </c>
      <c r="M227" s="2"/>
      <c r="N227" s="7">
        <f t="shared" si="42"/>
        <v>-1</v>
      </c>
      <c r="O227" s="11"/>
      <c r="P227" s="6"/>
      <c r="Q227" s="2"/>
      <c r="R227" s="7">
        <f t="shared" si="43"/>
        <v>0</v>
      </c>
      <c r="S227" s="2"/>
      <c r="T227" s="6">
        <v>10464</v>
      </c>
      <c r="U227" s="2"/>
      <c r="V227" s="7">
        <f t="shared" si="44"/>
        <v>7.4617076289337271E-4</v>
      </c>
      <c r="W227" s="2"/>
      <c r="X227" s="6">
        <f t="shared" si="45"/>
        <v>-10464</v>
      </c>
      <c r="Y227" s="2"/>
      <c r="Z227" s="7">
        <f t="shared" si="46"/>
        <v>-1</v>
      </c>
    </row>
    <row r="228" spans="1:26" s="24" customFormat="1" hidden="1" outlineLevel="2" x14ac:dyDescent="0.25">
      <c r="A228" s="27"/>
      <c r="B228" s="11" t="str">
        <f>CONCATENATE("          ", "6326", " - ", "VEHICLES DEPRECIATION EXPENSE")</f>
        <v xml:space="preserve">          6326 - VEHICLES DEPRECIATION EXPENSE</v>
      </c>
      <c r="C228" s="11"/>
      <c r="D228" s="6">
        <v>424.25</v>
      </c>
      <c r="E228" s="2"/>
      <c r="F228" s="7">
        <f t="shared" si="39"/>
        <v>1.1394069216296878E-4</v>
      </c>
      <c r="G228" s="2"/>
      <c r="H228" s="6">
        <v>2507</v>
      </c>
      <c r="I228" s="2"/>
      <c r="J228" s="7">
        <f t="shared" si="40"/>
        <v>6.5149498332179418E-4</v>
      </c>
      <c r="K228" s="2"/>
      <c r="L228" s="6">
        <f t="shared" si="41"/>
        <v>-2082.75</v>
      </c>
      <c r="M228" s="2"/>
      <c r="N228" s="7">
        <f t="shared" si="42"/>
        <v>-0.83077383326685283</v>
      </c>
      <c r="O228" s="11"/>
      <c r="P228" s="6">
        <v>1697</v>
      </c>
      <c r="Q228" s="2"/>
      <c r="R228" s="7">
        <f t="shared" si="43"/>
        <v>1.2610159889753231E-4</v>
      </c>
      <c r="S228" s="2"/>
      <c r="T228" s="6">
        <v>3779</v>
      </c>
      <c r="U228" s="2"/>
      <c r="V228" s="7">
        <f t="shared" si="44"/>
        <v>2.6947432272305576E-4</v>
      </c>
      <c r="W228" s="2"/>
      <c r="X228" s="6">
        <f t="shared" si="45"/>
        <v>-2082</v>
      </c>
      <c r="Y228" s="2"/>
      <c r="Z228" s="7">
        <f t="shared" si="46"/>
        <v>-0.55093940195819002</v>
      </c>
    </row>
    <row r="229" spans="1:26" s="26" customFormat="1" outlineLevel="1" collapsed="1" x14ac:dyDescent="0.25">
      <c r="A229" s="25"/>
      <c r="B229" s="13" t="str">
        <f>CONCATENATE("     ","Discounts and Markdowns                           ")</f>
        <v xml:space="preserve">     Discounts and Markdowns                           </v>
      </c>
      <c r="C229" s="13"/>
      <c r="D229" s="1">
        <f>SUM(OSRRefD22_6x_0)</f>
        <v>35167.93</v>
      </c>
      <c r="E229" s="1"/>
      <c r="F229" s="5">
        <f t="shared" ref="F229:F231" si="47">IF(D$12=0,0,D229/D$12)</f>
        <v>9.4450401558958987E-3</v>
      </c>
      <c r="G229" s="1"/>
      <c r="H229" s="1">
        <f>SUM(OSRRefH22_6x_0)</f>
        <v>25725</v>
      </c>
      <c r="I229" s="1"/>
      <c r="J229" s="5">
        <f t="shared" ref="J229:J231" si="48">IF(H$12=0,0,H229/H$12)</f>
        <v>6.6851649166147411E-3</v>
      </c>
      <c r="K229" s="1"/>
      <c r="L229" s="1">
        <f t="shared" ref="L229:L231" si="49">+D229-H229</f>
        <v>9442.93</v>
      </c>
      <c r="M229" s="1"/>
      <c r="N229" s="5">
        <f t="shared" ref="N229:N231" si="50">IF(H229=0,0,L229/H229)</f>
        <v>0.36707210884353741</v>
      </c>
      <c r="O229" s="13"/>
      <c r="P229" s="1">
        <f>SUM(OSRRefP22_6x_0)</f>
        <v>166228.07999999999</v>
      </c>
      <c r="Q229" s="1"/>
      <c r="R229" s="5">
        <f t="shared" ref="R229:R231" si="51">IF(P$12=0,0,P229/P$12)</f>
        <v>1.2352166570222103E-2</v>
      </c>
      <c r="S229" s="1"/>
      <c r="T229" s="1">
        <f>SUM(OSRRefT22_6x_0)</f>
        <v>114900</v>
      </c>
      <c r="U229" s="1"/>
      <c r="V229" s="5">
        <f t="shared" ref="V229:V231" si="52">IF(T$12=0,0,T229/T$12)</f>
        <v>8.1933314847523423E-3</v>
      </c>
      <c r="W229" s="1"/>
      <c r="X229" s="1">
        <f t="shared" ref="X229:X231" si="53">+P229-T229</f>
        <v>51328.079999999987</v>
      </c>
      <c r="Y229" s="1"/>
      <c r="Z229" s="5">
        <f t="shared" ref="Z229:Z231" si="54">IF(T229=0,0,X229/T229)</f>
        <v>0.44671958224543068</v>
      </c>
    </row>
    <row r="230" spans="1:26" s="24" customFormat="1" hidden="1" outlineLevel="2" x14ac:dyDescent="0.25">
      <c r="A230" s="27"/>
      <c r="B230" s="11" t="str">
        <f>CONCATENATE("          ", "6382", " - ", "DISCOUNTS/MARK DOWNS")</f>
        <v xml:space="preserve">          6382 - DISCOUNTS/MARK DOWNS</v>
      </c>
      <c r="C230" s="11"/>
      <c r="D230" s="6">
        <v>35637.82</v>
      </c>
      <c r="E230" s="2"/>
      <c r="F230" s="7">
        <f t="shared" si="47"/>
        <v>9.5712383688374598E-3</v>
      </c>
      <c r="G230" s="2"/>
      <c r="H230" s="6">
        <v>25725</v>
      </c>
      <c r="I230" s="2"/>
      <c r="J230" s="7">
        <f t="shared" si="48"/>
        <v>6.6851649166147411E-3</v>
      </c>
      <c r="K230" s="2"/>
      <c r="L230" s="6">
        <f t="shared" si="49"/>
        <v>9912.82</v>
      </c>
      <c r="M230" s="2"/>
      <c r="N230" s="7">
        <f t="shared" si="50"/>
        <v>0.38533799805636537</v>
      </c>
      <c r="O230" s="11"/>
      <c r="P230" s="6">
        <v>168345.83</v>
      </c>
      <c r="Q230" s="2"/>
      <c r="R230" s="7">
        <f t="shared" si="51"/>
        <v>1.2509533488940577E-2</v>
      </c>
      <c r="S230" s="2"/>
      <c r="T230" s="6">
        <v>114900</v>
      </c>
      <c r="U230" s="2"/>
      <c r="V230" s="7">
        <f t="shared" si="52"/>
        <v>8.1933314847523423E-3</v>
      </c>
      <c r="W230" s="2"/>
      <c r="X230" s="6">
        <f t="shared" si="53"/>
        <v>53445.829999999987</v>
      </c>
      <c r="Y230" s="2"/>
      <c r="Z230" s="7">
        <f t="shared" si="54"/>
        <v>0.46515082680591807</v>
      </c>
    </row>
    <row r="231" spans="1:26" s="24" customFormat="1" hidden="1" outlineLevel="2" x14ac:dyDescent="0.25">
      <c r="A231" s="27"/>
      <c r="B231" s="11" t="str">
        <f>CONCATENATE("          ", "9175", " - ", "EARNED DISCOUNTS")</f>
        <v xml:space="preserve">          9175 - EARNED DISCOUNTS</v>
      </c>
      <c r="C231" s="11"/>
      <c r="D231" s="6">
        <v>-469.89</v>
      </c>
      <c r="E231" s="2"/>
      <c r="F231" s="7">
        <f t="shared" si="47"/>
        <v>-1.2619821294156133E-4</v>
      </c>
      <c r="G231" s="2"/>
      <c r="H231" s="6"/>
      <c r="I231" s="2"/>
      <c r="J231" s="7">
        <f t="shared" si="48"/>
        <v>0</v>
      </c>
      <c r="K231" s="2"/>
      <c r="L231" s="6">
        <f t="shared" si="49"/>
        <v>-469.89</v>
      </c>
      <c r="M231" s="2"/>
      <c r="N231" s="7">
        <f t="shared" si="50"/>
        <v>0</v>
      </c>
      <c r="O231" s="11"/>
      <c r="P231" s="6">
        <v>-2117.75</v>
      </c>
      <c r="Q231" s="2"/>
      <c r="R231" s="7">
        <f t="shared" si="51"/>
        <v>-1.5736691871847322E-4</v>
      </c>
      <c r="S231" s="2"/>
      <c r="T231" s="6"/>
      <c r="U231" s="2"/>
      <c r="V231" s="7">
        <f t="shared" si="52"/>
        <v>0</v>
      </c>
      <c r="W231" s="2"/>
      <c r="X231" s="6">
        <f t="shared" si="53"/>
        <v>-2117.75</v>
      </c>
      <c r="Y231" s="2"/>
      <c r="Z231" s="7">
        <f t="shared" si="54"/>
        <v>0</v>
      </c>
    </row>
    <row r="232" spans="1:26" s="26" customFormat="1" outlineLevel="1" collapsed="1" x14ac:dyDescent="0.25">
      <c r="A232" s="25"/>
      <c r="B232" s="13" t="str">
        <f>CONCATENATE("     ","Donations                                         ")</f>
        <v xml:space="preserve">     Donations                                         </v>
      </c>
      <c r="C232" s="13"/>
      <c r="D232" s="1">
        <f>SUM(OSRRefD22_7x_0)</f>
        <v>24688.82</v>
      </c>
      <c r="E232" s="1"/>
      <c r="F232" s="5">
        <f t="shared" ref="F232:F235" si="55">IF(D$12=0,0,D232/D$12)</f>
        <v>6.630668802562043E-3</v>
      </c>
      <c r="G232" s="1"/>
      <c r="H232" s="1">
        <f>SUM(OSRRefH22_7x_0)</f>
        <v>19762</v>
      </c>
      <c r="I232" s="1"/>
      <c r="J232" s="5">
        <f t="shared" ref="J232:J235" si="56">IF(H$12=0,0,H232/H$12)</f>
        <v>5.1355579818130421E-3</v>
      </c>
      <c r="K232" s="1"/>
      <c r="L232" s="1">
        <f t="shared" ref="L232:L235" si="57">+D232-H232</f>
        <v>4926.82</v>
      </c>
      <c r="M232" s="1"/>
      <c r="N232" s="5">
        <f t="shared" ref="N232:N235" si="58">IF(H232=0,0,L232/H232)</f>
        <v>0.24930776237222951</v>
      </c>
      <c r="O232" s="13"/>
      <c r="P232" s="1">
        <f>SUM(OSRRefP22_7x_0)</f>
        <v>56510.91</v>
      </c>
      <c r="Q232" s="1"/>
      <c r="R232" s="5">
        <f t="shared" ref="R232:R235" si="59">IF(P$12=0,0,P232/P$12)</f>
        <v>4.1992434332083365E-3</v>
      </c>
      <c r="S232" s="1"/>
      <c r="T232" s="1">
        <f>SUM(OSRRefT22_7x_0)</f>
        <v>49749</v>
      </c>
      <c r="U232" s="1"/>
      <c r="V232" s="5">
        <f t="shared" ref="V232:V235" si="60">IF(T$12=0,0,T232/T$12)</f>
        <v>3.547520000304128E-3</v>
      </c>
      <c r="W232" s="1"/>
      <c r="X232" s="1">
        <f t="shared" ref="X232:X235" si="61">+P232-T232</f>
        <v>6761.9100000000035</v>
      </c>
      <c r="Y232" s="1"/>
      <c r="Z232" s="5">
        <f t="shared" ref="Z232:Z235" si="62">IF(T232=0,0,X232/T232)</f>
        <v>0.13592052101549787</v>
      </c>
    </row>
    <row r="233" spans="1:26" s="24" customFormat="1" hidden="1" outlineLevel="2" x14ac:dyDescent="0.25">
      <c r="A233" s="27"/>
      <c r="B233" s="11" t="str">
        <f>CONCATENATE("          ", "6395", " - ", "DONATION-OFF CAMPUS")</f>
        <v xml:space="preserve">          6395 - DONATION-OFF CAMPUS</v>
      </c>
      <c r="C233" s="11"/>
      <c r="D233" s="6"/>
      <c r="E233" s="2"/>
      <c r="F233" s="7">
        <f t="shared" si="55"/>
        <v>0</v>
      </c>
      <c r="G233" s="2"/>
      <c r="H233" s="6">
        <v>1025</v>
      </c>
      <c r="I233" s="2"/>
      <c r="J233" s="7">
        <f t="shared" si="56"/>
        <v>2.6636711523926566E-4</v>
      </c>
      <c r="K233" s="2"/>
      <c r="L233" s="6">
        <f t="shared" si="57"/>
        <v>-1025</v>
      </c>
      <c r="M233" s="2"/>
      <c r="N233" s="7">
        <f t="shared" si="58"/>
        <v>-1</v>
      </c>
      <c r="O233" s="11"/>
      <c r="P233" s="6"/>
      <c r="Q233" s="2"/>
      <c r="R233" s="7">
        <f t="shared" si="59"/>
        <v>0</v>
      </c>
      <c r="S233" s="2"/>
      <c r="T233" s="6">
        <v>4175</v>
      </c>
      <c r="U233" s="2"/>
      <c r="V233" s="7">
        <f t="shared" si="60"/>
        <v>2.9771243645640585E-4</v>
      </c>
      <c r="W233" s="2"/>
      <c r="X233" s="6">
        <f t="shared" si="61"/>
        <v>-4175</v>
      </c>
      <c r="Y233" s="2"/>
      <c r="Z233" s="7">
        <f t="shared" si="62"/>
        <v>-1</v>
      </c>
    </row>
    <row r="234" spans="1:26" s="24" customFormat="1" hidden="1" outlineLevel="2" x14ac:dyDescent="0.25">
      <c r="A234" s="27"/>
      <c r="B234" s="11" t="str">
        <f>CONCATENATE("          ", "6396", " - ", "COUPONS-CHARTROOM")</f>
        <v xml:space="preserve">          6396 - COUPONS-CHARTROOM</v>
      </c>
      <c r="C234" s="11"/>
      <c r="D234" s="6"/>
      <c r="E234" s="2"/>
      <c r="F234" s="7">
        <f t="shared" si="55"/>
        <v>0</v>
      </c>
      <c r="G234" s="2"/>
      <c r="H234" s="6">
        <v>100</v>
      </c>
      <c r="I234" s="2"/>
      <c r="J234" s="7">
        <f t="shared" si="56"/>
        <v>2.5987035633099089E-5</v>
      </c>
      <c r="K234" s="2"/>
      <c r="L234" s="6">
        <f t="shared" si="57"/>
        <v>-100</v>
      </c>
      <c r="M234" s="2"/>
      <c r="N234" s="7">
        <f t="shared" si="58"/>
        <v>-1</v>
      </c>
      <c r="O234" s="11"/>
      <c r="P234" s="6"/>
      <c r="Q234" s="2"/>
      <c r="R234" s="7">
        <f t="shared" si="59"/>
        <v>0</v>
      </c>
      <c r="S234" s="2"/>
      <c r="T234" s="6">
        <v>400</v>
      </c>
      <c r="U234" s="2"/>
      <c r="V234" s="7">
        <f t="shared" si="60"/>
        <v>2.8523347205404155E-5</v>
      </c>
      <c r="W234" s="2"/>
      <c r="X234" s="6">
        <f t="shared" si="61"/>
        <v>-400</v>
      </c>
      <c r="Y234" s="2"/>
      <c r="Z234" s="7">
        <f t="shared" si="62"/>
        <v>-1</v>
      </c>
    </row>
    <row r="235" spans="1:26" s="24" customFormat="1" hidden="1" outlineLevel="2" x14ac:dyDescent="0.25">
      <c r="A235" s="27"/>
      <c r="B235" s="11" t="str">
        <f>CONCATENATE("          ", "6399", " - ", "DONATION-ON CAMPUS")</f>
        <v xml:space="preserve">          6399 - DONATION-ON CAMPUS</v>
      </c>
      <c r="C235" s="11"/>
      <c r="D235" s="6">
        <v>24688.82</v>
      </c>
      <c r="E235" s="2"/>
      <c r="F235" s="7">
        <f t="shared" si="55"/>
        <v>6.630668802562043E-3</v>
      </c>
      <c r="G235" s="2"/>
      <c r="H235" s="6">
        <v>18637</v>
      </c>
      <c r="I235" s="2"/>
      <c r="J235" s="7">
        <f t="shared" si="56"/>
        <v>4.8432038309406773E-3</v>
      </c>
      <c r="K235" s="2"/>
      <c r="L235" s="6">
        <f t="shared" si="57"/>
        <v>6051.82</v>
      </c>
      <c r="M235" s="2"/>
      <c r="N235" s="7">
        <f t="shared" si="58"/>
        <v>0.32472071685357085</v>
      </c>
      <c r="O235" s="11"/>
      <c r="P235" s="6">
        <v>56510.91</v>
      </c>
      <c r="Q235" s="2"/>
      <c r="R235" s="7">
        <f t="shared" si="59"/>
        <v>4.1992434332083365E-3</v>
      </c>
      <c r="S235" s="2"/>
      <c r="T235" s="6">
        <v>45174</v>
      </c>
      <c r="U235" s="2"/>
      <c r="V235" s="7">
        <f t="shared" si="60"/>
        <v>3.2212842166423183E-3</v>
      </c>
      <c r="W235" s="2"/>
      <c r="X235" s="6">
        <f t="shared" si="61"/>
        <v>11336.910000000003</v>
      </c>
      <c r="Y235" s="2"/>
      <c r="Z235" s="7">
        <f t="shared" si="62"/>
        <v>0.25096095098950733</v>
      </c>
    </row>
    <row r="236" spans="1:26" s="26" customFormat="1" outlineLevel="1" collapsed="1" x14ac:dyDescent="0.25">
      <c r="A236" s="25"/>
      <c r="B236" s="13" t="str">
        <f>CONCATENATE("     ","Employees' Appreciation                           ")</f>
        <v xml:space="preserve">     Employees' Appreciation                           </v>
      </c>
      <c r="C236" s="13"/>
      <c r="D236" s="1">
        <f>SUM(OSRRefD22_8x_0)</f>
        <v>160.91999999999999</v>
      </c>
      <c r="E236" s="1"/>
      <c r="F236" s="5">
        <f t="shared" ref="F236:F242" si="63">IF(D$12=0,0,D236/D$12)</f>
        <v>4.3218234962557303E-5</v>
      </c>
      <c r="G236" s="1"/>
      <c r="H236" s="1">
        <f>SUM(OSRRefH22_8x_0)</f>
        <v>1670</v>
      </c>
      <c r="I236" s="1"/>
      <c r="J236" s="5">
        <f t="shared" ref="J236:J242" si="64">IF(H$12=0,0,H236/H$12)</f>
        <v>4.339834950727548E-4</v>
      </c>
      <c r="K236" s="1"/>
      <c r="L236" s="1">
        <f t="shared" ref="L236:L242" si="65">+D236-H236</f>
        <v>-1509.08</v>
      </c>
      <c r="M236" s="1"/>
      <c r="N236" s="5">
        <f t="shared" ref="N236:N242" si="66">IF(H236=0,0,L236/H236)</f>
        <v>-0.9036407185628742</v>
      </c>
      <c r="O236" s="13"/>
      <c r="P236" s="1">
        <f>SUM(OSRRefP22_8x_0)</f>
        <v>2078.15</v>
      </c>
      <c r="Q236" s="1"/>
      <c r="R236" s="5">
        <f t="shared" ref="R236:R242" si="67">IF(P$12=0,0,P236/P$12)</f>
        <v>1.5442430038238467E-4</v>
      </c>
      <c r="S236" s="1"/>
      <c r="T236" s="1">
        <f>SUM(OSRRefT22_8x_0)</f>
        <v>6925</v>
      </c>
      <c r="U236" s="1"/>
      <c r="V236" s="5">
        <f t="shared" ref="V236:V242" si="68">IF(T$12=0,0,T236/T$12)</f>
        <v>4.9381044849355937E-4</v>
      </c>
      <c r="W236" s="1"/>
      <c r="X236" s="1">
        <f t="shared" ref="X236:X242" si="69">+P236-T236</f>
        <v>-4846.8500000000004</v>
      </c>
      <c r="Y236" s="1"/>
      <c r="Z236" s="5">
        <f t="shared" ref="Z236:Z242" si="70">IF(T236=0,0,X236/T236)</f>
        <v>-0.69990613718411554</v>
      </c>
    </row>
    <row r="237" spans="1:26" s="24" customFormat="1" hidden="1" outlineLevel="2" x14ac:dyDescent="0.25">
      <c r="A237" s="27"/>
      <c r="B237" s="11" t="str">
        <f>CONCATENATE("          ", "6277", " - ", "EMPLOYEE APPRECIATION")</f>
        <v xml:space="preserve">          6277 - EMPLOYEE APPRECIATION</v>
      </c>
      <c r="C237" s="11"/>
      <c r="D237" s="6">
        <v>160.91999999999999</v>
      </c>
      <c r="E237" s="2"/>
      <c r="F237" s="7">
        <f t="shared" si="63"/>
        <v>4.3218234962557303E-5</v>
      </c>
      <c r="G237" s="2"/>
      <c r="H237" s="6">
        <v>1670</v>
      </c>
      <c r="I237" s="2"/>
      <c r="J237" s="7">
        <f t="shared" si="64"/>
        <v>4.339834950727548E-4</v>
      </c>
      <c r="K237" s="2"/>
      <c r="L237" s="6">
        <f t="shared" si="65"/>
        <v>-1509.08</v>
      </c>
      <c r="M237" s="2"/>
      <c r="N237" s="7">
        <f t="shared" si="66"/>
        <v>-0.9036407185628742</v>
      </c>
      <c r="O237" s="11"/>
      <c r="P237" s="6">
        <v>2078.15</v>
      </c>
      <c r="Q237" s="2"/>
      <c r="R237" s="7">
        <f t="shared" si="67"/>
        <v>1.5442430038238467E-4</v>
      </c>
      <c r="S237" s="2"/>
      <c r="T237" s="6">
        <v>6925</v>
      </c>
      <c r="U237" s="2"/>
      <c r="V237" s="7">
        <f t="shared" si="68"/>
        <v>4.9381044849355937E-4</v>
      </c>
      <c r="W237" s="2"/>
      <c r="X237" s="6">
        <f t="shared" si="69"/>
        <v>-4846.8500000000004</v>
      </c>
      <c r="Y237" s="2"/>
      <c r="Z237" s="7">
        <f t="shared" si="70"/>
        <v>-0.69990613718411554</v>
      </c>
    </row>
    <row r="238" spans="1:26" s="26" customFormat="1" outlineLevel="1" collapsed="1" x14ac:dyDescent="0.25">
      <c r="A238" s="25"/>
      <c r="B238" s="13" t="str">
        <f>CONCATENATE("     ","Equipment Rental                                  ")</f>
        <v xml:space="preserve">     Equipment Rental                                  </v>
      </c>
      <c r="C238" s="13"/>
      <c r="D238" s="1">
        <f>SUM(OSRRefD22_9x_0)</f>
        <v>10339.049999999999</v>
      </c>
      <c r="E238" s="1"/>
      <c r="F238" s="5">
        <f t="shared" si="63"/>
        <v>2.7767554821627395E-3</v>
      </c>
      <c r="G238" s="1"/>
      <c r="H238" s="1">
        <f>SUM(OSRRefH22_9x_0)</f>
        <v>5370</v>
      </c>
      <c r="I238" s="1"/>
      <c r="J238" s="5">
        <f t="shared" si="64"/>
        <v>1.3955038134974211E-3</v>
      </c>
      <c r="K238" s="1"/>
      <c r="L238" s="1">
        <f t="shared" si="65"/>
        <v>4969.0499999999993</v>
      </c>
      <c r="M238" s="1"/>
      <c r="N238" s="5">
        <f t="shared" si="66"/>
        <v>0.92533519553072607</v>
      </c>
      <c r="O238" s="13"/>
      <c r="P238" s="1">
        <f>SUM(OSRRefP22_9x_0)</f>
        <v>22192.99</v>
      </c>
      <c r="Q238" s="1"/>
      <c r="R238" s="5">
        <f t="shared" si="67"/>
        <v>1.6491287703694435E-3</v>
      </c>
      <c r="S238" s="1"/>
      <c r="T238" s="1">
        <f>SUM(OSRRefT22_9x_0)</f>
        <v>22190</v>
      </c>
      <c r="U238" s="1"/>
      <c r="V238" s="5">
        <f t="shared" si="68"/>
        <v>1.5823326862197955E-3</v>
      </c>
      <c r="W238" s="1"/>
      <c r="X238" s="1">
        <f t="shared" si="69"/>
        <v>2.9900000000016007</v>
      </c>
      <c r="Y238" s="1"/>
      <c r="Z238" s="5">
        <f t="shared" si="70"/>
        <v>1.3474538080223528E-4</v>
      </c>
    </row>
    <row r="239" spans="1:26" s="24" customFormat="1" hidden="1" outlineLevel="2" x14ac:dyDescent="0.25">
      <c r="A239" s="27"/>
      <c r="B239" s="11" t="str">
        <f>CONCATENATE("          ", "6351", " - ", "EQUIPMENT RENTAL")</f>
        <v xml:space="preserve">          6351 - EQUIPMENT RENTAL</v>
      </c>
      <c r="C239" s="11"/>
      <c r="D239" s="6">
        <v>10339.049999999999</v>
      </c>
      <c r="E239" s="2"/>
      <c r="F239" s="7">
        <f t="shared" si="63"/>
        <v>2.7767554821627395E-3</v>
      </c>
      <c r="G239" s="2"/>
      <c r="H239" s="6">
        <v>5370</v>
      </c>
      <c r="I239" s="2"/>
      <c r="J239" s="7">
        <f t="shared" si="64"/>
        <v>1.3955038134974211E-3</v>
      </c>
      <c r="K239" s="2"/>
      <c r="L239" s="6">
        <f t="shared" si="65"/>
        <v>4969.0499999999993</v>
      </c>
      <c r="M239" s="2"/>
      <c r="N239" s="7">
        <f t="shared" si="66"/>
        <v>0.92533519553072607</v>
      </c>
      <c r="O239" s="11"/>
      <c r="P239" s="6">
        <v>22192.99</v>
      </c>
      <c r="Q239" s="2"/>
      <c r="R239" s="7">
        <f t="shared" si="67"/>
        <v>1.6491287703694435E-3</v>
      </c>
      <c r="S239" s="2"/>
      <c r="T239" s="6">
        <v>22190</v>
      </c>
      <c r="U239" s="2"/>
      <c r="V239" s="7">
        <f t="shared" si="68"/>
        <v>1.5823326862197955E-3</v>
      </c>
      <c r="W239" s="2"/>
      <c r="X239" s="6">
        <f t="shared" si="69"/>
        <v>2.9900000000016007</v>
      </c>
      <c r="Y239" s="2"/>
      <c r="Z239" s="7">
        <f t="shared" si="70"/>
        <v>1.3474538080223528E-4</v>
      </c>
    </row>
    <row r="240" spans="1:26" s="26" customFormat="1" outlineLevel="1" collapsed="1" x14ac:dyDescent="0.25">
      <c r="A240" s="25"/>
      <c r="B240" s="13" t="str">
        <f>CONCATENATE("     ","Freight out/Postage                               ")</f>
        <v xml:space="preserve">     Freight out/Postage                               </v>
      </c>
      <c r="C240" s="13"/>
      <c r="D240" s="1">
        <f>SUM(OSRRefD22_10x_0)</f>
        <v>1663.4299999999998</v>
      </c>
      <c r="E240" s="1"/>
      <c r="F240" s="5">
        <f t="shared" si="63"/>
        <v>4.4674688406516708E-4</v>
      </c>
      <c r="G240" s="1"/>
      <c r="H240" s="1">
        <f>SUM(OSRRefH22_10x_0)</f>
        <v>-6574</v>
      </c>
      <c r="I240" s="1"/>
      <c r="J240" s="5">
        <f t="shared" si="64"/>
        <v>-1.7083877225199341E-3</v>
      </c>
      <c r="K240" s="1"/>
      <c r="L240" s="1">
        <f t="shared" si="65"/>
        <v>8237.43</v>
      </c>
      <c r="M240" s="1"/>
      <c r="N240" s="5">
        <f t="shared" si="66"/>
        <v>-1.2530316397931245</v>
      </c>
      <c r="O240" s="13"/>
      <c r="P240" s="1">
        <f>SUM(OSRRefP22_10x_0)</f>
        <v>-3896.3700000000026</v>
      </c>
      <c r="Q240" s="1"/>
      <c r="R240" s="5">
        <f t="shared" si="67"/>
        <v>-2.8953358096427709E-4</v>
      </c>
      <c r="S240" s="1"/>
      <c r="T240" s="1">
        <f>SUM(OSRRefT22_10x_0)</f>
        <v>-30396</v>
      </c>
      <c r="U240" s="1"/>
      <c r="V240" s="5">
        <f t="shared" si="68"/>
        <v>-2.1674891541386618E-3</v>
      </c>
      <c r="W240" s="1"/>
      <c r="X240" s="1">
        <f t="shared" si="69"/>
        <v>26499.629999999997</v>
      </c>
      <c r="Y240" s="1"/>
      <c r="Z240" s="5">
        <f t="shared" si="70"/>
        <v>-0.87181306750888266</v>
      </c>
    </row>
    <row r="241" spans="1:26" s="24" customFormat="1" hidden="1" outlineLevel="2" x14ac:dyDescent="0.25">
      <c r="A241" s="27"/>
      <c r="B241" s="11" t="str">
        <f>CONCATENATE("          ", "6305", " - ", "FREIGHT OUT")</f>
        <v xml:space="preserve">          6305 - FREIGHT OUT</v>
      </c>
      <c r="C241" s="11"/>
      <c r="D241" s="6">
        <v>4609.62</v>
      </c>
      <c r="E241" s="2"/>
      <c r="F241" s="7">
        <f t="shared" si="63"/>
        <v>1.2380042272439932E-3</v>
      </c>
      <c r="G241" s="2"/>
      <c r="H241" s="6">
        <v>-6625</v>
      </c>
      <c r="I241" s="2"/>
      <c r="J241" s="7">
        <f t="shared" si="64"/>
        <v>-1.7216411106928148E-3</v>
      </c>
      <c r="K241" s="2"/>
      <c r="L241" s="6">
        <f t="shared" si="65"/>
        <v>11234.619999999999</v>
      </c>
      <c r="M241" s="2"/>
      <c r="N241" s="7">
        <f t="shared" si="66"/>
        <v>-1.6957916981132073</v>
      </c>
      <c r="O241" s="11"/>
      <c r="P241" s="6">
        <v>19691.86</v>
      </c>
      <c r="Q241" s="2"/>
      <c r="R241" s="7">
        <f t="shared" si="67"/>
        <v>1.4632734421133533E-3</v>
      </c>
      <c r="S241" s="2"/>
      <c r="T241" s="6">
        <v>-30600</v>
      </c>
      <c r="U241" s="2"/>
      <c r="V241" s="7">
        <f t="shared" si="68"/>
        <v>-2.1820360612134176E-3</v>
      </c>
      <c r="W241" s="2"/>
      <c r="X241" s="6">
        <f t="shared" si="69"/>
        <v>50291.86</v>
      </c>
      <c r="Y241" s="2"/>
      <c r="Z241" s="7">
        <f t="shared" si="70"/>
        <v>-1.6435248366013071</v>
      </c>
    </row>
    <row r="242" spans="1:26" s="24" customFormat="1" hidden="1" outlineLevel="2" x14ac:dyDescent="0.25">
      <c r="A242" s="27"/>
      <c r="B242" s="11" t="str">
        <f>CONCATENATE("          ", "6307", " - ", "POSTAGE")</f>
        <v xml:space="preserve">          6307 - POSTAGE</v>
      </c>
      <c r="C242" s="11"/>
      <c r="D242" s="6">
        <v>-2946.19</v>
      </c>
      <c r="E242" s="2"/>
      <c r="F242" s="7">
        <f t="shared" si="63"/>
        <v>-7.9125734317882614E-4</v>
      </c>
      <c r="G242" s="2"/>
      <c r="H242" s="6">
        <v>51</v>
      </c>
      <c r="I242" s="2"/>
      <c r="J242" s="7">
        <f t="shared" si="64"/>
        <v>1.3253388172880536E-5</v>
      </c>
      <c r="K242" s="2"/>
      <c r="L242" s="6">
        <f t="shared" si="65"/>
        <v>-2997.19</v>
      </c>
      <c r="M242" s="2"/>
      <c r="N242" s="7">
        <f t="shared" si="66"/>
        <v>-58.768431372549024</v>
      </c>
      <c r="O242" s="11"/>
      <c r="P242" s="6">
        <v>-23588.230000000003</v>
      </c>
      <c r="Q242" s="2"/>
      <c r="R242" s="7">
        <f t="shared" si="67"/>
        <v>-1.7528070230776304E-3</v>
      </c>
      <c r="S242" s="2"/>
      <c r="T242" s="6">
        <v>204</v>
      </c>
      <c r="U242" s="2"/>
      <c r="V242" s="7">
        <f t="shared" si="68"/>
        <v>1.4546907074756118E-5</v>
      </c>
      <c r="W242" s="2"/>
      <c r="X242" s="6">
        <f t="shared" si="69"/>
        <v>-23792.230000000003</v>
      </c>
      <c r="Y242" s="2"/>
      <c r="Z242" s="7">
        <f t="shared" si="70"/>
        <v>-116.62857843137256</v>
      </c>
    </row>
    <row r="243" spans="1:26" s="26" customFormat="1" outlineLevel="1" collapsed="1" x14ac:dyDescent="0.25">
      <c r="A243" s="25"/>
      <c r="B243" s="13" t="str">
        <f>CONCATENATE("     ","General                                           ")</f>
        <v xml:space="preserve">     General                                           </v>
      </c>
      <c r="C243" s="13"/>
      <c r="D243" s="1">
        <f>SUM(OSRRefD22_11x_0)</f>
        <v>11074.17</v>
      </c>
      <c r="E243" s="1"/>
      <c r="F243" s="5">
        <f t="shared" ref="F243:F245" si="71">IF(D$12=0,0,D243/D$12)</f>
        <v>2.9741864347209994E-3</v>
      </c>
      <c r="G243" s="1"/>
      <c r="H243" s="1">
        <f>SUM(OSRRefH22_11x_0)</f>
        <v>7598</v>
      </c>
      <c r="I243" s="1"/>
      <c r="J243" s="5">
        <f t="shared" ref="J243:J245" si="72">IF(H$12=0,0,H243/H$12)</f>
        <v>1.974494967402869E-3</v>
      </c>
      <c r="K243" s="1"/>
      <c r="L243" s="1">
        <f t="shared" ref="L243:L245" si="73">+D243-H243</f>
        <v>3476.17</v>
      </c>
      <c r="M243" s="1"/>
      <c r="N243" s="5">
        <f t="shared" ref="N243:N245" si="74">IF(H243=0,0,L243/H243)</f>
        <v>0.45751118715451433</v>
      </c>
      <c r="O243" s="13"/>
      <c r="P243" s="1">
        <f>SUM(OSRRefP22_11x_0)</f>
        <v>35849.939999999995</v>
      </c>
      <c r="Q243" s="1"/>
      <c r="R243" s="5">
        <f t="shared" ref="R243:R245" si="75">IF(P$12=0,0,P243/P$12)</f>
        <v>2.6639568381735994E-3</v>
      </c>
      <c r="S243" s="1"/>
      <c r="T243" s="1">
        <f>SUM(OSRRefT22_11x_0)</f>
        <v>37568</v>
      </c>
      <c r="U243" s="1"/>
      <c r="V243" s="5">
        <f t="shared" ref="V243:V245" si="76">IF(T$12=0,0,T243/T$12)</f>
        <v>2.6789127695315581E-3</v>
      </c>
      <c r="W243" s="1"/>
      <c r="X243" s="1">
        <f t="shared" ref="X243:X245" si="77">+P243-T243</f>
        <v>-1718.0600000000049</v>
      </c>
      <c r="Y243" s="1"/>
      <c r="Z243" s="5">
        <f t="shared" ref="Z243:Z245" si="78">IF(T243=0,0,X243/T243)</f>
        <v>-4.573200596252143E-2</v>
      </c>
    </row>
    <row r="244" spans="1:26" s="24" customFormat="1" hidden="1" outlineLevel="2" x14ac:dyDescent="0.25">
      <c r="A244" s="27"/>
      <c r="B244" s="11" t="str">
        <f>CONCATENATE("          ", "6269", " - ", "ENTERTAINMENT")</f>
        <v xml:space="preserve">          6269 - ENTERTAINMENT</v>
      </c>
      <c r="C244" s="11"/>
      <c r="D244" s="6">
        <v>1850</v>
      </c>
      <c r="E244" s="2"/>
      <c r="F244" s="7">
        <f t="shared" si="71"/>
        <v>4.9685393164759512E-4</v>
      </c>
      <c r="G244" s="2"/>
      <c r="H244" s="6">
        <v>750</v>
      </c>
      <c r="I244" s="2"/>
      <c r="J244" s="7">
        <f t="shared" si="72"/>
        <v>1.9490276724824318E-4</v>
      </c>
      <c r="K244" s="2"/>
      <c r="L244" s="6">
        <f t="shared" si="73"/>
        <v>1100</v>
      </c>
      <c r="M244" s="2"/>
      <c r="N244" s="7">
        <f t="shared" si="74"/>
        <v>1.4666666666666666</v>
      </c>
      <c r="O244" s="11"/>
      <c r="P244" s="6">
        <v>5500</v>
      </c>
      <c r="Q244" s="2"/>
      <c r="R244" s="7">
        <f t="shared" si="75"/>
        <v>4.0869699112341051E-4</v>
      </c>
      <c r="S244" s="2"/>
      <c r="T244" s="6">
        <v>3150</v>
      </c>
      <c r="U244" s="2"/>
      <c r="V244" s="7">
        <f t="shared" si="76"/>
        <v>2.246213592425577E-4</v>
      </c>
      <c r="W244" s="2"/>
      <c r="X244" s="6">
        <f t="shared" si="77"/>
        <v>2350</v>
      </c>
      <c r="Y244" s="2"/>
      <c r="Z244" s="7">
        <f t="shared" si="78"/>
        <v>0.74603174603174605</v>
      </c>
    </row>
    <row r="245" spans="1:26" s="24" customFormat="1" hidden="1" outlineLevel="2" x14ac:dyDescent="0.25">
      <c r="A245" s="27"/>
      <c r="B245" s="11" t="str">
        <f>CONCATENATE("          ", "6279", " - ", "GENERAL EXPENSE")</f>
        <v xml:space="preserve">          6279 - GENERAL EXPENSE</v>
      </c>
      <c r="C245" s="11"/>
      <c r="D245" s="6">
        <v>9224.17</v>
      </c>
      <c r="E245" s="2"/>
      <c r="F245" s="7">
        <f t="shared" si="71"/>
        <v>2.4773325030734042E-3</v>
      </c>
      <c r="G245" s="2"/>
      <c r="H245" s="6">
        <v>6848</v>
      </c>
      <c r="I245" s="2"/>
      <c r="J245" s="7">
        <f t="shared" si="72"/>
        <v>1.7795922001546257E-3</v>
      </c>
      <c r="K245" s="2"/>
      <c r="L245" s="6">
        <f t="shared" si="73"/>
        <v>2376.17</v>
      </c>
      <c r="M245" s="2"/>
      <c r="N245" s="7">
        <f t="shared" si="74"/>
        <v>0.34698744158878508</v>
      </c>
      <c r="O245" s="11"/>
      <c r="P245" s="6">
        <v>30349.939999999995</v>
      </c>
      <c r="Q245" s="2"/>
      <c r="R245" s="7">
        <f t="shared" si="75"/>
        <v>2.255259847050189E-3</v>
      </c>
      <c r="S245" s="2"/>
      <c r="T245" s="6">
        <v>34418</v>
      </c>
      <c r="U245" s="2"/>
      <c r="V245" s="7">
        <f t="shared" si="76"/>
        <v>2.4542914102890002E-3</v>
      </c>
      <c r="W245" s="2"/>
      <c r="X245" s="6">
        <f t="shared" si="77"/>
        <v>-4068.0600000000049</v>
      </c>
      <c r="Y245" s="2"/>
      <c r="Z245" s="7">
        <f t="shared" si="78"/>
        <v>-0.11819571154628407</v>
      </c>
    </row>
    <row r="246" spans="1:26" s="26" customFormat="1" outlineLevel="1" collapsed="1" x14ac:dyDescent="0.25">
      <c r="A246" s="25"/>
      <c r="B246" s="13" t="str">
        <f>CONCATENATE("     ","Insurance                                         ")</f>
        <v xml:space="preserve">     Insurance                                         </v>
      </c>
      <c r="C246" s="13"/>
      <c r="D246" s="1">
        <f>SUM(OSRRefD22_12x_0)</f>
        <v>8563.32</v>
      </c>
      <c r="E246" s="1"/>
      <c r="F246" s="5">
        <f t="shared" ref="F246:F262" si="79">IF(D$12=0,0,D246/D$12)</f>
        <v>2.2998482215980998E-3</v>
      </c>
      <c r="G246" s="1"/>
      <c r="H246" s="1">
        <f>SUM(OSRRefH22_12x_0)</f>
        <v>8081</v>
      </c>
      <c r="I246" s="1"/>
      <c r="J246" s="5">
        <f t="shared" ref="J246:J262" si="80">IF(H$12=0,0,H246/H$12)</f>
        <v>2.1000123495107377E-3</v>
      </c>
      <c r="K246" s="1"/>
      <c r="L246" s="1">
        <f t="shared" ref="L246:L262" si="81">+D246-H246</f>
        <v>482.31999999999971</v>
      </c>
      <c r="M246" s="1"/>
      <c r="N246" s="5">
        <f t="shared" ref="N246:N262" si="82">IF(H246=0,0,L246/H246)</f>
        <v>5.9685682465041419E-2</v>
      </c>
      <c r="O246" s="13"/>
      <c r="P246" s="1">
        <f>SUM(OSRRefP22_12x_0)</f>
        <v>34253.279999999999</v>
      </c>
      <c r="Q246" s="1"/>
      <c r="R246" s="5">
        <f t="shared" ref="R246:R262" si="83">IF(P$12=0,0,P246/P$12)</f>
        <v>2.5453113585650355E-3</v>
      </c>
      <c r="S246" s="1"/>
      <c r="T246" s="1">
        <f>SUM(OSRRefT22_12x_0)</f>
        <v>32324</v>
      </c>
      <c r="U246" s="1"/>
      <c r="V246" s="5">
        <f t="shared" ref="V246:V262" si="84">IF(T$12=0,0,T246/T$12)</f>
        <v>2.3049716876687096E-3</v>
      </c>
      <c r="W246" s="1"/>
      <c r="X246" s="1">
        <f t="shared" ref="X246:X262" si="85">+P246-T246</f>
        <v>1929.2799999999988</v>
      </c>
      <c r="Y246" s="1"/>
      <c r="Z246" s="5">
        <f t="shared" ref="Z246:Z262" si="86">IF(T246=0,0,X246/T246)</f>
        <v>5.9685682465041419E-2</v>
      </c>
    </row>
    <row r="247" spans="1:26" s="24" customFormat="1" hidden="1" outlineLevel="2" x14ac:dyDescent="0.25">
      <c r="A247" s="27"/>
      <c r="B247" s="11" t="str">
        <f>CONCATENATE("          ", "6314", " - ", "LIABILITY INSURANCE")</f>
        <v xml:space="preserve">          6314 - LIABILITY INSURANCE</v>
      </c>
      <c r="C247" s="11"/>
      <c r="D247" s="6">
        <v>8563.32</v>
      </c>
      <c r="E247" s="2"/>
      <c r="F247" s="7">
        <f t="shared" si="79"/>
        <v>2.2998482215980998E-3</v>
      </c>
      <c r="G247" s="2"/>
      <c r="H247" s="6">
        <v>8081</v>
      </c>
      <c r="I247" s="2"/>
      <c r="J247" s="7">
        <f t="shared" si="80"/>
        <v>2.1000123495107377E-3</v>
      </c>
      <c r="K247" s="2"/>
      <c r="L247" s="6">
        <f t="shared" si="81"/>
        <v>482.31999999999971</v>
      </c>
      <c r="M247" s="2"/>
      <c r="N247" s="7">
        <f t="shared" si="82"/>
        <v>5.9685682465041419E-2</v>
      </c>
      <c r="O247" s="11"/>
      <c r="P247" s="6">
        <v>34253.279999999999</v>
      </c>
      <c r="Q247" s="2"/>
      <c r="R247" s="7">
        <f t="shared" si="83"/>
        <v>2.5453113585650355E-3</v>
      </c>
      <c r="S247" s="2"/>
      <c r="T247" s="6">
        <v>32324</v>
      </c>
      <c r="U247" s="2"/>
      <c r="V247" s="7">
        <f t="shared" si="84"/>
        <v>2.3049716876687096E-3</v>
      </c>
      <c r="W247" s="2"/>
      <c r="X247" s="6">
        <f t="shared" si="85"/>
        <v>1929.2799999999988</v>
      </c>
      <c r="Y247" s="2"/>
      <c r="Z247" s="7">
        <f t="shared" si="86"/>
        <v>5.9685682465041419E-2</v>
      </c>
    </row>
    <row r="248" spans="1:26" s="26" customFormat="1" outlineLevel="1" collapsed="1" x14ac:dyDescent="0.25">
      <c r="A248" s="25"/>
      <c r="B248" s="13" t="str">
        <f>CONCATENATE("     ","Interest                                          ")</f>
        <v xml:space="preserve">     Interest                                          </v>
      </c>
      <c r="C248" s="13"/>
      <c r="D248" s="1">
        <f>SUM(OSRRefD22_13x_0)</f>
        <v>11897</v>
      </c>
      <c r="E248" s="1"/>
      <c r="F248" s="5">
        <f t="shared" si="79"/>
        <v>3.1951736350332104E-3</v>
      </c>
      <c r="G248" s="1"/>
      <c r="H248" s="1">
        <f>SUM(OSRRefH22_13x_0)</f>
        <v>11929</v>
      </c>
      <c r="I248" s="1"/>
      <c r="J248" s="5">
        <f t="shared" si="80"/>
        <v>3.0999934806723905E-3</v>
      </c>
      <c r="K248" s="1"/>
      <c r="L248" s="1">
        <f t="shared" si="81"/>
        <v>-32</v>
      </c>
      <c r="M248" s="1"/>
      <c r="N248" s="5">
        <f t="shared" si="82"/>
        <v>-2.6825383519155001E-3</v>
      </c>
      <c r="O248" s="13"/>
      <c r="P248" s="1">
        <f>SUM(OSRRefP22_13x_0)</f>
        <v>47117</v>
      </c>
      <c r="Q248" s="1"/>
      <c r="R248" s="5">
        <f t="shared" si="83"/>
        <v>3.5011956601384967E-3</v>
      </c>
      <c r="S248" s="1"/>
      <c r="T248" s="1">
        <f>SUM(OSRRefT22_13x_0)</f>
        <v>47716</v>
      </c>
      <c r="U248" s="1"/>
      <c r="V248" s="5">
        <f t="shared" si="84"/>
        <v>3.4025500881326616E-3</v>
      </c>
      <c r="W248" s="1"/>
      <c r="X248" s="1">
        <f t="shared" si="85"/>
        <v>-599</v>
      </c>
      <c r="Y248" s="1"/>
      <c r="Z248" s="5">
        <f t="shared" si="86"/>
        <v>-1.2553441193729567E-2</v>
      </c>
    </row>
    <row r="249" spans="1:26" s="24" customFormat="1" hidden="1" outlineLevel="2" x14ac:dyDescent="0.25">
      <c r="A249" s="27"/>
      <c r="B249" s="11" t="str">
        <f>CONCATENATE("          ", "6401", " - ", "INTEREST EXPENSE")</f>
        <v xml:space="preserve">          6401 - INTEREST EXPENSE</v>
      </c>
      <c r="C249" s="11"/>
      <c r="D249" s="6">
        <v>11897</v>
      </c>
      <c r="E249" s="2"/>
      <c r="F249" s="7">
        <f t="shared" si="79"/>
        <v>3.1951736350332104E-3</v>
      </c>
      <c r="G249" s="2"/>
      <c r="H249" s="6">
        <v>11929</v>
      </c>
      <c r="I249" s="2"/>
      <c r="J249" s="7">
        <f t="shared" si="80"/>
        <v>3.0999934806723905E-3</v>
      </c>
      <c r="K249" s="2"/>
      <c r="L249" s="6">
        <f t="shared" si="81"/>
        <v>-32</v>
      </c>
      <c r="M249" s="2"/>
      <c r="N249" s="7">
        <f t="shared" si="82"/>
        <v>-2.6825383519155001E-3</v>
      </c>
      <c r="O249" s="11"/>
      <c r="P249" s="6">
        <v>47117</v>
      </c>
      <c r="Q249" s="2"/>
      <c r="R249" s="7">
        <f t="shared" si="83"/>
        <v>3.5011956601384967E-3</v>
      </c>
      <c r="S249" s="2"/>
      <c r="T249" s="6">
        <v>47716</v>
      </c>
      <c r="U249" s="2"/>
      <c r="V249" s="7">
        <f t="shared" si="84"/>
        <v>3.4025500881326616E-3</v>
      </c>
      <c r="W249" s="2"/>
      <c r="X249" s="6">
        <f t="shared" si="85"/>
        <v>-599</v>
      </c>
      <c r="Y249" s="2"/>
      <c r="Z249" s="7">
        <f t="shared" si="86"/>
        <v>-1.2553441193729567E-2</v>
      </c>
    </row>
    <row r="250" spans="1:26" s="26" customFormat="1" outlineLevel="1" collapsed="1" x14ac:dyDescent="0.25">
      <c r="A250" s="25"/>
      <c r="B250" s="13" t="str">
        <f>CONCATENATE("     ","Inventory Adjustment                              ")</f>
        <v xml:space="preserve">     Inventory Adjustment                              </v>
      </c>
      <c r="C250" s="13"/>
      <c r="D250" s="1">
        <f>SUM(OSRRefD22_14x_0)</f>
        <v>4250</v>
      </c>
      <c r="E250" s="1"/>
      <c r="F250" s="5">
        <f t="shared" si="79"/>
        <v>1.1414211943255564E-3</v>
      </c>
      <c r="G250" s="1"/>
      <c r="H250" s="1">
        <f>SUM(OSRRefH22_14x_0)</f>
        <v>4250</v>
      </c>
      <c r="I250" s="1"/>
      <c r="J250" s="5">
        <f t="shared" si="80"/>
        <v>1.1044490144067113E-3</v>
      </c>
      <c r="K250" s="1"/>
      <c r="L250" s="1">
        <f t="shared" si="81"/>
        <v>0</v>
      </c>
      <c r="M250" s="1"/>
      <c r="N250" s="5">
        <f t="shared" si="82"/>
        <v>0</v>
      </c>
      <c r="O250" s="13"/>
      <c r="P250" s="1">
        <f>SUM(OSRRefP22_14x_0)</f>
        <v>16900</v>
      </c>
      <c r="Q250" s="1"/>
      <c r="R250" s="5">
        <f t="shared" si="83"/>
        <v>1.2558143909064796E-3</v>
      </c>
      <c r="S250" s="1"/>
      <c r="T250" s="1">
        <f>SUM(OSRRefT22_14x_0)</f>
        <v>16900</v>
      </c>
      <c r="U250" s="1"/>
      <c r="V250" s="5">
        <f t="shared" si="84"/>
        <v>1.2051114194283254E-3</v>
      </c>
      <c r="W250" s="1"/>
      <c r="X250" s="1">
        <f t="shared" si="85"/>
        <v>0</v>
      </c>
      <c r="Y250" s="1"/>
      <c r="Z250" s="5">
        <f t="shared" si="86"/>
        <v>0</v>
      </c>
    </row>
    <row r="251" spans="1:26" s="24" customFormat="1" hidden="1" outlineLevel="2" x14ac:dyDescent="0.25">
      <c r="A251" s="27"/>
      <c r="B251" s="11" t="str">
        <f>CONCATENATE("          ", "6408", " - ", "INVENTORY ADJUSTMENT")</f>
        <v xml:space="preserve">          6408 - INVENTORY ADJUSTMENT</v>
      </c>
      <c r="C251" s="11"/>
      <c r="D251" s="6">
        <v>4250</v>
      </c>
      <c r="E251" s="2"/>
      <c r="F251" s="7">
        <f t="shared" si="79"/>
        <v>1.1414211943255564E-3</v>
      </c>
      <c r="G251" s="2"/>
      <c r="H251" s="6">
        <v>4250</v>
      </c>
      <c r="I251" s="2"/>
      <c r="J251" s="7">
        <f t="shared" si="80"/>
        <v>1.1044490144067113E-3</v>
      </c>
      <c r="K251" s="2"/>
      <c r="L251" s="6">
        <f t="shared" si="81"/>
        <v>0</v>
      </c>
      <c r="M251" s="2"/>
      <c r="N251" s="7">
        <f t="shared" si="82"/>
        <v>0</v>
      </c>
      <c r="O251" s="11"/>
      <c r="P251" s="6">
        <v>16900</v>
      </c>
      <c r="Q251" s="2"/>
      <c r="R251" s="7">
        <f t="shared" si="83"/>
        <v>1.2558143909064796E-3</v>
      </c>
      <c r="S251" s="2"/>
      <c r="T251" s="6">
        <v>16900</v>
      </c>
      <c r="U251" s="2"/>
      <c r="V251" s="7">
        <f t="shared" si="84"/>
        <v>1.2051114194283254E-3</v>
      </c>
      <c r="W251" s="2"/>
      <c r="X251" s="6">
        <f t="shared" si="85"/>
        <v>0</v>
      </c>
      <c r="Y251" s="2"/>
      <c r="Z251" s="7">
        <f t="shared" si="86"/>
        <v>0</v>
      </c>
    </row>
    <row r="252" spans="1:26" s="26" customFormat="1" outlineLevel="1" collapsed="1" x14ac:dyDescent="0.25">
      <c r="A252" s="25"/>
      <c r="B252" s="13" t="str">
        <f>CONCATENATE("     ","Professional Services                             ")</f>
        <v xml:space="preserve">     Professional Services                             </v>
      </c>
      <c r="C252" s="13"/>
      <c r="D252" s="1">
        <f>SUM(OSRRefD22_15x_0)</f>
        <v>0</v>
      </c>
      <c r="E252" s="1"/>
      <c r="F252" s="5">
        <f t="shared" si="79"/>
        <v>0</v>
      </c>
      <c r="G252" s="1"/>
      <c r="H252" s="1">
        <f>SUM(OSRRefH22_15x_0)</f>
        <v>1665</v>
      </c>
      <c r="I252" s="1"/>
      <c r="J252" s="5">
        <f t="shared" si="80"/>
        <v>4.3268414329109987E-4</v>
      </c>
      <c r="K252" s="1"/>
      <c r="L252" s="1">
        <f t="shared" si="81"/>
        <v>-1665</v>
      </c>
      <c r="M252" s="1"/>
      <c r="N252" s="5">
        <f t="shared" si="82"/>
        <v>-1</v>
      </c>
      <c r="O252" s="13"/>
      <c r="P252" s="1">
        <f>SUM(OSRRefP22_15x_0)</f>
        <v>6283.41</v>
      </c>
      <c r="Q252" s="1"/>
      <c r="R252" s="5">
        <f t="shared" si="83"/>
        <v>4.6691104745359067E-4</v>
      </c>
      <c r="S252" s="1"/>
      <c r="T252" s="1">
        <f>SUM(OSRRefT22_15x_0)</f>
        <v>8310</v>
      </c>
      <c r="U252" s="1"/>
      <c r="V252" s="5">
        <f t="shared" si="84"/>
        <v>5.9257253819227132E-4</v>
      </c>
      <c r="W252" s="1"/>
      <c r="X252" s="1">
        <f t="shared" si="85"/>
        <v>-2026.5900000000001</v>
      </c>
      <c r="Y252" s="1"/>
      <c r="Z252" s="5">
        <f t="shared" si="86"/>
        <v>-0.24387364620938629</v>
      </c>
    </row>
    <row r="253" spans="1:26" s="24" customFormat="1" hidden="1" outlineLevel="2" x14ac:dyDescent="0.25">
      <c r="A253" s="27"/>
      <c r="B253" s="11" t="str">
        <f>CONCATENATE("          ", "6336", " - ", "PROFESSIONAL SERVICES")</f>
        <v xml:space="preserve">          6336 - PROFESSIONAL SERVICES</v>
      </c>
      <c r="C253" s="11"/>
      <c r="D253" s="6"/>
      <c r="E253" s="2"/>
      <c r="F253" s="7">
        <f t="shared" si="79"/>
        <v>0</v>
      </c>
      <c r="G253" s="2"/>
      <c r="H253" s="6">
        <v>1665</v>
      </c>
      <c r="I253" s="2"/>
      <c r="J253" s="7">
        <f t="shared" si="80"/>
        <v>4.3268414329109987E-4</v>
      </c>
      <c r="K253" s="2"/>
      <c r="L253" s="6">
        <f t="shared" si="81"/>
        <v>-1665</v>
      </c>
      <c r="M253" s="2"/>
      <c r="N253" s="7">
        <f t="shared" si="82"/>
        <v>-1</v>
      </c>
      <c r="O253" s="11"/>
      <c r="P253" s="6">
        <v>6283.41</v>
      </c>
      <c r="Q253" s="2"/>
      <c r="R253" s="7">
        <f t="shared" si="83"/>
        <v>4.6691104745359067E-4</v>
      </c>
      <c r="S253" s="2"/>
      <c r="T253" s="6">
        <v>8310</v>
      </c>
      <c r="U253" s="2"/>
      <c r="V253" s="7">
        <f t="shared" si="84"/>
        <v>5.9257253819227132E-4</v>
      </c>
      <c r="W253" s="2"/>
      <c r="X253" s="6">
        <f t="shared" si="85"/>
        <v>-2026.5900000000001</v>
      </c>
      <c r="Y253" s="2"/>
      <c r="Z253" s="7">
        <f t="shared" si="86"/>
        <v>-0.24387364620938629</v>
      </c>
    </row>
    <row r="254" spans="1:26" s="26" customFormat="1" outlineLevel="1" collapsed="1" x14ac:dyDescent="0.25">
      <c r="A254" s="25"/>
      <c r="B254" s="13" t="str">
        <f>CONCATENATE("     ","R/H Commissions                                   ")</f>
        <v xml:space="preserve">     R/H Commissions                                   </v>
      </c>
      <c r="C254" s="13"/>
      <c r="D254" s="1">
        <f>SUM(OSRRefD22_16x_0)</f>
        <v>130766.15000000001</v>
      </c>
      <c r="E254" s="1"/>
      <c r="F254" s="5">
        <f t="shared" si="79"/>
        <v>3.5119824731848208E-2</v>
      </c>
      <c r="G254" s="1"/>
      <c r="H254" s="1">
        <f>SUM(OSRRefH22_16x_0)</f>
        <v>135436</v>
      </c>
      <c r="I254" s="1"/>
      <c r="J254" s="5">
        <f t="shared" si="80"/>
        <v>3.5195801580044081E-2</v>
      </c>
      <c r="K254" s="1"/>
      <c r="L254" s="1">
        <f t="shared" si="81"/>
        <v>-4669.8499999999913</v>
      </c>
      <c r="M254" s="1"/>
      <c r="N254" s="5">
        <f t="shared" si="82"/>
        <v>-3.4480123453143857E-2</v>
      </c>
      <c r="O254" s="13"/>
      <c r="P254" s="1">
        <f>SUM(OSRRefP22_16x_0)</f>
        <v>318687.43</v>
      </c>
      <c r="Q254" s="1"/>
      <c r="R254" s="5">
        <f t="shared" si="83"/>
        <v>2.3681198863609546E-2</v>
      </c>
      <c r="S254" s="1"/>
      <c r="T254" s="1">
        <f>SUM(OSRRefT22_16x_0)</f>
        <v>333029</v>
      </c>
      <c r="U254" s="1"/>
      <c r="V254" s="5">
        <f t="shared" si="84"/>
        <v>2.374775449117135E-2</v>
      </c>
      <c r="W254" s="1"/>
      <c r="X254" s="1">
        <f t="shared" si="85"/>
        <v>-14341.570000000007</v>
      </c>
      <c r="Y254" s="1"/>
      <c r="Z254" s="5">
        <f t="shared" si="86"/>
        <v>-4.3064027457068325E-2</v>
      </c>
    </row>
    <row r="255" spans="1:26" s="24" customFormat="1" hidden="1" outlineLevel="2" x14ac:dyDescent="0.25">
      <c r="A255" s="27"/>
      <c r="B255" s="11" t="str">
        <f>CONCATENATE("          ", "6387", " - ", "COMMISSION DUE HOUSING")</f>
        <v xml:space="preserve">          6387 - COMMISSION DUE HOUSING</v>
      </c>
      <c r="C255" s="11"/>
      <c r="D255" s="6">
        <v>130766.15000000001</v>
      </c>
      <c r="E255" s="2"/>
      <c r="F255" s="7">
        <f t="shared" si="79"/>
        <v>3.5119824731848208E-2</v>
      </c>
      <c r="G255" s="2"/>
      <c r="H255" s="6">
        <v>135436</v>
      </c>
      <c r="I255" s="2"/>
      <c r="J255" s="7">
        <f t="shared" si="80"/>
        <v>3.5195801580044081E-2</v>
      </c>
      <c r="K255" s="2"/>
      <c r="L255" s="6">
        <f t="shared" si="81"/>
        <v>-4669.8499999999913</v>
      </c>
      <c r="M255" s="2"/>
      <c r="N255" s="7">
        <f t="shared" si="82"/>
        <v>-3.4480123453143857E-2</v>
      </c>
      <c r="O255" s="11"/>
      <c r="P255" s="6">
        <v>318687.43</v>
      </c>
      <c r="Q255" s="2"/>
      <c r="R255" s="7">
        <f t="shared" si="83"/>
        <v>2.3681198863609546E-2</v>
      </c>
      <c r="S255" s="2"/>
      <c r="T255" s="6">
        <v>333029</v>
      </c>
      <c r="U255" s="2"/>
      <c r="V255" s="7">
        <f t="shared" si="84"/>
        <v>2.374775449117135E-2</v>
      </c>
      <c r="W255" s="2"/>
      <c r="X255" s="6">
        <f t="shared" si="85"/>
        <v>-14341.570000000007</v>
      </c>
      <c r="Y255" s="2"/>
      <c r="Z255" s="7">
        <f t="shared" si="86"/>
        <v>-4.3064027457068325E-2</v>
      </c>
    </row>
    <row r="256" spans="1:26" s="26" customFormat="1" outlineLevel="1" collapsed="1" x14ac:dyDescent="0.25">
      <c r="A256" s="25"/>
      <c r="B256" s="13" t="str">
        <f>CONCATENATE("     ","Rent                                              ")</f>
        <v xml:space="preserve">     Rent                                              </v>
      </c>
      <c r="C256" s="13"/>
      <c r="D256" s="1">
        <f>SUM(OSRRefD22_17x_0)</f>
        <v>9900</v>
      </c>
      <c r="E256" s="1"/>
      <c r="F256" s="5">
        <f t="shared" si="79"/>
        <v>2.6588399585465903E-3</v>
      </c>
      <c r="G256" s="1"/>
      <c r="H256" s="1">
        <f>SUM(OSRRefH22_17x_0)</f>
        <v>10200</v>
      </c>
      <c r="I256" s="1"/>
      <c r="J256" s="5">
        <f t="shared" si="80"/>
        <v>2.6506776345761071E-3</v>
      </c>
      <c r="K256" s="1"/>
      <c r="L256" s="1">
        <f t="shared" si="81"/>
        <v>-300</v>
      </c>
      <c r="M256" s="1"/>
      <c r="N256" s="5">
        <f t="shared" si="82"/>
        <v>-2.9411764705882353E-2</v>
      </c>
      <c r="O256" s="13"/>
      <c r="P256" s="1">
        <f>SUM(OSRRefP22_17x_0)</f>
        <v>39600</v>
      </c>
      <c r="Q256" s="1"/>
      <c r="R256" s="5">
        <f t="shared" si="83"/>
        <v>2.9426183360885556E-3</v>
      </c>
      <c r="S256" s="1"/>
      <c r="T256" s="1">
        <f>SUM(OSRRefT22_17x_0)</f>
        <v>40800</v>
      </c>
      <c r="U256" s="1"/>
      <c r="V256" s="5">
        <f t="shared" si="84"/>
        <v>2.9093814149512235E-3</v>
      </c>
      <c r="W256" s="1"/>
      <c r="X256" s="1">
        <f t="shared" si="85"/>
        <v>-1200</v>
      </c>
      <c r="Y256" s="1"/>
      <c r="Z256" s="5">
        <f t="shared" si="86"/>
        <v>-2.9411764705882353E-2</v>
      </c>
    </row>
    <row r="257" spans="1:26" s="24" customFormat="1" hidden="1" outlineLevel="2" x14ac:dyDescent="0.25">
      <c r="A257" s="27"/>
      <c r="B257" s="11" t="str">
        <f>CONCATENATE("          ", "6273", " - ", "RENT")</f>
        <v xml:space="preserve">          6273 - RENT</v>
      </c>
      <c r="C257" s="11"/>
      <c r="D257" s="6">
        <v>9900</v>
      </c>
      <c r="E257" s="2"/>
      <c r="F257" s="7">
        <f t="shared" si="79"/>
        <v>2.6588399585465903E-3</v>
      </c>
      <c r="G257" s="2"/>
      <c r="H257" s="6">
        <v>10200</v>
      </c>
      <c r="I257" s="2"/>
      <c r="J257" s="7">
        <f t="shared" si="80"/>
        <v>2.6506776345761071E-3</v>
      </c>
      <c r="K257" s="2"/>
      <c r="L257" s="6">
        <f t="shared" si="81"/>
        <v>-300</v>
      </c>
      <c r="M257" s="2"/>
      <c r="N257" s="7">
        <f t="shared" si="82"/>
        <v>-2.9411764705882353E-2</v>
      </c>
      <c r="O257" s="11"/>
      <c r="P257" s="6">
        <v>39600</v>
      </c>
      <c r="Q257" s="2"/>
      <c r="R257" s="7">
        <f t="shared" si="83"/>
        <v>2.9426183360885556E-3</v>
      </c>
      <c r="S257" s="2"/>
      <c r="T257" s="6">
        <v>40800</v>
      </c>
      <c r="U257" s="2"/>
      <c r="V257" s="7">
        <f t="shared" si="84"/>
        <v>2.9093814149512235E-3</v>
      </c>
      <c r="W257" s="2"/>
      <c r="X257" s="6">
        <f t="shared" si="85"/>
        <v>-1200</v>
      </c>
      <c r="Y257" s="2"/>
      <c r="Z257" s="7">
        <f t="shared" si="86"/>
        <v>-2.9411764705882353E-2</v>
      </c>
    </row>
    <row r="258" spans="1:26" s="26" customFormat="1" outlineLevel="1" collapsed="1" x14ac:dyDescent="0.25">
      <c r="A258" s="25"/>
      <c r="B258" s="13" t="str">
        <f>CONCATENATE("     ","Repair and Maintenance                            ")</f>
        <v xml:space="preserve">     Repair and Maintenance                            </v>
      </c>
      <c r="C258" s="13"/>
      <c r="D258" s="1">
        <f>SUM(OSRRefD22_18x_0)</f>
        <v>44293.880000000005</v>
      </c>
      <c r="E258" s="1"/>
      <c r="F258" s="5">
        <f t="shared" si="79"/>
        <v>1.1895993743744207E-2</v>
      </c>
      <c r="G258" s="1"/>
      <c r="H258" s="1">
        <f>SUM(OSRRefH22_18x_0)</f>
        <v>47844</v>
      </c>
      <c r="I258" s="1"/>
      <c r="J258" s="5">
        <f t="shared" si="80"/>
        <v>1.2433237328299929E-2</v>
      </c>
      <c r="K258" s="1"/>
      <c r="L258" s="1">
        <f t="shared" si="81"/>
        <v>-3550.1199999999953</v>
      </c>
      <c r="M258" s="1"/>
      <c r="N258" s="5">
        <f t="shared" si="82"/>
        <v>-7.4201989800183832E-2</v>
      </c>
      <c r="O258" s="13"/>
      <c r="P258" s="1">
        <f>SUM(OSRRefP22_18x_0)</f>
        <v>188132.94</v>
      </c>
      <c r="Q258" s="1"/>
      <c r="R258" s="5">
        <f t="shared" si="83"/>
        <v>1.397988481985475E-2</v>
      </c>
      <c r="S258" s="1"/>
      <c r="T258" s="1">
        <f>SUM(OSRRefT22_18x_0)</f>
        <v>343810</v>
      </c>
      <c r="U258" s="1"/>
      <c r="V258" s="5">
        <f t="shared" si="84"/>
        <v>2.4516530006725004E-2</v>
      </c>
      <c r="W258" s="1"/>
      <c r="X258" s="1">
        <f t="shared" si="85"/>
        <v>-155677.06</v>
      </c>
      <c r="Y258" s="1"/>
      <c r="Z258" s="5">
        <f t="shared" si="86"/>
        <v>-0.45279968587301123</v>
      </c>
    </row>
    <row r="259" spans="1:26" s="24" customFormat="1" hidden="1" outlineLevel="2" x14ac:dyDescent="0.25">
      <c r="A259" s="27"/>
      <c r="B259" s="11" t="str">
        <f>CONCATENATE("          ", "6371", " - ", "COMPUTER SOFTWARE MAINTENANCE")</f>
        <v xml:space="preserve">          6371 - COMPUTER SOFTWARE MAINTENANCE</v>
      </c>
      <c r="C259" s="11"/>
      <c r="D259" s="6">
        <v>601</v>
      </c>
      <c r="E259" s="2"/>
      <c r="F259" s="7">
        <f t="shared" si="79"/>
        <v>1.6141038536227281E-4</v>
      </c>
      <c r="G259" s="2"/>
      <c r="H259" s="6">
        <v>2047</v>
      </c>
      <c r="I259" s="2"/>
      <c r="J259" s="7">
        <f t="shared" si="80"/>
        <v>5.3195461940953837E-4</v>
      </c>
      <c r="K259" s="2"/>
      <c r="L259" s="6">
        <f t="shared" si="81"/>
        <v>-1446</v>
      </c>
      <c r="M259" s="2"/>
      <c r="N259" s="7">
        <f t="shared" si="82"/>
        <v>-0.70639960918417199</v>
      </c>
      <c r="O259" s="11"/>
      <c r="P259" s="6">
        <v>31773.759999999998</v>
      </c>
      <c r="Q259" s="2"/>
      <c r="R259" s="7">
        <f t="shared" si="83"/>
        <v>2.3610618379413411E-3</v>
      </c>
      <c r="S259" s="2"/>
      <c r="T259" s="6">
        <v>180723</v>
      </c>
      <c r="U259" s="2"/>
      <c r="V259" s="7">
        <f t="shared" si="84"/>
        <v>1.2887062192505638E-2</v>
      </c>
      <c r="W259" s="2"/>
      <c r="X259" s="6">
        <f t="shared" si="85"/>
        <v>-148949.24</v>
      </c>
      <c r="Y259" s="2"/>
      <c r="Z259" s="7">
        <f t="shared" si="86"/>
        <v>-0.82418530015548652</v>
      </c>
    </row>
    <row r="260" spans="1:26" s="24" customFormat="1" hidden="1" outlineLevel="2" x14ac:dyDescent="0.25">
      <c r="A260" s="27"/>
      <c r="B260" s="11" t="str">
        <f>CONCATENATE("          ", "6372", " - ", "COMPUTER HARDWARE MAINTENANCE")</f>
        <v xml:space="preserve">          6372 - COMPUTER HARDWARE MAINTENANCE</v>
      </c>
      <c r="C260" s="11"/>
      <c r="D260" s="6"/>
      <c r="E260" s="2"/>
      <c r="F260" s="7">
        <f t="shared" si="79"/>
        <v>0</v>
      </c>
      <c r="G260" s="2"/>
      <c r="H260" s="6">
        <v>2000</v>
      </c>
      <c r="I260" s="2"/>
      <c r="J260" s="7">
        <f t="shared" si="80"/>
        <v>5.1974071266198182E-4</v>
      </c>
      <c r="K260" s="2"/>
      <c r="L260" s="6">
        <f t="shared" si="81"/>
        <v>-2000</v>
      </c>
      <c r="M260" s="2"/>
      <c r="N260" s="7">
        <f t="shared" si="82"/>
        <v>-1</v>
      </c>
      <c r="O260" s="11"/>
      <c r="P260" s="6"/>
      <c r="Q260" s="2"/>
      <c r="R260" s="7">
        <f t="shared" si="83"/>
        <v>0</v>
      </c>
      <c r="S260" s="2"/>
      <c r="T260" s="6">
        <v>8270</v>
      </c>
      <c r="U260" s="2"/>
      <c r="V260" s="7">
        <f t="shared" si="84"/>
        <v>5.8972020347173085E-4</v>
      </c>
      <c r="W260" s="2"/>
      <c r="X260" s="6">
        <f t="shared" si="85"/>
        <v>-8270</v>
      </c>
      <c r="Y260" s="2"/>
      <c r="Z260" s="7">
        <f t="shared" si="86"/>
        <v>-1</v>
      </c>
    </row>
    <row r="261" spans="1:26" s="24" customFormat="1" hidden="1" outlineLevel="2" x14ac:dyDescent="0.25">
      <c r="A261" s="27"/>
      <c r="B261" s="11" t="str">
        <f>CONCATENATE("          ", "6373", " - ", "MAINTENANCE CONTRACTS")</f>
        <v xml:space="preserve">          6373 - MAINTENANCE CONTRACTS</v>
      </c>
      <c r="C261" s="11"/>
      <c r="D261" s="6">
        <v>19462.84</v>
      </c>
      <c r="E261" s="2"/>
      <c r="F261" s="7">
        <f t="shared" si="79"/>
        <v>5.2271289594746388E-3</v>
      </c>
      <c r="G261" s="2"/>
      <c r="H261" s="6">
        <v>9270</v>
      </c>
      <c r="I261" s="2"/>
      <c r="J261" s="7">
        <f t="shared" si="80"/>
        <v>2.4089982031882855E-3</v>
      </c>
      <c r="K261" s="2"/>
      <c r="L261" s="6">
        <f t="shared" si="81"/>
        <v>10192.84</v>
      </c>
      <c r="M261" s="2"/>
      <c r="N261" s="7">
        <f t="shared" si="82"/>
        <v>1.0995512405609493</v>
      </c>
      <c r="O261" s="11"/>
      <c r="P261" s="6">
        <v>63357.549999999996</v>
      </c>
      <c r="Q261" s="2"/>
      <c r="R261" s="7">
        <f t="shared" si="83"/>
        <v>4.7080072818092792E-3</v>
      </c>
      <c r="S261" s="2"/>
      <c r="T261" s="6">
        <v>39328</v>
      </c>
      <c r="U261" s="2"/>
      <c r="V261" s="7">
        <f t="shared" si="84"/>
        <v>2.8044154972353364E-3</v>
      </c>
      <c r="W261" s="2"/>
      <c r="X261" s="6">
        <f t="shared" si="85"/>
        <v>24029.549999999996</v>
      </c>
      <c r="Y261" s="2"/>
      <c r="Z261" s="7">
        <f t="shared" si="86"/>
        <v>0.61100361065907227</v>
      </c>
    </row>
    <row r="262" spans="1:26" s="24" customFormat="1" hidden="1" outlineLevel="2" x14ac:dyDescent="0.25">
      <c r="A262" s="27"/>
      <c r="B262" s="11" t="str">
        <f>CONCATENATE("          ", "6375", " - ", "OUTSIDE REPAIRS &amp; MAINTENANCE")</f>
        <v xml:space="preserve">          6375 - OUTSIDE REPAIRS &amp; MAINTENANCE</v>
      </c>
      <c r="C262" s="11"/>
      <c r="D262" s="6">
        <v>24230.04</v>
      </c>
      <c r="E262" s="2"/>
      <c r="F262" s="7">
        <f t="shared" si="79"/>
        <v>6.5074543989072954E-3</v>
      </c>
      <c r="G262" s="2"/>
      <c r="H262" s="6">
        <v>34527</v>
      </c>
      <c r="I262" s="2"/>
      <c r="J262" s="7">
        <f t="shared" si="80"/>
        <v>8.9725437930401226E-3</v>
      </c>
      <c r="K262" s="2"/>
      <c r="L262" s="6">
        <f t="shared" si="81"/>
        <v>-10296.959999999999</v>
      </c>
      <c r="M262" s="2"/>
      <c r="N262" s="7">
        <f t="shared" si="82"/>
        <v>-0.29822921192110519</v>
      </c>
      <c r="O262" s="11"/>
      <c r="P262" s="6">
        <v>93001.62999999999</v>
      </c>
      <c r="Q262" s="2"/>
      <c r="R262" s="7">
        <f t="shared" si="83"/>
        <v>6.9108157001041282E-3</v>
      </c>
      <c r="S262" s="2"/>
      <c r="T262" s="6">
        <v>115489</v>
      </c>
      <c r="U262" s="2"/>
      <c r="V262" s="7">
        <f t="shared" si="84"/>
        <v>8.2353321135123E-3</v>
      </c>
      <c r="W262" s="2"/>
      <c r="X262" s="6">
        <f t="shared" si="85"/>
        <v>-22487.37000000001</v>
      </c>
      <c r="Y262" s="2"/>
      <c r="Z262" s="7">
        <f t="shared" si="86"/>
        <v>-0.19471438838330932</v>
      </c>
    </row>
    <row r="263" spans="1:26" s="26" customFormat="1" outlineLevel="1" collapsed="1" x14ac:dyDescent="0.25">
      <c r="A263" s="25"/>
      <c r="B263" s="13" t="str">
        <f>CONCATENATE("     ","Royalty &amp; Commissions                             ")</f>
        <v xml:space="preserve">     Royalty &amp; Commissions                             </v>
      </c>
      <c r="C263" s="13"/>
      <c r="D263" s="1">
        <f>SUM(OSRRefD22_19x_0)</f>
        <v>44711.759999999995</v>
      </c>
      <c r="E263" s="1"/>
      <c r="F263" s="5">
        <f t="shared" ref="F263:F267" si="87">IF(D$12=0,0,D263/D$12)</f>
        <v>1.2008223646964149E-2</v>
      </c>
      <c r="G263" s="1"/>
      <c r="H263" s="1">
        <f>SUM(OSRRefH22_19x_0)</f>
        <v>53050</v>
      </c>
      <c r="I263" s="1"/>
      <c r="J263" s="5">
        <f t="shared" ref="J263:J267" si="88">IF(H$12=0,0,H263/H$12)</f>
        <v>1.3786122403359068E-2</v>
      </c>
      <c r="K263" s="1"/>
      <c r="L263" s="1">
        <f t="shared" ref="L263:L267" si="89">+D263-H263</f>
        <v>-8338.2400000000052</v>
      </c>
      <c r="M263" s="1"/>
      <c r="N263" s="5">
        <f t="shared" ref="N263:N267" si="90">IF(H263=0,0,L263/H263)</f>
        <v>-0.15717700282752131</v>
      </c>
      <c r="O263" s="13"/>
      <c r="P263" s="1">
        <f>SUM(OSRRefP22_19x_0)</f>
        <v>130101.41999999998</v>
      </c>
      <c r="Q263" s="1"/>
      <c r="R263" s="5">
        <f t="shared" ref="R263:R267" si="91">IF(P$12=0,0,P263/P$12)</f>
        <v>9.6676470717969257E-3</v>
      </c>
      <c r="S263" s="1"/>
      <c r="T263" s="1">
        <f>SUM(OSRRefT22_19x_0)</f>
        <v>158126</v>
      </c>
      <c r="U263" s="1"/>
      <c r="V263" s="5">
        <f t="shared" ref="V263:V267" si="92">IF(T$12=0,0,T263/T$12)</f>
        <v>1.1275707000504342E-2</v>
      </c>
      <c r="W263" s="1"/>
      <c r="X263" s="1">
        <f t="shared" ref="X263:X267" si="93">+P263-T263</f>
        <v>-28024.580000000016</v>
      </c>
      <c r="Y263" s="1"/>
      <c r="Z263" s="5">
        <f t="shared" ref="Z263:Z267" si="94">IF(T263=0,0,X263/T263)</f>
        <v>-0.17722942463604985</v>
      </c>
    </row>
    <row r="264" spans="1:26" s="24" customFormat="1" hidden="1" outlineLevel="2" x14ac:dyDescent="0.25">
      <c r="A264" s="27"/>
      <c r="B264" s="11" t="str">
        <f>CONCATENATE("          ", "6252", " - ", "ROYALTY DUE CSTV")</f>
        <v xml:space="preserve">          6252 - ROYALTY DUE CSTV</v>
      </c>
      <c r="C264" s="11"/>
      <c r="D264" s="6"/>
      <c r="E264" s="2"/>
      <c r="F264" s="7">
        <f t="shared" si="87"/>
        <v>0</v>
      </c>
      <c r="G264" s="2"/>
      <c r="H264" s="6">
        <v>1085</v>
      </c>
      <c r="I264" s="2"/>
      <c r="J264" s="7">
        <f t="shared" si="88"/>
        <v>2.8195933661912513E-4</v>
      </c>
      <c r="K264" s="2"/>
      <c r="L264" s="6">
        <f t="shared" si="89"/>
        <v>-1085</v>
      </c>
      <c r="M264" s="2"/>
      <c r="N264" s="7">
        <f t="shared" si="90"/>
        <v>-1</v>
      </c>
      <c r="O264" s="11"/>
      <c r="P264" s="6"/>
      <c r="Q264" s="2"/>
      <c r="R264" s="7">
        <f t="shared" si="91"/>
        <v>0</v>
      </c>
      <c r="S264" s="2"/>
      <c r="T264" s="6">
        <v>4340</v>
      </c>
      <c r="U264" s="2"/>
      <c r="V264" s="7">
        <f t="shared" si="92"/>
        <v>3.0947831717863505E-4</v>
      </c>
      <c r="W264" s="2"/>
      <c r="X264" s="6">
        <f t="shared" si="93"/>
        <v>-4340</v>
      </c>
      <c r="Y264" s="2"/>
      <c r="Z264" s="7">
        <f t="shared" si="94"/>
        <v>-1</v>
      </c>
    </row>
    <row r="265" spans="1:26" s="24" customFormat="1" hidden="1" outlineLevel="2" x14ac:dyDescent="0.25">
      <c r="A265" s="27"/>
      <c r="B265" s="11" t="str">
        <f>CONCATENATE("          ", "6253", " - ", "ROYALTY DUE ATHLETICS-LRG")</f>
        <v xml:space="preserve">          6253 - ROYALTY DUE ATHLETICS-LRG</v>
      </c>
      <c r="C265" s="11"/>
      <c r="D265" s="6"/>
      <c r="E265" s="2"/>
      <c r="F265" s="7">
        <f t="shared" si="87"/>
        <v>0</v>
      </c>
      <c r="G265" s="2"/>
      <c r="H265" s="6">
        <v>11700</v>
      </c>
      <c r="I265" s="2"/>
      <c r="J265" s="7">
        <f t="shared" si="88"/>
        <v>3.0404831690725937E-3</v>
      </c>
      <c r="K265" s="2"/>
      <c r="L265" s="6">
        <f t="shared" si="89"/>
        <v>-11700</v>
      </c>
      <c r="M265" s="2"/>
      <c r="N265" s="7">
        <f t="shared" si="90"/>
        <v>-1</v>
      </c>
      <c r="O265" s="11"/>
      <c r="P265" s="6">
        <v>4366.95</v>
      </c>
      <c r="Q265" s="2"/>
      <c r="R265" s="7">
        <f t="shared" si="91"/>
        <v>3.2450169552479589E-4</v>
      </c>
      <c r="S265" s="2"/>
      <c r="T265" s="6">
        <v>31800</v>
      </c>
      <c r="U265" s="2"/>
      <c r="V265" s="7">
        <f t="shared" si="92"/>
        <v>2.2676061028296304E-3</v>
      </c>
      <c r="W265" s="2"/>
      <c r="X265" s="6">
        <f t="shared" si="93"/>
        <v>-27433.05</v>
      </c>
      <c r="Y265" s="2"/>
      <c r="Z265" s="7">
        <f t="shared" si="94"/>
        <v>-0.86267452830188673</v>
      </c>
    </row>
    <row r="266" spans="1:26" s="24" customFormat="1" hidden="1" outlineLevel="2" x14ac:dyDescent="0.25">
      <c r="A266" s="27"/>
      <c r="B266" s="11" t="str">
        <f>CONCATENATE("          ", "6254", " - ", "ROYALTY &amp; COMMISSIONS")</f>
        <v xml:space="preserve">          6254 - ROYALTY &amp; COMMISSIONS</v>
      </c>
      <c r="C266" s="11"/>
      <c r="D266" s="6">
        <v>11203.92</v>
      </c>
      <c r="E266" s="2"/>
      <c r="F266" s="7">
        <f t="shared" si="87"/>
        <v>3.0090333523595269E-3</v>
      </c>
      <c r="G266" s="2"/>
      <c r="H266" s="6">
        <v>11700</v>
      </c>
      <c r="I266" s="2"/>
      <c r="J266" s="7">
        <f t="shared" si="88"/>
        <v>3.0404831690725937E-3</v>
      </c>
      <c r="K266" s="2"/>
      <c r="L266" s="6">
        <f t="shared" si="89"/>
        <v>-496.07999999999993</v>
      </c>
      <c r="M266" s="2"/>
      <c r="N266" s="7">
        <f t="shared" si="90"/>
        <v>-4.2399999999999993E-2</v>
      </c>
      <c r="O266" s="11"/>
      <c r="P266" s="6">
        <v>52150.85</v>
      </c>
      <c r="Q266" s="2"/>
      <c r="R266" s="7">
        <f t="shared" si="91"/>
        <v>3.8752537235506022E-3</v>
      </c>
      <c r="S266" s="2"/>
      <c r="T266" s="6">
        <v>50917</v>
      </c>
      <c r="U266" s="2"/>
      <c r="V266" s="7">
        <f t="shared" si="92"/>
        <v>3.6308081741439082E-3</v>
      </c>
      <c r="W266" s="2"/>
      <c r="X266" s="6">
        <f t="shared" si="93"/>
        <v>1233.8499999999985</v>
      </c>
      <c r="Y266" s="2"/>
      <c r="Z266" s="7">
        <f t="shared" si="94"/>
        <v>2.4232574582163099E-2</v>
      </c>
    </row>
    <row r="267" spans="1:26" s="24" customFormat="1" hidden="1" outlineLevel="2" x14ac:dyDescent="0.25">
      <c r="A267" s="27"/>
      <c r="B267" s="11" t="str">
        <f>CONCATENATE("          ", "6259", " - ", "ROYALTY &amp; COMMISSIONS")</f>
        <v xml:space="preserve">          6259 - ROYALTY &amp; COMMISSIONS</v>
      </c>
      <c r="C267" s="11"/>
      <c r="D267" s="6">
        <v>33507.839999999997</v>
      </c>
      <c r="E267" s="2"/>
      <c r="F267" s="7">
        <f t="shared" si="87"/>
        <v>8.9991902946046226E-3</v>
      </c>
      <c r="G267" s="2"/>
      <c r="H267" s="6">
        <v>28565</v>
      </c>
      <c r="I267" s="2"/>
      <c r="J267" s="7">
        <f t="shared" si="88"/>
        <v>7.4231967285947548E-3</v>
      </c>
      <c r="K267" s="2"/>
      <c r="L267" s="6">
        <f t="shared" si="89"/>
        <v>4942.8399999999965</v>
      </c>
      <c r="M267" s="2"/>
      <c r="N267" s="7">
        <f t="shared" si="90"/>
        <v>0.17303833362506552</v>
      </c>
      <c r="O267" s="11"/>
      <c r="P267" s="6">
        <v>73583.62</v>
      </c>
      <c r="Q267" s="2"/>
      <c r="R267" s="7">
        <f t="shared" si="91"/>
        <v>5.4678916527215295E-3</v>
      </c>
      <c r="S267" s="2"/>
      <c r="T267" s="6">
        <v>71069</v>
      </c>
      <c r="U267" s="2"/>
      <c r="V267" s="7">
        <f t="shared" si="92"/>
        <v>5.0678144063521693E-3</v>
      </c>
      <c r="W267" s="2"/>
      <c r="X267" s="6">
        <f t="shared" si="93"/>
        <v>2514.6199999999953</v>
      </c>
      <c r="Y267" s="2"/>
      <c r="Z267" s="7">
        <f t="shared" si="94"/>
        <v>3.5382797000098429E-2</v>
      </c>
    </row>
    <row r="268" spans="1:26" s="26" customFormat="1" outlineLevel="1" collapsed="1" x14ac:dyDescent="0.25">
      <c r="A268" s="25"/>
      <c r="B268" s="13" t="str">
        <f>CONCATENATE("     ","Services                                          ")</f>
        <v xml:space="preserve">     Services                                          </v>
      </c>
      <c r="C268" s="13"/>
      <c r="D268" s="1">
        <f>SUM(OSRRefD22_20x_0)</f>
        <v>49257.54</v>
      </c>
      <c r="E268" s="1"/>
      <c r="F268" s="5">
        <f t="shared" ref="F268:F274" si="95">IF(D$12=0,0,D268/D$12)</f>
        <v>1.3229082385020911E-2</v>
      </c>
      <c r="G268" s="1"/>
      <c r="H268" s="1">
        <f>SUM(OSRRefH22_20x_0)</f>
        <v>49722.5</v>
      </c>
      <c r="I268" s="1"/>
      <c r="J268" s="5">
        <f t="shared" ref="J268:J274" si="96">IF(H$12=0,0,H268/H$12)</f>
        <v>1.2921403792667695E-2</v>
      </c>
      <c r="K268" s="1"/>
      <c r="L268" s="1">
        <f t="shared" ref="L268:L274" si="97">+D268-H268</f>
        <v>-464.95999999999913</v>
      </c>
      <c r="M268" s="1"/>
      <c r="N268" s="5">
        <f t="shared" ref="N268:N274" si="98">IF(H268=0,0,L268/H268)</f>
        <v>-9.351098597214523E-3</v>
      </c>
      <c r="O268" s="13"/>
      <c r="P268" s="1">
        <f>SUM(OSRRefP22_20x_0)</f>
        <v>185180.11000000004</v>
      </c>
      <c r="Q268" s="1"/>
      <c r="R268" s="5">
        <f t="shared" ref="R268:R274" si="99">IF(P$12=0,0,P268/P$12)</f>
        <v>1.3760464322345855E-2</v>
      </c>
      <c r="S268" s="1"/>
      <c r="T268" s="1">
        <f>SUM(OSRRefT22_20x_0)</f>
        <v>184233</v>
      </c>
      <c r="U268" s="1"/>
      <c r="V268" s="5">
        <f t="shared" ref="V268:V274" si="100">IF(T$12=0,0,T268/T$12)</f>
        <v>1.3137354564233058E-2</v>
      </c>
      <c r="W268" s="1"/>
      <c r="X268" s="1">
        <f t="shared" ref="X268:X274" si="101">+P268-T268</f>
        <v>947.11000000004424</v>
      </c>
      <c r="Y268" s="1"/>
      <c r="Z268" s="5">
        <f t="shared" ref="Z268:Z274" si="102">IF(T268=0,0,X268/T268)</f>
        <v>5.1408271048077395E-3</v>
      </c>
    </row>
    <row r="269" spans="1:26" s="24" customFormat="1" hidden="1" outlineLevel="2" x14ac:dyDescent="0.25">
      <c r="A269" s="27"/>
      <c r="B269" s="11" t="str">
        <f>CONCATENATE("          ", "6281", " - ", "STORAGE FEE")</f>
        <v xml:space="preserve">          6281 - STORAGE FEE</v>
      </c>
      <c r="C269" s="11"/>
      <c r="D269" s="6"/>
      <c r="E269" s="2"/>
      <c r="F269" s="7">
        <f t="shared" si="95"/>
        <v>0</v>
      </c>
      <c r="G269" s="2"/>
      <c r="H269" s="6"/>
      <c r="I269" s="2"/>
      <c r="J269" s="7">
        <f t="shared" si="96"/>
        <v>0</v>
      </c>
      <c r="K269" s="2"/>
      <c r="L269" s="6">
        <f t="shared" si="97"/>
        <v>0</v>
      </c>
      <c r="M269" s="2"/>
      <c r="N269" s="7">
        <f t="shared" si="98"/>
        <v>0</v>
      </c>
      <c r="O269" s="11"/>
      <c r="P269" s="6"/>
      <c r="Q269" s="2"/>
      <c r="R269" s="7">
        <f t="shared" si="99"/>
        <v>0</v>
      </c>
      <c r="S269" s="2"/>
      <c r="T269" s="6">
        <v>0</v>
      </c>
      <c r="U269" s="2"/>
      <c r="V269" s="7">
        <f t="shared" si="100"/>
        <v>0</v>
      </c>
      <c r="W269" s="2"/>
      <c r="X269" s="6">
        <f t="shared" si="101"/>
        <v>0</v>
      </c>
      <c r="Y269" s="2"/>
      <c r="Z269" s="7">
        <f t="shared" si="102"/>
        <v>0</v>
      </c>
    </row>
    <row r="270" spans="1:26" s="24" customFormat="1" hidden="1" outlineLevel="2" x14ac:dyDescent="0.25">
      <c r="A270" s="27"/>
      <c r="B270" s="11" t="str">
        <f>CONCATENATE("          ", "6282", " - ", "JANITORIAL/EXTERMINATOR EXPENS")</f>
        <v xml:space="preserve">          6282 - JANITORIAL/EXTERMINATOR EXPENS</v>
      </c>
      <c r="C270" s="11"/>
      <c r="D270" s="6">
        <v>3497.11</v>
      </c>
      <c r="E270" s="2"/>
      <c r="F270" s="7">
        <f t="shared" si="95"/>
        <v>9.3921775832655216E-4</v>
      </c>
      <c r="G270" s="2"/>
      <c r="H270" s="6">
        <v>3823</v>
      </c>
      <c r="I270" s="2"/>
      <c r="J270" s="7">
        <f t="shared" si="96"/>
        <v>9.9348437225337829E-4</v>
      </c>
      <c r="K270" s="2"/>
      <c r="L270" s="6">
        <f t="shared" si="97"/>
        <v>-325.88999999999987</v>
      </c>
      <c r="M270" s="2"/>
      <c r="N270" s="7">
        <f t="shared" si="98"/>
        <v>-8.5244572325398865E-2</v>
      </c>
      <c r="O270" s="11"/>
      <c r="P270" s="6">
        <v>15058.88</v>
      </c>
      <c r="Q270" s="2"/>
      <c r="R270" s="7">
        <f t="shared" si="99"/>
        <v>1.119003444670637E-3</v>
      </c>
      <c r="S270" s="2"/>
      <c r="T270" s="6">
        <v>13877</v>
      </c>
      <c r="U270" s="2"/>
      <c r="V270" s="7">
        <f t="shared" si="100"/>
        <v>9.8954622292348349E-4</v>
      </c>
      <c r="W270" s="2"/>
      <c r="X270" s="6">
        <f t="shared" si="101"/>
        <v>1181.8799999999992</v>
      </c>
      <c r="Y270" s="2"/>
      <c r="Z270" s="7">
        <f t="shared" si="102"/>
        <v>8.5168264034013064E-2</v>
      </c>
    </row>
    <row r="271" spans="1:26" s="24" customFormat="1" hidden="1" outlineLevel="2" x14ac:dyDescent="0.25">
      <c r="A271" s="27"/>
      <c r="B271" s="11" t="str">
        <f>CONCATENATE("          ", "6283", " - ", "PLANT SERVICE")</f>
        <v xml:space="preserve">          6283 - PLANT SERVICE</v>
      </c>
      <c r="C271" s="11"/>
      <c r="D271" s="6"/>
      <c r="E271" s="2"/>
      <c r="F271" s="7">
        <f t="shared" si="95"/>
        <v>0</v>
      </c>
      <c r="G271" s="2"/>
      <c r="H271" s="6">
        <v>245</v>
      </c>
      <c r="I271" s="2"/>
      <c r="J271" s="7">
        <f t="shared" si="96"/>
        <v>6.3668237301092772E-5</v>
      </c>
      <c r="K271" s="2"/>
      <c r="L271" s="6">
        <f t="shared" si="97"/>
        <v>-245</v>
      </c>
      <c r="M271" s="2"/>
      <c r="N271" s="7">
        <f t="shared" si="98"/>
        <v>-1</v>
      </c>
      <c r="O271" s="11"/>
      <c r="P271" s="6">
        <v>1141.32</v>
      </c>
      <c r="Q271" s="2"/>
      <c r="R271" s="7">
        <f t="shared" si="99"/>
        <v>8.4809827256176519E-5</v>
      </c>
      <c r="S271" s="2"/>
      <c r="T271" s="6">
        <v>945</v>
      </c>
      <c r="U271" s="2"/>
      <c r="V271" s="7">
        <f t="shared" si="100"/>
        <v>6.7386407772767316E-5</v>
      </c>
      <c r="W271" s="2"/>
      <c r="X271" s="6">
        <f t="shared" si="101"/>
        <v>196.31999999999994</v>
      </c>
      <c r="Y271" s="2"/>
      <c r="Z271" s="7">
        <f t="shared" si="102"/>
        <v>0.20774603174603168</v>
      </c>
    </row>
    <row r="272" spans="1:26" s="24" customFormat="1" hidden="1" outlineLevel="2" x14ac:dyDescent="0.25">
      <c r="A272" s="27"/>
      <c r="B272" s="11" t="str">
        <f>CONCATENATE("          ", "6284", " - ", "TRASH REMOVAL EXPENSE")</f>
        <v xml:space="preserve">          6284 - TRASH REMOVAL EXPENSE</v>
      </c>
      <c r="C272" s="11"/>
      <c r="D272" s="6">
        <v>4570.82</v>
      </c>
      <c r="E272" s="2"/>
      <c r="F272" s="7">
        <f t="shared" si="95"/>
        <v>1.2275837231640328E-3</v>
      </c>
      <c r="G272" s="2"/>
      <c r="H272" s="6">
        <v>4277.5</v>
      </c>
      <c r="I272" s="2"/>
      <c r="J272" s="7">
        <f t="shared" si="96"/>
        <v>1.1115954492058135E-3</v>
      </c>
      <c r="K272" s="2"/>
      <c r="L272" s="6">
        <f t="shared" si="97"/>
        <v>293.31999999999971</v>
      </c>
      <c r="M272" s="2"/>
      <c r="N272" s="7">
        <f t="shared" si="98"/>
        <v>6.857276446522495E-2</v>
      </c>
      <c r="O272" s="11"/>
      <c r="P272" s="6">
        <v>10271.280000000001</v>
      </c>
      <c r="Q272" s="2"/>
      <c r="R272" s="7">
        <f t="shared" si="99"/>
        <v>7.6324386017928439E-4</v>
      </c>
      <c r="S272" s="2"/>
      <c r="T272" s="6">
        <v>17060</v>
      </c>
      <c r="U272" s="2"/>
      <c r="V272" s="7">
        <f t="shared" si="100"/>
        <v>1.2165207583104871E-3</v>
      </c>
      <c r="W272" s="2"/>
      <c r="X272" s="6">
        <f t="shared" si="101"/>
        <v>-6788.7199999999993</v>
      </c>
      <c r="Y272" s="2"/>
      <c r="Z272" s="7">
        <f t="shared" si="102"/>
        <v>-0.39793200468933171</v>
      </c>
    </row>
    <row r="273" spans="1:26" s="24" customFormat="1" hidden="1" outlineLevel="2" x14ac:dyDescent="0.25">
      <c r="A273" s="27"/>
      <c r="B273" s="11" t="str">
        <f>CONCATENATE("          ", "6285", " - ", "JANITORIAL SERVICES")</f>
        <v xml:space="preserve">          6285 - JANITORIAL SERVICES</v>
      </c>
      <c r="C273" s="11"/>
      <c r="D273" s="6">
        <v>29604.099999999995</v>
      </c>
      <c r="E273" s="2"/>
      <c r="F273" s="7">
        <f t="shared" si="95"/>
        <v>7.9507640421019286E-3</v>
      </c>
      <c r="G273" s="2"/>
      <c r="H273" s="6">
        <v>31887</v>
      </c>
      <c r="I273" s="2"/>
      <c r="J273" s="7">
        <f t="shared" si="96"/>
        <v>8.2864860523263074E-3</v>
      </c>
      <c r="K273" s="2"/>
      <c r="L273" s="6">
        <f t="shared" si="97"/>
        <v>-2282.9000000000051</v>
      </c>
      <c r="M273" s="2"/>
      <c r="N273" s="7">
        <f t="shared" si="98"/>
        <v>-7.159343933264356E-2</v>
      </c>
      <c r="O273" s="11"/>
      <c r="P273" s="6">
        <v>120842.80000000002</v>
      </c>
      <c r="Q273" s="2"/>
      <c r="R273" s="7">
        <f t="shared" si="99"/>
        <v>8.9796525016232875E-3</v>
      </c>
      <c r="S273" s="2"/>
      <c r="T273" s="6">
        <v>118480</v>
      </c>
      <c r="U273" s="2"/>
      <c r="V273" s="7">
        <f t="shared" si="100"/>
        <v>8.4486154422407107E-3</v>
      </c>
      <c r="W273" s="2"/>
      <c r="X273" s="6">
        <f t="shared" si="101"/>
        <v>2362.8000000000175</v>
      </c>
      <c r="Y273" s="2"/>
      <c r="Z273" s="7">
        <f t="shared" si="102"/>
        <v>1.9942606347062942E-2</v>
      </c>
    </row>
    <row r="274" spans="1:26" s="24" customFormat="1" hidden="1" outlineLevel="2" x14ac:dyDescent="0.25">
      <c r="A274" s="27"/>
      <c r="B274" s="11" t="str">
        <f>CONCATENATE("          ", "6286", " - ", "LAUNDRY EXPENSE")</f>
        <v xml:space="preserve">          6286 - LAUNDRY EXPENSE</v>
      </c>
      <c r="C274" s="11"/>
      <c r="D274" s="6">
        <v>11585.51</v>
      </c>
      <c r="E274" s="2"/>
      <c r="F274" s="7">
        <f t="shared" si="95"/>
        <v>3.1115168614283947E-3</v>
      </c>
      <c r="G274" s="2"/>
      <c r="H274" s="6">
        <v>9490</v>
      </c>
      <c r="I274" s="2"/>
      <c r="J274" s="7">
        <f t="shared" si="96"/>
        <v>2.4661696815811034E-3</v>
      </c>
      <c r="K274" s="2"/>
      <c r="L274" s="6">
        <f t="shared" si="97"/>
        <v>2095.5100000000002</v>
      </c>
      <c r="M274" s="2"/>
      <c r="N274" s="7">
        <f t="shared" si="98"/>
        <v>0.22081243414120127</v>
      </c>
      <c r="O274" s="11"/>
      <c r="P274" s="6">
        <v>37865.83</v>
      </c>
      <c r="Q274" s="2"/>
      <c r="R274" s="7">
        <f t="shared" si="99"/>
        <v>2.8137546886164676E-3</v>
      </c>
      <c r="S274" s="2"/>
      <c r="T274" s="6">
        <v>33871</v>
      </c>
      <c r="U274" s="2"/>
      <c r="V274" s="7">
        <f t="shared" si="100"/>
        <v>2.4152857329856102E-3</v>
      </c>
      <c r="W274" s="2"/>
      <c r="X274" s="6">
        <f t="shared" si="101"/>
        <v>3994.8300000000017</v>
      </c>
      <c r="Y274" s="2"/>
      <c r="Z274" s="7">
        <f t="shared" si="102"/>
        <v>0.11794248767382132</v>
      </c>
    </row>
    <row r="275" spans="1:26" s="26" customFormat="1" outlineLevel="1" collapsed="1" x14ac:dyDescent="0.25">
      <c r="A275" s="25"/>
      <c r="B275" s="13" t="str">
        <f>CONCATENATE("     ","Subscriptions &amp; Dues                              ")</f>
        <v xml:space="preserve">     Subscriptions &amp; Dues                              </v>
      </c>
      <c r="C275" s="13"/>
      <c r="D275" s="1">
        <f>SUM(OSRRefD22_21x_0)</f>
        <v>913.37000000000012</v>
      </c>
      <c r="E275" s="1"/>
      <c r="F275" s="5">
        <f t="shared" ref="F275:F277" si="103">IF(D$12=0,0,D275/D$12)</f>
        <v>2.453035002967373E-4</v>
      </c>
      <c r="G275" s="1"/>
      <c r="H275" s="1">
        <f>SUM(OSRRefH22_21x_0)</f>
        <v>1964</v>
      </c>
      <c r="I275" s="1"/>
      <c r="J275" s="5">
        <f t="shared" ref="J275:J277" si="104">IF(H$12=0,0,H275/H$12)</f>
        <v>5.1038537983406614E-4</v>
      </c>
      <c r="K275" s="1"/>
      <c r="L275" s="1">
        <f t="shared" ref="L275:L277" si="105">+D275-H275</f>
        <v>-1050.6299999999999</v>
      </c>
      <c r="M275" s="1"/>
      <c r="N275" s="5">
        <f t="shared" ref="N275:N277" si="106">IF(H275=0,0,L275/H275)</f>
        <v>-0.53494399185336039</v>
      </c>
      <c r="O275" s="13"/>
      <c r="P275" s="1">
        <f>SUM(OSRRefP22_21x_0)</f>
        <v>-555.59999999999991</v>
      </c>
      <c r="Q275" s="1"/>
      <c r="R275" s="5">
        <f t="shared" ref="R275:R277" si="107">IF(P$12=0,0,P275/P$12)</f>
        <v>-4.1285826957848514E-5</v>
      </c>
      <c r="S275" s="1"/>
      <c r="T275" s="1">
        <f>SUM(OSRRefT22_21x_0)</f>
        <v>8901</v>
      </c>
      <c r="U275" s="1"/>
      <c r="V275" s="5">
        <f t="shared" ref="V275:V277" si="108">IF(T$12=0,0,T275/T$12)</f>
        <v>6.3471578368825589E-4</v>
      </c>
      <c r="W275" s="1"/>
      <c r="X275" s="1">
        <f t="shared" ref="X275:X277" si="109">+P275-T275</f>
        <v>-9456.6</v>
      </c>
      <c r="Y275" s="1"/>
      <c r="Z275" s="5">
        <f t="shared" ref="Z275:Z277" si="110">IF(T275=0,0,X275/T275)</f>
        <v>-1.0624199528142906</v>
      </c>
    </row>
    <row r="276" spans="1:26" s="24" customFormat="1" hidden="1" outlineLevel="2" x14ac:dyDescent="0.25">
      <c r="A276" s="27"/>
      <c r="B276" s="11" t="str">
        <f>CONCATENATE("          ", "6258", " - ", "MEMBERSHIP DUES")</f>
        <v xml:space="preserve">          6258 - MEMBERSHIP DUES</v>
      </c>
      <c r="C276" s="11"/>
      <c r="D276" s="6">
        <v>268.55</v>
      </c>
      <c r="E276" s="2"/>
      <c r="F276" s="7">
        <f t="shared" si="103"/>
        <v>7.2124390996736049E-5</v>
      </c>
      <c r="G276" s="2"/>
      <c r="H276" s="6">
        <v>800</v>
      </c>
      <c r="I276" s="2"/>
      <c r="J276" s="7">
        <f t="shared" si="104"/>
        <v>2.0789628506479271E-4</v>
      </c>
      <c r="K276" s="2"/>
      <c r="L276" s="6">
        <f t="shared" si="105"/>
        <v>-531.45000000000005</v>
      </c>
      <c r="M276" s="2"/>
      <c r="N276" s="7">
        <f t="shared" si="106"/>
        <v>-0.66431250000000008</v>
      </c>
      <c r="O276" s="11"/>
      <c r="P276" s="6">
        <v>-3822.6</v>
      </c>
      <c r="Q276" s="2"/>
      <c r="R276" s="7">
        <f t="shared" si="107"/>
        <v>-2.8405183968515437E-4</v>
      </c>
      <c r="S276" s="2"/>
      <c r="T276" s="6">
        <v>4495</v>
      </c>
      <c r="U276" s="2"/>
      <c r="V276" s="7">
        <f t="shared" si="108"/>
        <v>3.2053111422072916E-4</v>
      </c>
      <c r="W276" s="2"/>
      <c r="X276" s="6">
        <f t="shared" si="109"/>
        <v>-8317.6</v>
      </c>
      <c r="Y276" s="2"/>
      <c r="Z276" s="7">
        <f t="shared" si="110"/>
        <v>-1.8504115684093438</v>
      </c>
    </row>
    <row r="277" spans="1:26" s="24" customFormat="1" hidden="1" outlineLevel="2" x14ac:dyDescent="0.25">
      <c r="A277" s="27"/>
      <c r="B277" s="11" t="str">
        <f>CONCATENATE("          ", "6275", " - ", "SUBSCRIPTIONS")</f>
        <v xml:space="preserve">          6275 - SUBSCRIPTIONS</v>
      </c>
      <c r="C277" s="11"/>
      <c r="D277" s="6">
        <v>644.82000000000005</v>
      </c>
      <c r="E277" s="2"/>
      <c r="F277" s="7">
        <f t="shared" si="103"/>
        <v>1.7317910930000126E-4</v>
      </c>
      <c r="G277" s="2"/>
      <c r="H277" s="6">
        <v>1164</v>
      </c>
      <c r="I277" s="2"/>
      <c r="J277" s="7">
        <f t="shared" si="104"/>
        <v>3.024890947692734E-4</v>
      </c>
      <c r="K277" s="2"/>
      <c r="L277" s="6">
        <f t="shared" si="105"/>
        <v>-519.17999999999995</v>
      </c>
      <c r="M277" s="2"/>
      <c r="N277" s="7">
        <f t="shared" si="106"/>
        <v>-0.44603092783505149</v>
      </c>
      <c r="O277" s="11"/>
      <c r="P277" s="6">
        <v>3267</v>
      </c>
      <c r="Q277" s="2"/>
      <c r="R277" s="7">
        <f t="shared" si="107"/>
        <v>2.4276601272730584E-4</v>
      </c>
      <c r="S277" s="2"/>
      <c r="T277" s="6">
        <v>4406</v>
      </c>
      <c r="U277" s="2"/>
      <c r="V277" s="7">
        <f t="shared" si="108"/>
        <v>3.1418466946752673E-4</v>
      </c>
      <c r="W277" s="2"/>
      <c r="X277" s="6">
        <f t="shared" si="109"/>
        <v>-1139</v>
      </c>
      <c r="Y277" s="2"/>
      <c r="Z277" s="7">
        <f t="shared" si="110"/>
        <v>-0.25851112119836589</v>
      </c>
    </row>
    <row r="278" spans="1:26" s="26" customFormat="1" outlineLevel="1" collapsed="1" x14ac:dyDescent="0.25">
      <c r="A278" s="25"/>
      <c r="B278" s="13" t="str">
        <f>CONCATENATE("     ","Supplies                                          ")</f>
        <v xml:space="preserve">     Supplies                                          </v>
      </c>
      <c r="C278" s="13"/>
      <c r="D278" s="1">
        <f>SUM(OSRRefD22_22x_0)</f>
        <v>73017.570000000007</v>
      </c>
      <c r="E278" s="1"/>
      <c r="F278" s="5">
        <f t="shared" ref="F278:F288" si="111">IF(D$12=0,0,D278/D$12)</f>
        <v>1.9610306342623514E-2</v>
      </c>
      <c r="G278" s="1"/>
      <c r="H278" s="1">
        <f>SUM(OSRRefH22_22x_0)</f>
        <v>64292.770000000004</v>
      </c>
      <c r="I278" s="1"/>
      <c r="J278" s="5">
        <f t="shared" ref="J278:J288" si="112">IF(H$12=0,0,H278/H$12)</f>
        <v>1.6707785049406444E-2</v>
      </c>
      <c r="K278" s="1"/>
      <c r="L278" s="1">
        <f t="shared" ref="L278:L288" si="113">+D278-H278</f>
        <v>8724.8000000000029</v>
      </c>
      <c r="M278" s="1"/>
      <c r="N278" s="5">
        <f t="shared" ref="N278:N288" si="114">IF(H278=0,0,L278/H278)</f>
        <v>0.1357042168194029</v>
      </c>
      <c r="O278" s="13"/>
      <c r="P278" s="1">
        <f>SUM(OSRRefP22_22x_0)</f>
        <v>286828.20999999996</v>
      </c>
      <c r="Q278" s="1"/>
      <c r="R278" s="5">
        <f t="shared" ref="R278:R288" si="115">IF(P$12=0,0,P278/P$12)</f>
        <v>2.1313786617511585E-2</v>
      </c>
      <c r="S278" s="1"/>
      <c r="T278" s="1">
        <f>SUM(OSRRefT22_22x_0)</f>
        <v>276778.09999999998</v>
      </c>
      <c r="U278" s="1"/>
      <c r="V278" s="5">
        <f t="shared" ref="V278:V288" si="116">IF(T$12=0,0,T278/T$12)</f>
        <v>1.9736594612880177E-2</v>
      </c>
      <c r="W278" s="1"/>
      <c r="X278" s="1">
        <f t="shared" ref="X278:X288" si="117">+P278-T278</f>
        <v>10050.109999999986</v>
      </c>
      <c r="Y278" s="1"/>
      <c r="Z278" s="5">
        <f t="shared" ref="Z278:Z288" si="118">IF(T278=0,0,X278/T278)</f>
        <v>3.6311073744635096E-2</v>
      </c>
    </row>
    <row r="279" spans="1:26" s="24" customFormat="1" hidden="1" outlineLevel="2" x14ac:dyDescent="0.25">
      <c r="A279" s="27"/>
      <c r="B279" s="11" t="str">
        <f>CONCATENATE("          ", "6234", " - ", "EXPENDABLE SUPPLIES &amp; EQUIPMEN")</f>
        <v xml:space="preserve">          6234 - EXPENDABLE SUPPLIES &amp; EQUIPMEN</v>
      </c>
      <c r="C279" s="11"/>
      <c r="D279" s="6">
        <v>4076.8</v>
      </c>
      <c r="E279" s="2"/>
      <c r="F279" s="7">
        <f t="shared" si="111"/>
        <v>1.0949049235356302E-3</v>
      </c>
      <c r="G279" s="2"/>
      <c r="H279" s="6">
        <v>8200</v>
      </c>
      <c r="I279" s="2"/>
      <c r="J279" s="7">
        <f t="shared" si="112"/>
        <v>2.1309369219141253E-3</v>
      </c>
      <c r="K279" s="2"/>
      <c r="L279" s="6">
        <f t="shared" si="113"/>
        <v>-4123.2</v>
      </c>
      <c r="M279" s="2"/>
      <c r="N279" s="7">
        <f t="shared" si="114"/>
        <v>-0.50282926829268293</v>
      </c>
      <c r="O279" s="11"/>
      <c r="P279" s="6">
        <v>14940.5</v>
      </c>
      <c r="Q279" s="2"/>
      <c r="R279" s="7">
        <f t="shared" si="115"/>
        <v>1.1102067992507846E-3</v>
      </c>
      <c r="S279" s="2"/>
      <c r="T279" s="6">
        <v>37000</v>
      </c>
      <c r="U279" s="2"/>
      <c r="V279" s="7">
        <f t="shared" si="116"/>
        <v>2.6384096164998841E-3</v>
      </c>
      <c r="W279" s="2"/>
      <c r="X279" s="6">
        <f t="shared" si="117"/>
        <v>-22059.5</v>
      </c>
      <c r="Y279" s="2"/>
      <c r="Z279" s="7">
        <f t="shared" si="118"/>
        <v>-0.5962027027027027</v>
      </c>
    </row>
    <row r="280" spans="1:26" s="24" customFormat="1" hidden="1" outlineLevel="2" x14ac:dyDescent="0.25">
      <c r="A280" s="27"/>
      <c r="B280" s="11" t="str">
        <f>CONCATENATE("          ", "6237", " - ", "JANITORIAL SUPPLIES")</f>
        <v xml:space="preserve">          6237 - JANITORIAL SUPPLIES</v>
      </c>
      <c r="C280" s="11"/>
      <c r="D280" s="6">
        <v>23016.94</v>
      </c>
      <c r="E280" s="2"/>
      <c r="F280" s="7">
        <f t="shared" si="111"/>
        <v>6.1816525045928642E-3</v>
      </c>
      <c r="G280" s="2"/>
      <c r="H280" s="6">
        <v>13841</v>
      </c>
      <c r="I280" s="2"/>
      <c r="J280" s="7">
        <f t="shared" si="112"/>
        <v>3.5968656019772453E-3</v>
      </c>
      <c r="K280" s="2"/>
      <c r="L280" s="6">
        <f t="shared" si="113"/>
        <v>9175.9399999999987</v>
      </c>
      <c r="M280" s="2"/>
      <c r="N280" s="7">
        <f t="shared" si="114"/>
        <v>0.66295354381908811</v>
      </c>
      <c r="O280" s="11"/>
      <c r="P280" s="6">
        <v>60518.360000000008</v>
      </c>
      <c r="Q280" s="2"/>
      <c r="R280" s="7">
        <f t="shared" si="115"/>
        <v>4.4970312072224296E-3</v>
      </c>
      <c r="S280" s="2"/>
      <c r="T280" s="6">
        <v>56779</v>
      </c>
      <c r="U280" s="2"/>
      <c r="V280" s="7">
        <f t="shared" si="116"/>
        <v>4.0488178274391065E-3</v>
      </c>
      <c r="W280" s="2"/>
      <c r="X280" s="6">
        <f t="shared" si="117"/>
        <v>3739.3600000000079</v>
      </c>
      <c r="Y280" s="2"/>
      <c r="Z280" s="7">
        <f t="shared" si="118"/>
        <v>6.5858151781468643E-2</v>
      </c>
    </row>
    <row r="281" spans="1:26" s="24" customFormat="1" hidden="1" outlineLevel="2" x14ac:dyDescent="0.25">
      <c r="A281" s="27"/>
      <c r="B281" s="11" t="str">
        <f>CONCATENATE("          ", "6239", " - ", "KITCHEN SUPPLIES")</f>
        <v xml:space="preserve">          6239 - KITCHEN SUPPLIES</v>
      </c>
      <c r="C281" s="11"/>
      <c r="D281" s="6">
        <v>13696.84</v>
      </c>
      <c r="E281" s="2"/>
      <c r="F281" s="7">
        <f t="shared" si="111"/>
        <v>3.6785561108908364E-3</v>
      </c>
      <c r="G281" s="2"/>
      <c r="H281" s="6">
        <v>7668.76</v>
      </c>
      <c r="I281" s="2"/>
      <c r="J281" s="7">
        <f t="shared" si="112"/>
        <v>1.9928833938168498E-3</v>
      </c>
      <c r="K281" s="2"/>
      <c r="L281" s="6">
        <f t="shared" si="113"/>
        <v>6028.08</v>
      </c>
      <c r="M281" s="2"/>
      <c r="N281" s="7">
        <f t="shared" si="114"/>
        <v>0.78605667669871004</v>
      </c>
      <c r="O281" s="11"/>
      <c r="P281" s="6">
        <v>46871.97</v>
      </c>
      <c r="Q281" s="2"/>
      <c r="R281" s="7">
        <f t="shared" si="115"/>
        <v>3.4829878376412297E-3</v>
      </c>
      <c r="S281" s="2"/>
      <c r="T281" s="6">
        <v>36284.76</v>
      </c>
      <c r="U281" s="2"/>
      <c r="V281" s="7">
        <f t="shared" si="116"/>
        <v>2.5874070193619013E-3</v>
      </c>
      <c r="W281" s="2"/>
      <c r="X281" s="6">
        <f t="shared" si="117"/>
        <v>10587.21</v>
      </c>
      <c r="Y281" s="2"/>
      <c r="Z281" s="7">
        <f t="shared" si="118"/>
        <v>0.29178117755222849</v>
      </c>
    </row>
    <row r="282" spans="1:26" s="24" customFormat="1" hidden="1" outlineLevel="2" x14ac:dyDescent="0.25">
      <c r="A282" s="27"/>
      <c r="B282" s="11" t="str">
        <f>CONCATENATE("          ", "6241", " - ", "OFFICE EXPENSE")</f>
        <v xml:space="preserve">          6241 - OFFICE EXPENSE</v>
      </c>
      <c r="C282" s="11"/>
      <c r="D282" s="6">
        <v>6576.85</v>
      </c>
      <c r="E282" s="2"/>
      <c r="F282" s="7">
        <f t="shared" si="111"/>
        <v>1.7663425839764791E-3</v>
      </c>
      <c r="G282" s="2"/>
      <c r="H282" s="6">
        <v>4249</v>
      </c>
      <c r="I282" s="2"/>
      <c r="J282" s="7">
        <f t="shared" si="112"/>
        <v>1.1041891440503803E-3</v>
      </c>
      <c r="K282" s="2"/>
      <c r="L282" s="6">
        <f t="shared" si="113"/>
        <v>2327.8500000000004</v>
      </c>
      <c r="M282" s="2"/>
      <c r="N282" s="7">
        <f t="shared" si="114"/>
        <v>0.54785831960461295</v>
      </c>
      <c r="O282" s="11"/>
      <c r="P282" s="6">
        <v>67766.01999999999</v>
      </c>
      <c r="Q282" s="2"/>
      <c r="R282" s="7">
        <f t="shared" si="115"/>
        <v>5.035594268074337E-3</v>
      </c>
      <c r="S282" s="2"/>
      <c r="T282" s="6">
        <v>15513.249999999998</v>
      </c>
      <c r="U282" s="2"/>
      <c r="V282" s="7">
        <f t="shared" si="116"/>
        <v>1.1062245400855898E-3</v>
      </c>
      <c r="W282" s="2"/>
      <c r="X282" s="6">
        <f t="shared" si="117"/>
        <v>52252.76999999999</v>
      </c>
      <c r="Y282" s="2"/>
      <c r="Z282" s="7">
        <f t="shared" si="118"/>
        <v>3.3682671264886466</v>
      </c>
    </row>
    <row r="283" spans="1:26" s="24" customFormat="1" hidden="1" outlineLevel="2" x14ac:dyDescent="0.25">
      <c r="A283" s="27"/>
      <c r="B283" s="11" t="str">
        <f>CONCATENATE("          ", "6243", " - ", "PAPER SUPPLIES")</f>
        <v xml:space="preserve">          6243 - PAPER SUPPLIES</v>
      </c>
      <c r="C283" s="11"/>
      <c r="D283" s="6">
        <v>19854.54</v>
      </c>
      <c r="E283" s="2"/>
      <c r="F283" s="7">
        <f t="shared" si="111"/>
        <v>5.3323277081375377E-3</v>
      </c>
      <c r="G283" s="2"/>
      <c r="H283" s="6">
        <v>12229</v>
      </c>
      <c r="I283" s="2"/>
      <c r="J283" s="7">
        <f t="shared" si="112"/>
        <v>3.1779545875716877E-3</v>
      </c>
      <c r="K283" s="2"/>
      <c r="L283" s="6">
        <f t="shared" si="113"/>
        <v>7625.5400000000009</v>
      </c>
      <c r="M283" s="2"/>
      <c r="N283" s="7">
        <f t="shared" si="114"/>
        <v>0.62356202469539623</v>
      </c>
      <c r="O283" s="11"/>
      <c r="P283" s="6">
        <v>50330.239999999998</v>
      </c>
      <c r="Q283" s="2"/>
      <c r="R283" s="7">
        <f t="shared" si="115"/>
        <v>3.7399668455489307E-3</v>
      </c>
      <c r="S283" s="2"/>
      <c r="T283" s="6">
        <v>43687</v>
      </c>
      <c r="U283" s="2"/>
      <c r="V283" s="7">
        <f t="shared" si="116"/>
        <v>3.1152486734062281E-3</v>
      </c>
      <c r="W283" s="2"/>
      <c r="X283" s="6">
        <f t="shared" si="117"/>
        <v>6643.239999999998</v>
      </c>
      <c r="Y283" s="2"/>
      <c r="Z283" s="7">
        <f t="shared" si="118"/>
        <v>0.15206445853457545</v>
      </c>
    </row>
    <row r="284" spans="1:26" s="24" customFormat="1" hidden="1" outlineLevel="2" x14ac:dyDescent="0.25">
      <c r="A284" s="27"/>
      <c r="B284" s="11" t="str">
        <f>CONCATENATE("          ", "6244", " - ", "SAFETY SUPPLY EXPENSE")</f>
        <v xml:space="preserve">          6244 - SAFETY SUPPLY EXPENSE</v>
      </c>
      <c r="C284" s="11"/>
      <c r="D284" s="6"/>
      <c r="E284" s="2"/>
      <c r="F284" s="7">
        <f t="shared" si="111"/>
        <v>0</v>
      </c>
      <c r="G284" s="2"/>
      <c r="H284" s="6">
        <v>235</v>
      </c>
      <c r="I284" s="2"/>
      <c r="J284" s="7">
        <f t="shared" si="112"/>
        <v>6.106953373778286E-5</v>
      </c>
      <c r="K284" s="2"/>
      <c r="L284" s="6">
        <f t="shared" si="113"/>
        <v>-235</v>
      </c>
      <c r="M284" s="2"/>
      <c r="N284" s="7">
        <f t="shared" si="114"/>
        <v>-1</v>
      </c>
      <c r="O284" s="11"/>
      <c r="P284" s="6"/>
      <c r="Q284" s="2"/>
      <c r="R284" s="7">
        <f t="shared" si="115"/>
        <v>0</v>
      </c>
      <c r="S284" s="2"/>
      <c r="T284" s="6">
        <v>970</v>
      </c>
      <c r="U284" s="2"/>
      <c r="V284" s="7">
        <f t="shared" si="116"/>
        <v>6.9169116973105072E-5</v>
      </c>
      <c r="W284" s="2"/>
      <c r="X284" s="6">
        <f t="shared" si="117"/>
        <v>-970</v>
      </c>
      <c r="Y284" s="2"/>
      <c r="Z284" s="7">
        <f t="shared" si="118"/>
        <v>-1</v>
      </c>
    </row>
    <row r="285" spans="1:26" s="24" customFormat="1" hidden="1" outlineLevel="2" x14ac:dyDescent="0.25">
      <c r="A285" s="27"/>
      <c r="B285" s="11" t="str">
        <f>CONCATENATE("          ", "6245", " - ", "PRINTING")</f>
        <v xml:space="preserve">          6245 - PRINTING</v>
      </c>
      <c r="C285" s="11"/>
      <c r="D285" s="6">
        <v>100.16</v>
      </c>
      <c r="E285" s="2"/>
      <c r="F285" s="7">
        <f t="shared" si="111"/>
        <v>2.6899940429093585E-5</v>
      </c>
      <c r="G285" s="2"/>
      <c r="H285" s="6">
        <v>310</v>
      </c>
      <c r="I285" s="2"/>
      <c r="J285" s="7">
        <f t="shared" si="112"/>
        <v>8.0559810462607181E-5</v>
      </c>
      <c r="K285" s="2"/>
      <c r="L285" s="6">
        <f t="shared" si="113"/>
        <v>-209.84</v>
      </c>
      <c r="M285" s="2"/>
      <c r="N285" s="7">
        <f t="shared" si="114"/>
        <v>-0.67690322580645157</v>
      </c>
      <c r="O285" s="11"/>
      <c r="P285" s="6">
        <v>7018.73</v>
      </c>
      <c r="Q285" s="2"/>
      <c r="R285" s="7">
        <f t="shared" si="115"/>
        <v>5.2155160591047542E-4</v>
      </c>
      <c r="S285" s="2"/>
      <c r="T285" s="6">
        <v>2180</v>
      </c>
      <c r="U285" s="2"/>
      <c r="V285" s="7">
        <f t="shared" si="116"/>
        <v>1.5545224226945264E-4</v>
      </c>
      <c r="W285" s="2"/>
      <c r="X285" s="6">
        <f t="shared" si="117"/>
        <v>4838.7299999999996</v>
      </c>
      <c r="Y285" s="2"/>
      <c r="Z285" s="7">
        <f t="shared" si="118"/>
        <v>2.2196009174311926</v>
      </c>
    </row>
    <row r="286" spans="1:26" s="24" customFormat="1" hidden="1" outlineLevel="2" x14ac:dyDescent="0.25">
      <c r="A286" s="27"/>
      <c r="B286" s="11" t="str">
        <f>CONCATENATE("          ", "6246", " - ", "REPLACEMENTS")</f>
        <v xml:space="preserve">          6246 - REPLACEMENTS</v>
      </c>
      <c r="C286" s="11"/>
      <c r="D286" s="6"/>
      <c r="E286" s="2"/>
      <c r="F286" s="7">
        <f t="shared" si="111"/>
        <v>0</v>
      </c>
      <c r="G286" s="2"/>
      <c r="H286" s="6"/>
      <c r="I286" s="2"/>
      <c r="J286" s="7">
        <f t="shared" si="112"/>
        <v>0</v>
      </c>
      <c r="K286" s="2"/>
      <c r="L286" s="6">
        <f t="shared" si="113"/>
        <v>0</v>
      </c>
      <c r="M286" s="2"/>
      <c r="N286" s="7">
        <f t="shared" si="114"/>
        <v>0</v>
      </c>
      <c r="O286" s="11"/>
      <c r="P286" s="6"/>
      <c r="Q286" s="2"/>
      <c r="R286" s="7">
        <f t="shared" si="115"/>
        <v>0</v>
      </c>
      <c r="S286" s="2"/>
      <c r="T286" s="6">
        <v>2400</v>
      </c>
      <c r="U286" s="2"/>
      <c r="V286" s="7">
        <f t="shared" si="116"/>
        <v>1.7114008323242493E-4</v>
      </c>
      <c r="W286" s="2"/>
      <c r="X286" s="6">
        <f t="shared" si="117"/>
        <v>-2400</v>
      </c>
      <c r="Y286" s="2"/>
      <c r="Z286" s="7">
        <f t="shared" si="118"/>
        <v>-1</v>
      </c>
    </row>
    <row r="287" spans="1:26" s="24" customFormat="1" hidden="1" outlineLevel="2" x14ac:dyDescent="0.25">
      <c r="A287" s="27"/>
      <c r="B287" s="11" t="str">
        <f>CONCATENATE("          ", "6247", " - ", "STORE SUPPLIES")</f>
        <v xml:space="preserve">          6247 - STORE SUPPLIES</v>
      </c>
      <c r="C287" s="11"/>
      <c r="D287" s="6">
        <v>5556.03</v>
      </c>
      <c r="E287" s="2"/>
      <c r="F287" s="7">
        <f t="shared" si="111"/>
        <v>1.4921812701902638E-3</v>
      </c>
      <c r="G287" s="2"/>
      <c r="H287" s="6">
        <v>14685.01</v>
      </c>
      <c r="I287" s="2"/>
      <c r="J287" s="7">
        <f t="shared" si="112"/>
        <v>3.8161987814241648E-3</v>
      </c>
      <c r="K287" s="2"/>
      <c r="L287" s="6">
        <f t="shared" si="113"/>
        <v>-9128.98</v>
      </c>
      <c r="M287" s="2"/>
      <c r="N287" s="7">
        <f t="shared" si="114"/>
        <v>-0.62165296448555363</v>
      </c>
      <c r="O287" s="11"/>
      <c r="P287" s="6">
        <v>40354.899999999994</v>
      </c>
      <c r="Q287" s="2"/>
      <c r="R287" s="7">
        <f t="shared" si="115"/>
        <v>2.9987138558338392E-3</v>
      </c>
      <c r="S287" s="2"/>
      <c r="T287" s="6">
        <v>63064.09</v>
      </c>
      <c r="U287" s="2"/>
      <c r="V287" s="7">
        <f t="shared" si="116"/>
        <v>4.4969973381571394E-3</v>
      </c>
      <c r="W287" s="2"/>
      <c r="X287" s="6">
        <f t="shared" si="117"/>
        <v>-22709.190000000002</v>
      </c>
      <c r="Y287" s="2"/>
      <c r="Z287" s="7">
        <f t="shared" si="118"/>
        <v>-0.36009700607746825</v>
      </c>
    </row>
    <row r="288" spans="1:26" s="24" customFormat="1" hidden="1" outlineLevel="2" x14ac:dyDescent="0.25">
      <c r="A288" s="27"/>
      <c r="B288" s="11" t="str">
        <f>CONCATENATE("          ", "6248", " - ", "UNIFORMS")</f>
        <v xml:space="preserve">          6248 - UNIFORMS</v>
      </c>
      <c r="C288" s="11"/>
      <c r="D288" s="6">
        <v>139.41</v>
      </c>
      <c r="E288" s="2"/>
      <c r="F288" s="7">
        <f t="shared" si="111"/>
        <v>3.7441300870806076E-5</v>
      </c>
      <c r="G288" s="2"/>
      <c r="H288" s="6">
        <v>2875</v>
      </c>
      <c r="I288" s="2"/>
      <c r="J288" s="7">
        <f t="shared" si="112"/>
        <v>7.4712727445159881E-4</v>
      </c>
      <c r="K288" s="2"/>
      <c r="L288" s="6">
        <f t="shared" si="113"/>
        <v>-2735.59</v>
      </c>
      <c r="M288" s="2"/>
      <c r="N288" s="7">
        <f t="shared" si="114"/>
        <v>-0.95150956521739138</v>
      </c>
      <c r="O288" s="11"/>
      <c r="P288" s="6">
        <v>-972.51</v>
      </c>
      <c r="Q288" s="2"/>
      <c r="R288" s="7">
        <f t="shared" si="115"/>
        <v>-7.2265801970441444E-5</v>
      </c>
      <c r="S288" s="2"/>
      <c r="T288" s="6">
        <v>18900</v>
      </c>
      <c r="U288" s="2"/>
      <c r="V288" s="7">
        <f t="shared" si="116"/>
        <v>1.3477281554553462E-3</v>
      </c>
      <c r="W288" s="2"/>
      <c r="X288" s="6">
        <f t="shared" si="117"/>
        <v>-19872.509999999998</v>
      </c>
      <c r="Y288" s="2"/>
      <c r="Z288" s="7">
        <f t="shared" si="118"/>
        <v>-1.0514555555555554</v>
      </c>
    </row>
    <row r="289" spans="1:26" s="26" customFormat="1" outlineLevel="1" collapsed="1" x14ac:dyDescent="0.25">
      <c r="A289" s="25"/>
      <c r="B289" s="13" t="str">
        <f>CONCATENATE("     ","Telephone/Data Lines                              ")</f>
        <v xml:space="preserve">     Telephone/Data Lines                              </v>
      </c>
      <c r="C289" s="13"/>
      <c r="D289" s="1">
        <f>SUM(OSRRefD22_23x_0)</f>
        <v>4613.55</v>
      </c>
      <c r="E289" s="1"/>
      <c r="F289" s="5">
        <f t="shared" ref="F289:F291" si="119">IF(D$12=0,0,D289/D$12)</f>
        <v>1.2390597061366286E-3</v>
      </c>
      <c r="G289" s="1"/>
      <c r="H289" s="1">
        <f>SUM(OSRRefH22_23x_0)</f>
        <v>6564</v>
      </c>
      <c r="I289" s="1"/>
      <c r="J289" s="5">
        <f t="shared" ref="J289:J291" si="120">IF(H$12=0,0,H289/H$12)</f>
        <v>1.7057890189566243E-3</v>
      </c>
      <c r="K289" s="1"/>
      <c r="L289" s="1">
        <f t="shared" ref="L289:L291" si="121">+D289-H289</f>
        <v>-1950.4499999999998</v>
      </c>
      <c r="M289" s="1"/>
      <c r="N289" s="5">
        <f t="shared" ref="N289:N291" si="122">IF(H289=0,0,L289/H289)</f>
        <v>-0.29714351005484457</v>
      </c>
      <c r="O289" s="13"/>
      <c r="P289" s="1">
        <f>SUM(OSRRefP22_23x_0)</f>
        <v>23577.52</v>
      </c>
      <c r="Q289" s="1"/>
      <c r="R289" s="5">
        <f t="shared" ref="R289:R291" si="123">IF(P$12=0,0,P289/P$12)</f>
        <v>1.752011178573097E-3</v>
      </c>
      <c r="S289" s="1"/>
      <c r="T289" s="1">
        <f>SUM(OSRRefT22_23x_0)</f>
        <v>26712</v>
      </c>
      <c r="U289" s="1"/>
      <c r="V289" s="5">
        <f t="shared" ref="V289:V291" si="124">IF(T$12=0,0,T289/T$12)</f>
        <v>1.9047891263768895E-3</v>
      </c>
      <c r="W289" s="1"/>
      <c r="X289" s="1">
        <f t="shared" ref="X289:X291" si="125">+P289-T289</f>
        <v>-3134.4799999999996</v>
      </c>
      <c r="Y289" s="1"/>
      <c r="Z289" s="5">
        <f t="shared" ref="Z289:Z291" si="126">IF(T289=0,0,X289/T289)</f>
        <v>-0.11734351602276129</v>
      </c>
    </row>
    <row r="290" spans="1:26" s="24" customFormat="1" hidden="1" outlineLevel="2" x14ac:dyDescent="0.25">
      <c r="A290" s="27"/>
      <c r="B290" s="11" t="str">
        <f>CONCATENATE("          ", "6303", " - ", "DATA PHONE LINES")</f>
        <v xml:space="preserve">          6303 - DATA PHONE LINES</v>
      </c>
      <c r="C290" s="11"/>
      <c r="D290" s="6">
        <v>295</v>
      </c>
      <c r="E290" s="2"/>
      <c r="F290" s="7">
        <f t="shared" si="119"/>
        <v>7.9228059370832748E-5</v>
      </c>
      <c r="G290" s="2"/>
      <c r="H290" s="6">
        <v>1926</v>
      </c>
      <c r="I290" s="2"/>
      <c r="J290" s="7">
        <f t="shared" si="120"/>
        <v>5.0051030629348853E-4</v>
      </c>
      <c r="K290" s="2"/>
      <c r="L290" s="6">
        <f t="shared" si="121"/>
        <v>-1631</v>
      </c>
      <c r="M290" s="2"/>
      <c r="N290" s="7">
        <f t="shared" si="122"/>
        <v>-0.84683281412253375</v>
      </c>
      <c r="O290" s="11"/>
      <c r="P290" s="6">
        <v>1180</v>
      </c>
      <c r="Q290" s="2"/>
      <c r="R290" s="7">
        <f t="shared" si="123"/>
        <v>8.7684081731931711E-5</v>
      </c>
      <c r="S290" s="2"/>
      <c r="T290" s="6">
        <v>7785</v>
      </c>
      <c r="U290" s="2"/>
      <c r="V290" s="7">
        <f t="shared" si="124"/>
        <v>5.5513564498517833E-4</v>
      </c>
      <c r="W290" s="2"/>
      <c r="X290" s="6">
        <f t="shared" si="125"/>
        <v>-6605</v>
      </c>
      <c r="Y290" s="2"/>
      <c r="Z290" s="7">
        <f t="shared" si="126"/>
        <v>-0.84842646114322418</v>
      </c>
    </row>
    <row r="291" spans="1:26" s="24" customFormat="1" hidden="1" outlineLevel="2" x14ac:dyDescent="0.25">
      <c r="A291" s="27"/>
      <c r="B291" s="11" t="str">
        <f>CONCATENATE("          ", "6309", " - ", "TELEPHONE")</f>
        <v xml:space="preserve">          6309 - TELEPHONE</v>
      </c>
      <c r="C291" s="11"/>
      <c r="D291" s="6">
        <v>4318.55</v>
      </c>
      <c r="E291" s="2"/>
      <c r="F291" s="7">
        <f t="shared" si="119"/>
        <v>1.1598316467657957E-3</v>
      </c>
      <c r="G291" s="2"/>
      <c r="H291" s="6">
        <v>4638</v>
      </c>
      <c r="I291" s="2"/>
      <c r="J291" s="7">
        <f t="shared" si="120"/>
        <v>1.2052787126631357E-3</v>
      </c>
      <c r="K291" s="2"/>
      <c r="L291" s="6">
        <f t="shared" si="121"/>
        <v>-319.44999999999982</v>
      </c>
      <c r="M291" s="2"/>
      <c r="N291" s="7">
        <f t="shared" si="122"/>
        <v>-6.8876670978870166E-2</v>
      </c>
      <c r="O291" s="11"/>
      <c r="P291" s="6">
        <v>22397.52</v>
      </c>
      <c r="Q291" s="2"/>
      <c r="R291" s="7">
        <f t="shared" si="123"/>
        <v>1.6643270968411655E-3</v>
      </c>
      <c r="S291" s="2"/>
      <c r="T291" s="6">
        <v>18927</v>
      </c>
      <c r="U291" s="2"/>
      <c r="V291" s="7">
        <f t="shared" si="124"/>
        <v>1.3496534813917111E-3</v>
      </c>
      <c r="W291" s="2"/>
      <c r="X291" s="6">
        <f t="shared" si="125"/>
        <v>3470.5200000000004</v>
      </c>
      <c r="Y291" s="2"/>
      <c r="Z291" s="7">
        <f t="shared" si="126"/>
        <v>0.18336344904105248</v>
      </c>
    </row>
    <row r="292" spans="1:26" s="26" customFormat="1" outlineLevel="1" collapsed="1" x14ac:dyDescent="0.25">
      <c r="A292" s="25"/>
      <c r="B292" s="13" t="str">
        <f>CONCATENATE("     ","Training                                          ")</f>
        <v xml:space="preserve">     Training                                          </v>
      </c>
      <c r="C292" s="13"/>
      <c r="D292" s="1">
        <f>SUM(OSRRefD22_24x_0)</f>
        <v>3373.47</v>
      </c>
      <c r="E292" s="1"/>
      <c r="F292" s="5">
        <f t="shared" ref="F292:F297" si="127">IF(D$12=0,0,D292/D$12)</f>
        <v>9.0601180151092585E-4</v>
      </c>
      <c r="G292" s="1"/>
      <c r="H292" s="1">
        <f>SUM(OSRRefH22_24x_0)</f>
        <v>3175</v>
      </c>
      <c r="I292" s="1"/>
      <c r="J292" s="5">
        <f t="shared" ref="J292:J297" si="128">IF(H$12=0,0,H292/H$12)</f>
        <v>8.2508838135089615E-4</v>
      </c>
      <c r="K292" s="1"/>
      <c r="L292" s="1">
        <f t="shared" ref="L292:L297" si="129">+D292-H292</f>
        <v>198.4699999999998</v>
      </c>
      <c r="M292" s="1"/>
      <c r="N292" s="5">
        <f t="shared" ref="N292:N297" si="130">IF(H292=0,0,L292/H292)</f>
        <v>6.2510236220472373E-2</v>
      </c>
      <c r="O292" s="13"/>
      <c r="P292" s="1">
        <f>SUM(OSRRefP22_24x_0)</f>
        <v>10856.53</v>
      </c>
      <c r="Q292" s="1"/>
      <c r="R292" s="5">
        <f t="shared" ref="R292:R297" si="131">IF(P$12=0,0,P292/P$12)</f>
        <v>8.0673293546200734E-4</v>
      </c>
      <c r="S292" s="1"/>
      <c r="T292" s="1">
        <f>SUM(OSRRefT22_24x_0)</f>
        <v>21138</v>
      </c>
      <c r="U292" s="1"/>
      <c r="V292" s="5">
        <f t="shared" ref="V292:V297" si="132">IF(T$12=0,0,T292/T$12)</f>
        <v>1.5073162830695824E-3</v>
      </c>
      <c r="W292" s="1"/>
      <c r="X292" s="1">
        <f t="shared" ref="X292:X297" si="133">+P292-T292</f>
        <v>-10281.469999999999</v>
      </c>
      <c r="Y292" s="1"/>
      <c r="Z292" s="5">
        <f t="shared" ref="Z292:Z297" si="134">IF(T292=0,0,X292/T292)</f>
        <v>-0.48639748320560128</v>
      </c>
    </row>
    <row r="293" spans="1:26" s="24" customFormat="1" hidden="1" outlineLevel="2" x14ac:dyDescent="0.25">
      <c r="A293" s="27"/>
      <c r="B293" s="11" t="str">
        <f>CONCATENATE("          ", "6376", " - ", "TRAINING")</f>
        <v xml:space="preserve">          6376 - TRAINING</v>
      </c>
      <c r="C293" s="11"/>
      <c r="D293" s="6">
        <v>3373.47</v>
      </c>
      <c r="E293" s="2"/>
      <c r="F293" s="7">
        <f t="shared" si="127"/>
        <v>9.0601180151092585E-4</v>
      </c>
      <c r="G293" s="2"/>
      <c r="H293" s="6">
        <v>3175</v>
      </c>
      <c r="I293" s="2"/>
      <c r="J293" s="7">
        <f t="shared" si="128"/>
        <v>8.2508838135089615E-4</v>
      </c>
      <c r="K293" s="2"/>
      <c r="L293" s="6">
        <f t="shared" si="129"/>
        <v>198.4699999999998</v>
      </c>
      <c r="M293" s="2"/>
      <c r="N293" s="7">
        <f t="shared" si="130"/>
        <v>6.2510236220472373E-2</v>
      </c>
      <c r="O293" s="11"/>
      <c r="P293" s="6">
        <v>10856.53</v>
      </c>
      <c r="Q293" s="2"/>
      <c r="R293" s="7">
        <f t="shared" si="131"/>
        <v>8.0673293546200734E-4</v>
      </c>
      <c r="S293" s="2"/>
      <c r="T293" s="6">
        <v>21138</v>
      </c>
      <c r="U293" s="2"/>
      <c r="V293" s="7">
        <f t="shared" si="132"/>
        <v>1.5073162830695824E-3</v>
      </c>
      <c r="W293" s="2"/>
      <c r="X293" s="6">
        <f t="shared" si="133"/>
        <v>-10281.469999999999</v>
      </c>
      <c r="Y293" s="2"/>
      <c r="Z293" s="7">
        <f t="shared" si="134"/>
        <v>-0.48639748320560128</v>
      </c>
    </row>
    <row r="294" spans="1:26" s="26" customFormat="1" outlineLevel="1" collapsed="1" x14ac:dyDescent="0.25">
      <c r="A294" s="25"/>
      <c r="B294" s="13" t="str">
        <f>CONCATENATE("     ","Travel                                            ")</f>
        <v xml:space="preserve">     Travel                                            </v>
      </c>
      <c r="C294" s="13"/>
      <c r="D294" s="1">
        <f>SUM(OSRRefD22_25x_0)</f>
        <v>924.51</v>
      </c>
      <c r="E294" s="1"/>
      <c r="F294" s="5">
        <f t="shared" si="127"/>
        <v>2.4829536667433417E-4</v>
      </c>
      <c r="G294" s="1"/>
      <c r="H294" s="1">
        <f>SUM(OSRRefH22_25x_0)</f>
        <v>3485</v>
      </c>
      <c r="I294" s="1"/>
      <c r="J294" s="5">
        <f t="shared" si="128"/>
        <v>9.0564819181350334E-4</v>
      </c>
      <c r="K294" s="1"/>
      <c r="L294" s="1">
        <f t="shared" si="129"/>
        <v>-2560.4899999999998</v>
      </c>
      <c r="M294" s="1"/>
      <c r="N294" s="5">
        <f t="shared" si="130"/>
        <v>-0.73471736011477751</v>
      </c>
      <c r="O294" s="13"/>
      <c r="P294" s="1">
        <f>SUM(OSRRefP22_25x_0)</f>
        <v>4327.96</v>
      </c>
      <c r="Q294" s="1"/>
      <c r="R294" s="5">
        <f t="shared" si="131"/>
        <v>3.2160440540045015E-4</v>
      </c>
      <c r="S294" s="1"/>
      <c r="T294" s="1">
        <f>SUM(OSRRefT22_25x_0)</f>
        <v>11225</v>
      </c>
      <c r="U294" s="1"/>
      <c r="V294" s="5">
        <f t="shared" si="132"/>
        <v>8.004364309516541E-4</v>
      </c>
      <c r="W294" s="1"/>
      <c r="X294" s="1">
        <f t="shared" si="133"/>
        <v>-6897.04</v>
      </c>
      <c r="Y294" s="1"/>
      <c r="Z294" s="5">
        <f t="shared" si="134"/>
        <v>-0.6144356347438753</v>
      </c>
    </row>
    <row r="295" spans="1:26" s="24" customFormat="1" hidden="1" outlineLevel="2" x14ac:dyDescent="0.25">
      <c r="A295" s="27"/>
      <c r="B295" s="11" t="str">
        <f>CONCATENATE("          ", "6292", " - ", "TRAVEL/CONFERENCE")</f>
        <v xml:space="preserve">          6292 - TRAVEL/CONFERENCE</v>
      </c>
      <c r="C295" s="11"/>
      <c r="D295" s="6">
        <v>590.14</v>
      </c>
      <c r="E295" s="2"/>
      <c r="F295" s="7">
        <f t="shared" si="127"/>
        <v>1.5849371849865502E-4</v>
      </c>
      <c r="G295" s="2"/>
      <c r="H295" s="6">
        <v>3300</v>
      </c>
      <c r="I295" s="2"/>
      <c r="J295" s="7">
        <f t="shared" si="128"/>
        <v>8.5757217589226995E-4</v>
      </c>
      <c r="K295" s="2"/>
      <c r="L295" s="6">
        <f t="shared" si="129"/>
        <v>-2709.86</v>
      </c>
      <c r="M295" s="2"/>
      <c r="N295" s="7">
        <f t="shared" si="130"/>
        <v>-0.82116969696969699</v>
      </c>
      <c r="O295" s="11"/>
      <c r="P295" s="6">
        <v>3166.01</v>
      </c>
      <c r="Q295" s="2"/>
      <c r="R295" s="7">
        <f t="shared" si="131"/>
        <v>2.3526159288484163E-4</v>
      </c>
      <c r="S295" s="2"/>
      <c r="T295" s="6">
        <v>9900</v>
      </c>
      <c r="U295" s="2"/>
      <c r="V295" s="7">
        <f t="shared" si="132"/>
        <v>7.059528433337528E-4</v>
      </c>
      <c r="W295" s="2"/>
      <c r="X295" s="6">
        <f t="shared" si="133"/>
        <v>-6733.99</v>
      </c>
      <c r="Y295" s="2"/>
      <c r="Z295" s="7">
        <f t="shared" si="134"/>
        <v>-0.68020101010101008</v>
      </c>
    </row>
    <row r="296" spans="1:26" s="24" customFormat="1" hidden="1" outlineLevel="2" x14ac:dyDescent="0.25">
      <c r="A296" s="27"/>
      <c r="B296" s="11" t="str">
        <f>CONCATENATE("          ", "6294", " - ", "TRAVEL OPERATIONAL")</f>
        <v xml:space="preserve">          6294 - TRAVEL OPERATIONAL</v>
      </c>
      <c r="C296" s="11"/>
      <c r="D296" s="6">
        <v>334.37</v>
      </c>
      <c r="E296" s="2"/>
      <c r="F296" s="7">
        <f t="shared" si="127"/>
        <v>8.9801648175679135E-5</v>
      </c>
      <c r="G296" s="2"/>
      <c r="H296" s="6">
        <v>75</v>
      </c>
      <c r="I296" s="2"/>
      <c r="J296" s="7">
        <f t="shared" si="128"/>
        <v>1.9490276724824317E-5</v>
      </c>
      <c r="K296" s="2"/>
      <c r="L296" s="6">
        <f t="shared" si="129"/>
        <v>259.37</v>
      </c>
      <c r="M296" s="2"/>
      <c r="N296" s="7">
        <f t="shared" si="130"/>
        <v>3.4582666666666668</v>
      </c>
      <c r="O296" s="11"/>
      <c r="P296" s="6">
        <v>481.96</v>
      </c>
      <c r="Q296" s="2"/>
      <c r="R296" s="7">
        <f t="shared" si="131"/>
        <v>3.5813745789425256E-5</v>
      </c>
      <c r="S296" s="2"/>
      <c r="T296" s="6">
        <v>435</v>
      </c>
      <c r="U296" s="2"/>
      <c r="V296" s="7">
        <f t="shared" si="132"/>
        <v>3.1019140085877017E-5</v>
      </c>
      <c r="W296" s="2"/>
      <c r="X296" s="6">
        <f t="shared" si="133"/>
        <v>46.95999999999998</v>
      </c>
      <c r="Y296" s="2"/>
      <c r="Z296" s="7">
        <f t="shared" si="134"/>
        <v>0.1079540229885057</v>
      </c>
    </row>
    <row r="297" spans="1:26" s="24" customFormat="1" hidden="1" outlineLevel="2" x14ac:dyDescent="0.25">
      <c r="A297" s="27"/>
      <c r="B297" s="11" t="str">
        <f>CONCATENATE("          ", "6298", " - ", "VEHICLE MILEAGE")</f>
        <v xml:space="preserve">          6298 - VEHICLE MILEAGE</v>
      </c>
      <c r="C297" s="11"/>
      <c r="D297" s="6"/>
      <c r="E297" s="2"/>
      <c r="F297" s="7">
        <f t="shared" si="127"/>
        <v>0</v>
      </c>
      <c r="G297" s="2"/>
      <c r="H297" s="6">
        <v>110</v>
      </c>
      <c r="I297" s="2"/>
      <c r="J297" s="7">
        <f t="shared" si="128"/>
        <v>2.8585739196409E-5</v>
      </c>
      <c r="K297" s="2"/>
      <c r="L297" s="6">
        <f t="shared" si="129"/>
        <v>-110</v>
      </c>
      <c r="M297" s="2"/>
      <c r="N297" s="7">
        <f t="shared" si="130"/>
        <v>-1</v>
      </c>
      <c r="O297" s="11"/>
      <c r="P297" s="6">
        <v>679.99</v>
      </c>
      <c r="Q297" s="2"/>
      <c r="R297" s="7">
        <f t="shared" si="131"/>
        <v>5.0529066726183257E-5</v>
      </c>
      <c r="S297" s="2"/>
      <c r="T297" s="6">
        <v>890</v>
      </c>
      <c r="U297" s="2"/>
      <c r="V297" s="7">
        <f t="shared" si="132"/>
        <v>6.3464447532024244E-5</v>
      </c>
      <c r="W297" s="2"/>
      <c r="X297" s="6">
        <f t="shared" si="133"/>
        <v>-210.01</v>
      </c>
      <c r="Y297" s="2"/>
      <c r="Z297" s="7">
        <f t="shared" si="134"/>
        <v>-0.23596629213483145</v>
      </c>
    </row>
    <row r="298" spans="1:26" s="26" customFormat="1" outlineLevel="1" collapsed="1" x14ac:dyDescent="0.25">
      <c r="A298" s="25"/>
      <c r="B298" s="13" t="str">
        <f>CONCATENATE("     ","Utilities                                         ")</f>
        <v xml:space="preserve">     Utilities                                         </v>
      </c>
      <c r="C298" s="13"/>
      <c r="D298" s="1">
        <f>SUM(OSRRefD22_26x_0)</f>
        <v>20332.86</v>
      </c>
      <c r="E298" s="1"/>
      <c r="F298" s="5">
        <f t="shared" ref="F298:F299" si="135">IF(D$12=0,0,D298/D$12)</f>
        <v>5.460789963589255E-3</v>
      </c>
      <c r="G298" s="1"/>
      <c r="H298" s="1">
        <f>SUM(OSRRefH22_26x_0)</f>
        <v>28702</v>
      </c>
      <c r="I298" s="1"/>
      <c r="J298" s="5">
        <f t="shared" ref="J298:J299" si="136">IF(H$12=0,0,H298/H$12)</f>
        <v>7.4587989674121009E-3</v>
      </c>
      <c r="K298" s="1"/>
      <c r="L298" s="1">
        <f t="shared" ref="L298:L299" si="137">+D298-H298</f>
        <v>-8369.14</v>
      </c>
      <c r="M298" s="1"/>
      <c r="N298" s="5">
        <f t="shared" ref="N298:N299" si="138">IF(H298=0,0,L298/H298)</f>
        <v>-0.29158734582955892</v>
      </c>
      <c r="O298" s="13"/>
      <c r="P298" s="1">
        <f>SUM(OSRRefP22_26x_0)</f>
        <v>63683.78</v>
      </c>
      <c r="Q298" s="1"/>
      <c r="R298" s="5">
        <f t="shared" ref="R298:R299" si="139">IF(P$12=0,0,P298/P$12)</f>
        <v>4.7322489580664054E-3</v>
      </c>
      <c r="S298" s="1"/>
      <c r="T298" s="1">
        <f>SUM(OSRRefT22_26x_0)</f>
        <v>104671</v>
      </c>
      <c r="U298" s="1"/>
      <c r="V298" s="5">
        <f t="shared" ref="V298:V299" si="140">IF(T$12=0,0,T298/T$12)</f>
        <v>7.4639181883421456E-3</v>
      </c>
      <c r="W298" s="1"/>
      <c r="X298" s="1">
        <f t="shared" ref="X298:X299" si="141">+P298-T298</f>
        <v>-40987.22</v>
      </c>
      <c r="Y298" s="1"/>
      <c r="Z298" s="5">
        <f t="shared" ref="Z298:Z299" si="142">IF(T298=0,0,X298/T298)</f>
        <v>-0.39158143134201451</v>
      </c>
    </row>
    <row r="299" spans="1:26" s="24" customFormat="1" hidden="1" outlineLevel="2" x14ac:dyDescent="0.25">
      <c r="A299" s="27"/>
      <c r="B299" s="11" t="str">
        <f>CONCATENATE("          ", "6274", " - ", "UTILITIES")</f>
        <v xml:space="preserve">          6274 - UTILITIES</v>
      </c>
      <c r="C299" s="11"/>
      <c r="D299" s="6">
        <v>20332.86</v>
      </c>
      <c r="E299" s="2"/>
      <c r="F299" s="7">
        <f t="shared" si="135"/>
        <v>5.460789963589255E-3</v>
      </c>
      <c r="G299" s="2"/>
      <c r="H299" s="6">
        <v>28702</v>
      </c>
      <c r="I299" s="2"/>
      <c r="J299" s="7">
        <f t="shared" si="136"/>
        <v>7.4587989674121009E-3</v>
      </c>
      <c r="K299" s="2"/>
      <c r="L299" s="6">
        <f t="shared" si="137"/>
        <v>-8369.14</v>
      </c>
      <c r="M299" s="2"/>
      <c r="N299" s="7">
        <f t="shared" si="138"/>
        <v>-0.29158734582955892</v>
      </c>
      <c r="O299" s="11"/>
      <c r="P299" s="6">
        <v>63683.78</v>
      </c>
      <c r="Q299" s="2"/>
      <c r="R299" s="7">
        <f t="shared" si="139"/>
        <v>4.7322489580664054E-3</v>
      </c>
      <c r="S299" s="2"/>
      <c r="T299" s="6">
        <v>104671</v>
      </c>
      <c r="U299" s="2"/>
      <c r="V299" s="7">
        <f t="shared" si="140"/>
        <v>7.4639181883421456E-3</v>
      </c>
      <c r="W299" s="2"/>
      <c r="X299" s="6">
        <f t="shared" si="141"/>
        <v>-40987.22</v>
      </c>
      <c r="Y299" s="2"/>
      <c r="Z299" s="7">
        <f t="shared" si="142"/>
        <v>-0.39158143134201451</v>
      </c>
    </row>
    <row r="300" spans="1:26" s="61" customFormat="1" x14ac:dyDescent="0.25">
      <c r="A300" s="36"/>
      <c r="B300" s="36"/>
      <c r="C300" s="36"/>
      <c r="D300" s="1"/>
      <c r="E300" s="1"/>
      <c r="F300" s="5"/>
      <c r="G300" s="1"/>
      <c r="H300" s="1"/>
      <c r="I300" s="1"/>
      <c r="J300" s="5"/>
      <c r="K300" s="1"/>
      <c r="L300" s="1"/>
      <c r="M300" s="1"/>
      <c r="N300" s="5"/>
      <c r="O300" s="36"/>
      <c r="P300" s="1"/>
      <c r="Q300" s="1"/>
      <c r="R300" s="5"/>
      <c r="S300" s="1"/>
      <c r="T300" s="1"/>
      <c r="U300" s="1"/>
      <c r="V300" s="5"/>
      <c r="W300" s="1"/>
      <c r="X300" s="1"/>
      <c r="Y300" s="1"/>
      <c r="Z300" s="5"/>
    </row>
    <row r="301" spans="1:26" s="23" customFormat="1" collapsed="1" x14ac:dyDescent="0.25">
      <c r="A301" s="10"/>
      <c r="B301" s="29" t="s">
        <v>0</v>
      </c>
      <c r="C301" s="10"/>
      <c r="D301" s="4">
        <f>SUM(OSRRefD25x_0)</f>
        <v>265656.75999999995</v>
      </c>
      <c r="E301" s="4"/>
      <c r="F301" s="12">
        <f t="shared" ref="F301:F312" si="143">IF(D$12=0,0,D301/D$12)</f>
        <v>7.1347354418790032E-2</v>
      </c>
      <c r="G301" s="4"/>
      <c r="H301" s="4">
        <f>SUM(OSRRefH25x_0)</f>
        <v>123444</v>
      </c>
      <c r="I301" s="4"/>
      <c r="J301" s="12">
        <f t="shared" ref="J301:J312" si="144">IF(H$12=0,0,H301/H$12)</f>
        <v>3.2079436266922841E-2</v>
      </c>
      <c r="K301" s="4"/>
      <c r="L301" s="4">
        <f t="shared" ref="L301:L312" si="145">+D301-H301</f>
        <v>142212.75999999995</v>
      </c>
      <c r="M301" s="4"/>
      <c r="N301" s="12">
        <f t="shared" ref="N301:N312" si="146">IF(H301=0,0,L301/H301)</f>
        <v>1.1520427076245094</v>
      </c>
      <c r="O301" s="10"/>
      <c r="P301" s="4">
        <f>SUM(OSRRefP25x_0)</f>
        <v>822058.06</v>
      </c>
      <c r="Q301" s="4"/>
      <c r="R301" s="12">
        <f t="shared" ref="R301:R312" si="147">IF(P$12=0,0,P301/P$12)</f>
        <v>6.1085937391045106E-2</v>
      </c>
      <c r="S301" s="4"/>
      <c r="T301" s="4">
        <f>SUM(OSRRefT25x_0)</f>
        <v>655261</v>
      </c>
      <c r="U301" s="4"/>
      <c r="V301" s="12">
        <f t="shared" ref="V301:V312" si="148">IF(T$12=0,0,T301/T$12)</f>
        <v>4.6725592532900831E-2</v>
      </c>
      <c r="W301" s="4"/>
      <c r="X301" s="4">
        <f t="shared" ref="X301:X312" si="149">+P301-T301</f>
        <v>166797.06000000006</v>
      </c>
      <c r="Y301" s="4"/>
      <c r="Z301" s="12">
        <f t="shared" ref="Z301:Z312" si="150">IF(T301=0,0,X301/T301)</f>
        <v>0.25455056839946227</v>
      </c>
    </row>
    <row r="302" spans="1:26" s="24" customFormat="1" hidden="1" outlineLevel="1" x14ac:dyDescent="0.25">
      <c r="A302" s="44"/>
      <c r="B302" s="11" t="str">
        <f>CONCATENATE("          ", "4098", " - ", "TAXABLE SALES-GRAD RENTALS")</f>
        <v xml:space="preserve">          4098 - TAXABLE SALES-GRAD RENTALS</v>
      </c>
      <c r="C302" s="11"/>
      <c r="D302" s="2">
        <f>0</f>
        <v>0</v>
      </c>
      <c r="E302" s="2"/>
      <c r="F302" s="19">
        <f t="shared" si="143"/>
        <v>0</v>
      </c>
      <c r="G302" s="2"/>
      <c r="H302" s="2"/>
      <c r="I302" s="2"/>
      <c r="J302" s="19">
        <f t="shared" si="144"/>
        <v>0</v>
      </c>
      <c r="K302" s="2"/>
      <c r="L302" s="2">
        <f t="shared" si="145"/>
        <v>0</v>
      </c>
      <c r="M302" s="2"/>
      <c r="N302" s="19">
        <f t="shared" si="146"/>
        <v>0</v>
      </c>
      <c r="O302" s="11"/>
      <c r="P302" s="2">
        <f>--1626.85</f>
        <v>1626.85</v>
      </c>
      <c r="Q302" s="2"/>
      <c r="R302" s="19">
        <f t="shared" si="147"/>
        <v>1.2088885454711279E-4</v>
      </c>
      <c r="S302" s="2"/>
      <c r="T302" s="2"/>
      <c r="U302" s="2"/>
      <c r="V302" s="19">
        <f t="shared" si="148"/>
        <v>0</v>
      </c>
      <c r="W302" s="2"/>
      <c r="X302" s="2">
        <f t="shared" si="149"/>
        <v>1626.85</v>
      </c>
      <c r="Y302" s="2"/>
      <c r="Z302" s="19">
        <f t="shared" si="150"/>
        <v>0</v>
      </c>
    </row>
    <row r="303" spans="1:26" s="24" customFormat="1" hidden="1" outlineLevel="1" x14ac:dyDescent="0.25">
      <c r="A303" s="44"/>
      <c r="B303" s="11" t="str">
        <f>CONCATENATE("          ", "4187", " - ", "NON-TAXABLE SALES-COMPUTER REP")</f>
        <v xml:space="preserve">          4187 - NON-TAXABLE SALES-COMPUTER REP</v>
      </c>
      <c r="C303" s="11"/>
      <c r="D303" s="2">
        <f>--4407.89</f>
        <v>4407.8900000000003</v>
      </c>
      <c r="E303" s="2"/>
      <c r="F303" s="19">
        <f t="shared" si="143"/>
        <v>1.183825663118983E-3</v>
      </c>
      <c r="G303" s="2"/>
      <c r="H303" s="2"/>
      <c r="I303" s="2"/>
      <c r="J303" s="19">
        <f t="shared" si="144"/>
        <v>0</v>
      </c>
      <c r="K303" s="2"/>
      <c r="L303" s="2">
        <f t="shared" si="145"/>
        <v>4407.8900000000003</v>
      </c>
      <c r="M303" s="2"/>
      <c r="N303" s="19">
        <f t="shared" si="146"/>
        <v>0</v>
      </c>
      <c r="O303" s="11"/>
      <c r="P303" s="2">
        <f>--11782.69</f>
        <v>11782.69</v>
      </c>
      <c r="Q303" s="2"/>
      <c r="R303" s="19">
        <f t="shared" si="147"/>
        <v>8.7555453642543604E-4</v>
      </c>
      <c r="S303" s="2"/>
      <c r="T303" s="2"/>
      <c r="U303" s="2"/>
      <c r="V303" s="19">
        <f t="shared" si="148"/>
        <v>0</v>
      </c>
      <c r="W303" s="2"/>
      <c r="X303" s="2">
        <f t="shared" si="149"/>
        <v>11782.69</v>
      </c>
      <c r="Y303" s="2"/>
      <c r="Z303" s="19">
        <f t="shared" si="150"/>
        <v>0</v>
      </c>
    </row>
    <row r="304" spans="1:26" s="24" customFormat="1" hidden="1" outlineLevel="1" x14ac:dyDescent="0.25">
      <c r="A304" s="44"/>
      <c r="B304" s="11" t="str">
        <f>CONCATENATE("          ", "4197", " - ", "NON-TAXABLE SALES-RETURNED CHE")</f>
        <v xml:space="preserve">          4197 - NON-TAXABLE SALES-RETURNED CHE</v>
      </c>
      <c r="C304" s="11"/>
      <c r="D304" s="2">
        <f t="shared" ref="D304:D305" si="151">0</f>
        <v>0</v>
      </c>
      <c r="E304" s="2"/>
      <c r="F304" s="19">
        <f t="shared" si="143"/>
        <v>0</v>
      </c>
      <c r="G304" s="2"/>
      <c r="H304" s="2"/>
      <c r="I304" s="2"/>
      <c r="J304" s="19">
        <f t="shared" si="144"/>
        <v>0</v>
      </c>
      <c r="K304" s="2"/>
      <c r="L304" s="2">
        <f t="shared" si="145"/>
        <v>0</v>
      </c>
      <c r="M304" s="2"/>
      <c r="N304" s="19">
        <f t="shared" si="146"/>
        <v>0</v>
      </c>
      <c r="O304" s="11"/>
      <c r="P304" s="2">
        <f>--30</f>
        <v>30</v>
      </c>
      <c r="Q304" s="2"/>
      <c r="R304" s="19">
        <f t="shared" si="147"/>
        <v>2.2292563152186027E-6</v>
      </c>
      <c r="S304" s="2"/>
      <c r="T304" s="2"/>
      <c r="U304" s="2"/>
      <c r="V304" s="19">
        <f t="shared" si="148"/>
        <v>0</v>
      </c>
      <c r="W304" s="2"/>
      <c r="X304" s="2">
        <f t="shared" si="149"/>
        <v>30</v>
      </c>
      <c r="Y304" s="2"/>
      <c r="Z304" s="19">
        <f t="shared" si="150"/>
        <v>0</v>
      </c>
    </row>
    <row r="305" spans="1:26" s="24" customFormat="1" hidden="1" outlineLevel="1" x14ac:dyDescent="0.25">
      <c r="A305" s="44"/>
      <c r="B305" s="11" t="str">
        <f>CONCATENATE("          ", "4198", " - ", "NON-TAXABLE SALES-GRAD RENTALS")</f>
        <v xml:space="preserve">          4198 - NON-TAXABLE SALES-GRAD RENTALS</v>
      </c>
      <c r="C305" s="11"/>
      <c r="D305" s="2">
        <f t="shared" si="151"/>
        <v>0</v>
      </c>
      <c r="E305" s="2"/>
      <c r="F305" s="19">
        <f t="shared" si="143"/>
        <v>0</v>
      </c>
      <c r="G305" s="2"/>
      <c r="H305" s="2"/>
      <c r="I305" s="2"/>
      <c r="J305" s="19">
        <f t="shared" si="144"/>
        <v>0</v>
      </c>
      <c r="K305" s="2"/>
      <c r="L305" s="2">
        <f t="shared" si="145"/>
        <v>0</v>
      </c>
      <c r="M305" s="2"/>
      <c r="N305" s="19">
        <f t="shared" si="146"/>
        <v>0</v>
      </c>
      <c r="O305" s="11"/>
      <c r="P305" s="2">
        <f>--495</f>
        <v>495</v>
      </c>
      <c r="Q305" s="2"/>
      <c r="R305" s="19">
        <f t="shared" si="147"/>
        <v>3.6782729201106949E-5</v>
      </c>
      <c r="S305" s="2"/>
      <c r="T305" s="2"/>
      <c r="U305" s="2"/>
      <c r="V305" s="19">
        <f t="shared" si="148"/>
        <v>0</v>
      </c>
      <c r="W305" s="2"/>
      <c r="X305" s="2">
        <f t="shared" si="149"/>
        <v>495</v>
      </c>
      <c r="Y305" s="2"/>
      <c r="Z305" s="19">
        <f t="shared" si="150"/>
        <v>0</v>
      </c>
    </row>
    <row r="306" spans="1:26" s="24" customFormat="1" hidden="1" outlineLevel="1" x14ac:dyDescent="0.25">
      <c r="A306" s="44"/>
      <c r="B306" s="11" t="str">
        <f>CONCATENATE("          ", "4387", " - ", "SALES RETURN NON TAXABLE-COMPU")</f>
        <v xml:space="preserve">          4387 - SALES RETURN NON TAXABLE-COMPU</v>
      </c>
      <c r="C306" s="11"/>
      <c r="D306" s="2">
        <f>-350.05</f>
        <v>-350.05</v>
      </c>
      <c r="E306" s="2"/>
      <c r="F306" s="19">
        <f t="shared" si="143"/>
        <v>-9.4012820958508484E-5</v>
      </c>
      <c r="G306" s="2"/>
      <c r="H306" s="2"/>
      <c r="I306" s="2"/>
      <c r="J306" s="19">
        <f t="shared" si="144"/>
        <v>0</v>
      </c>
      <c r="K306" s="2"/>
      <c r="L306" s="2">
        <f t="shared" si="145"/>
        <v>-350.05</v>
      </c>
      <c r="M306" s="2"/>
      <c r="N306" s="19">
        <f t="shared" si="146"/>
        <v>0</v>
      </c>
      <c r="O306" s="11"/>
      <c r="P306" s="2">
        <f>-6790.75</f>
        <v>-6790.75</v>
      </c>
      <c r="Q306" s="2"/>
      <c r="R306" s="19">
        <f t="shared" si="147"/>
        <v>-5.0461074408569091E-4</v>
      </c>
      <c r="S306" s="2"/>
      <c r="T306" s="2"/>
      <c r="U306" s="2"/>
      <c r="V306" s="19">
        <f t="shared" si="148"/>
        <v>0</v>
      </c>
      <c r="W306" s="2"/>
      <c r="X306" s="2">
        <f t="shared" si="149"/>
        <v>-6790.75</v>
      </c>
      <c r="Y306" s="2"/>
      <c r="Z306" s="19">
        <f t="shared" si="150"/>
        <v>0</v>
      </c>
    </row>
    <row r="307" spans="1:26" s="24" customFormat="1" hidden="1" outlineLevel="1" x14ac:dyDescent="0.25">
      <c r="A307" s="44"/>
      <c r="B307" s="11" t="str">
        <f>CONCATENATE("          ", "9150", " - ", "MISC. INCOME")</f>
        <v xml:space="preserve">          9150 - MISC. INCOME</v>
      </c>
      <c r="C307" s="11"/>
      <c r="D307" s="2">
        <f>--123314.63</f>
        <v>123314.63</v>
      </c>
      <c r="E307" s="2"/>
      <c r="F307" s="19">
        <f t="shared" si="143"/>
        <v>3.3118572294685671E-2</v>
      </c>
      <c r="G307" s="2"/>
      <c r="H307" s="2">
        <v>74575</v>
      </c>
      <c r="I307" s="2"/>
      <c r="J307" s="19">
        <f t="shared" si="144"/>
        <v>1.9379831823383646E-2</v>
      </c>
      <c r="K307" s="2"/>
      <c r="L307" s="2">
        <f t="shared" si="145"/>
        <v>48739.630000000005</v>
      </c>
      <c r="M307" s="2"/>
      <c r="N307" s="19">
        <f t="shared" si="146"/>
        <v>0.65356526986255459</v>
      </c>
      <c r="O307" s="11"/>
      <c r="P307" s="2">
        <f>--335491.4</f>
        <v>335491.40000000002</v>
      </c>
      <c r="Q307" s="2"/>
      <c r="R307" s="19">
        <f t="shared" si="147"/>
        <v>2.4929877405051013E-2</v>
      </c>
      <c r="S307" s="2"/>
      <c r="T307" s="2">
        <v>230194</v>
      </c>
      <c r="U307" s="2"/>
      <c r="V307" s="19">
        <f t="shared" si="148"/>
        <v>1.6414758466502009E-2</v>
      </c>
      <c r="W307" s="2"/>
      <c r="X307" s="2">
        <f t="shared" si="149"/>
        <v>105297.40000000002</v>
      </c>
      <c r="Y307" s="2"/>
      <c r="Z307" s="19">
        <f t="shared" si="150"/>
        <v>0.45742895123243882</v>
      </c>
    </row>
    <row r="308" spans="1:26" s="24" customFormat="1" hidden="1" outlineLevel="1" x14ac:dyDescent="0.25">
      <c r="A308" s="44"/>
      <c r="B308" s="11" t="str">
        <f>CONCATENATE("          ", "9151", " - ", "MISC. INCOME")</f>
        <v xml:space="preserve">          9151 - MISC. INCOME</v>
      </c>
      <c r="C308" s="11"/>
      <c r="D308" s="2">
        <f>--4030.76</f>
        <v>4030.76</v>
      </c>
      <c r="E308" s="2"/>
      <c r="F308" s="19">
        <f t="shared" si="143"/>
        <v>1.0825399748799248E-3</v>
      </c>
      <c r="G308" s="2"/>
      <c r="H308" s="2">
        <v>30769</v>
      </c>
      <c r="I308" s="2"/>
      <c r="J308" s="19">
        <f t="shared" si="144"/>
        <v>7.9959509939482587E-3</v>
      </c>
      <c r="K308" s="2"/>
      <c r="L308" s="2">
        <f t="shared" si="145"/>
        <v>-26738.239999999998</v>
      </c>
      <c r="M308" s="2"/>
      <c r="N308" s="19">
        <f t="shared" si="146"/>
        <v>-0.86899931749488113</v>
      </c>
      <c r="O308" s="11"/>
      <c r="P308" s="2">
        <f>--87224.27</f>
        <v>87224.27</v>
      </c>
      <c r="Q308" s="2"/>
      <c r="R308" s="19">
        <f t="shared" si="147"/>
        <v>6.4815084912610843E-3</v>
      </c>
      <c r="S308" s="2"/>
      <c r="T308" s="2">
        <v>275267</v>
      </c>
      <c r="U308" s="2"/>
      <c r="V308" s="19">
        <f t="shared" si="148"/>
        <v>1.9628840537974961E-2</v>
      </c>
      <c r="W308" s="2"/>
      <c r="X308" s="2">
        <f t="shared" si="149"/>
        <v>-188042.72999999998</v>
      </c>
      <c r="Y308" s="2"/>
      <c r="Z308" s="19">
        <f t="shared" si="150"/>
        <v>-0.68312848979354579</v>
      </c>
    </row>
    <row r="309" spans="1:26" s="24" customFormat="1" hidden="1" outlineLevel="1" x14ac:dyDescent="0.25">
      <c r="A309" s="44"/>
      <c r="B309" s="11" t="str">
        <f>CONCATENATE("          ", "9152", " - ", "MISC. INCOME")</f>
        <v xml:space="preserve">          9152 - MISC. INCOME</v>
      </c>
      <c r="C309" s="11"/>
      <c r="D309" s="2">
        <f>--53.08</f>
        <v>53.08</v>
      </c>
      <c r="E309" s="2"/>
      <c r="F309" s="19">
        <f t="shared" si="143"/>
        <v>1.4255679292894243E-5</v>
      </c>
      <c r="G309" s="2"/>
      <c r="H309" s="2"/>
      <c r="I309" s="2"/>
      <c r="J309" s="19">
        <f t="shared" si="144"/>
        <v>0</v>
      </c>
      <c r="K309" s="2"/>
      <c r="L309" s="2">
        <f t="shared" si="145"/>
        <v>53.08</v>
      </c>
      <c r="M309" s="2"/>
      <c r="N309" s="19">
        <f t="shared" si="146"/>
        <v>0</v>
      </c>
      <c r="O309" s="11"/>
      <c r="P309" s="2">
        <f>--694.1</f>
        <v>694.1</v>
      </c>
      <c r="Q309" s="2"/>
      <c r="R309" s="19">
        <f t="shared" si="147"/>
        <v>5.1577560279774409E-5</v>
      </c>
      <c r="S309" s="2"/>
      <c r="T309" s="2"/>
      <c r="U309" s="2"/>
      <c r="V309" s="19">
        <f t="shared" si="148"/>
        <v>0</v>
      </c>
      <c r="W309" s="2"/>
      <c r="X309" s="2">
        <f t="shared" si="149"/>
        <v>694.1</v>
      </c>
      <c r="Y309" s="2"/>
      <c r="Z309" s="19">
        <f t="shared" si="150"/>
        <v>0</v>
      </c>
    </row>
    <row r="310" spans="1:26" s="24" customFormat="1" hidden="1" outlineLevel="1" x14ac:dyDescent="0.25">
      <c r="A310" s="44"/>
      <c r="B310" s="11" t="str">
        <f>CONCATENATE("          ", "9160", " - ", "MISC. INCOME")</f>
        <v xml:space="preserve">          9160 - MISC. INCOME</v>
      </c>
      <c r="C310" s="11"/>
      <c r="D310" s="2">
        <f>--65384.61</f>
        <v>65384.61</v>
      </c>
      <c r="E310" s="2"/>
      <c r="F310" s="19">
        <f t="shared" si="143"/>
        <v>1.7560324620402523E-2</v>
      </c>
      <c r="G310" s="2"/>
      <c r="H310" s="2">
        <v>18100</v>
      </c>
      <c r="I310" s="2"/>
      <c r="J310" s="19">
        <f t="shared" si="144"/>
        <v>4.7036534495909351E-3</v>
      </c>
      <c r="K310" s="2"/>
      <c r="L310" s="2">
        <f t="shared" si="145"/>
        <v>47284.61</v>
      </c>
      <c r="M310" s="2"/>
      <c r="N310" s="19">
        <f t="shared" si="146"/>
        <v>2.6124093922651932</v>
      </c>
      <c r="O310" s="11"/>
      <c r="P310" s="2">
        <f>--117527.88</f>
        <v>117527.88</v>
      </c>
      <c r="Q310" s="2"/>
      <c r="R310" s="19">
        <f t="shared" si="147"/>
        <v>8.733325623475138E-3</v>
      </c>
      <c r="S310" s="2"/>
      <c r="T310" s="2">
        <v>149800</v>
      </c>
      <c r="U310" s="2"/>
      <c r="V310" s="19">
        <f t="shared" si="148"/>
        <v>1.0681993528423856E-2</v>
      </c>
      <c r="W310" s="2"/>
      <c r="X310" s="2">
        <f t="shared" si="149"/>
        <v>-32272.119999999995</v>
      </c>
      <c r="Y310" s="2"/>
      <c r="Z310" s="19">
        <f t="shared" si="150"/>
        <v>-0.21543471295060077</v>
      </c>
    </row>
    <row r="311" spans="1:26" s="24" customFormat="1" hidden="1" outlineLevel="1" x14ac:dyDescent="0.25">
      <c r="A311" s="44"/>
      <c r="B311" s="11" t="str">
        <f>CONCATENATE("          ", "9163", " - ", "MISC. INCOME")</f>
        <v xml:space="preserve">          9163 - MISC. INCOME</v>
      </c>
      <c r="C311" s="11"/>
      <c r="D311" s="2">
        <f>--61106.55</f>
        <v>61106.55</v>
      </c>
      <c r="E311" s="2"/>
      <c r="F311" s="19">
        <f t="shared" si="143"/>
        <v>1.6411367360497489E-2</v>
      </c>
      <c r="G311" s="2"/>
      <c r="H311" s="2"/>
      <c r="I311" s="2"/>
      <c r="J311" s="19">
        <f t="shared" si="144"/>
        <v>0</v>
      </c>
      <c r="K311" s="2"/>
      <c r="L311" s="2">
        <f t="shared" si="145"/>
        <v>61106.55</v>
      </c>
      <c r="M311" s="2"/>
      <c r="N311" s="19">
        <f t="shared" si="146"/>
        <v>0</v>
      </c>
      <c r="O311" s="11"/>
      <c r="P311" s="2">
        <f>--61106.55</f>
        <v>61106.55</v>
      </c>
      <c r="Q311" s="2"/>
      <c r="R311" s="19">
        <f t="shared" si="147"/>
        <v>4.5407387496240442E-3</v>
      </c>
      <c r="S311" s="2"/>
      <c r="T311" s="2"/>
      <c r="U311" s="2"/>
      <c r="V311" s="19">
        <f t="shared" si="148"/>
        <v>0</v>
      </c>
      <c r="W311" s="2"/>
      <c r="X311" s="2">
        <f t="shared" si="149"/>
        <v>61106.55</v>
      </c>
      <c r="Y311" s="2"/>
      <c r="Z311" s="19">
        <f t="shared" si="150"/>
        <v>0</v>
      </c>
    </row>
    <row r="312" spans="1:26" s="24" customFormat="1" hidden="1" outlineLevel="1" x14ac:dyDescent="0.25">
      <c r="A312" s="44"/>
      <c r="B312" s="11" t="str">
        <f>CONCATENATE("          ", "9165", " - ", "OTHER INCOME")</f>
        <v xml:space="preserve">          9165 - OTHER INCOME</v>
      </c>
      <c r="C312" s="11"/>
      <c r="D312" s="2">
        <f>--7709.29</f>
        <v>7709.29</v>
      </c>
      <c r="E312" s="2"/>
      <c r="F312" s="19">
        <f t="shared" si="143"/>
        <v>2.0704816468710753E-3</v>
      </c>
      <c r="G312" s="2"/>
      <c r="H312" s="2"/>
      <c r="I312" s="2"/>
      <c r="J312" s="19">
        <f t="shared" si="144"/>
        <v>0</v>
      </c>
      <c r="K312" s="2"/>
      <c r="L312" s="2">
        <f t="shared" si="145"/>
        <v>7709.29</v>
      </c>
      <c r="M312" s="2"/>
      <c r="N312" s="19">
        <f t="shared" si="146"/>
        <v>0</v>
      </c>
      <c r="O312" s="11"/>
      <c r="P312" s="2">
        <f>--212870.07</f>
        <v>212870.07</v>
      </c>
      <c r="Q312" s="2"/>
      <c r="R312" s="19">
        <f t="shared" si="147"/>
        <v>1.5818064928950867E-2</v>
      </c>
      <c r="S312" s="2"/>
      <c r="T312" s="2"/>
      <c r="U312" s="2"/>
      <c r="V312" s="19">
        <f t="shared" si="148"/>
        <v>0</v>
      </c>
      <c r="W312" s="2"/>
      <c r="X312" s="2">
        <f t="shared" si="149"/>
        <v>212870.07</v>
      </c>
      <c r="Y312" s="2"/>
      <c r="Z312" s="19">
        <f t="shared" si="150"/>
        <v>0</v>
      </c>
    </row>
    <row r="313" spans="1:26" x14ac:dyDescent="0.25">
      <c r="A313" s="9"/>
      <c r="B313" s="10"/>
      <c r="C313" s="10"/>
      <c r="D313" s="3"/>
      <c r="E313" s="3"/>
      <c r="F313" s="8"/>
      <c r="G313" s="3"/>
      <c r="H313" s="3"/>
      <c r="I313" s="3"/>
      <c r="J313" s="8"/>
      <c r="K313" s="3"/>
      <c r="L313" s="3"/>
      <c r="M313" s="3"/>
      <c r="N313" s="8"/>
      <c r="O313" s="10"/>
      <c r="P313" s="3"/>
      <c r="Q313" s="3"/>
      <c r="R313" s="8"/>
      <c r="S313" s="3"/>
      <c r="T313" s="3"/>
      <c r="U313" s="3"/>
      <c r="V313" s="8"/>
      <c r="W313" s="3"/>
      <c r="X313" s="3"/>
      <c r="Y313" s="3"/>
      <c r="Z313" s="8"/>
    </row>
    <row r="314" spans="1:26" s="23" customFormat="1" x14ac:dyDescent="0.25">
      <c r="A314" s="10"/>
      <c r="B314" s="28" t="s">
        <v>3</v>
      </c>
      <c r="C314" s="28"/>
      <c r="D314" s="22">
        <f>+D192-D194+D301</f>
        <v>885358.03999999864</v>
      </c>
      <c r="E314" s="14"/>
      <c r="F314" s="20">
        <f>IF(D$12=0,0,D314/D$12)</f>
        <v>0.2377803368053017</v>
      </c>
      <c r="G314" s="14"/>
      <c r="H314" s="22">
        <f>+H192-H194+H301</f>
        <v>900186.68371886411</v>
      </c>
      <c r="I314" s="14"/>
      <c r="J314" s="20">
        <f>IF(H$12=0,0,H314/H$12)</f>
        <v>0.23393183426243422</v>
      </c>
      <c r="K314" s="16"/>
      <c r="L314" s="22">
        <f>+D314-H314</f>
        <v>-14828.643718865467</v>
      </c>
      <c r="M314" s="16"/>
      <c r="N314" s="20">
        <f>IF(H314=0,0,L314/H314)</f>
        <v>-1.6472853894711221E-2</v>
      </c>
      <c r="O314" s="29"/>
      <c r="P314" s="22">
        <f>+P192-P194+P301</f>
        <v>1886971.7199999965</v>
      </c>
      <c r="Q314" s="14"/>
      <c r="R314" s="20">
        <f>IF(P$12=0,0,P314/P$12)</f>
        <v>0.14021812078163004</v>
      </c>
      <c r="S314" s="14"/>
      <c r="T314" s="22">
        <f>+T192-T194+T301</f>
        <v>2186088.2265836168</v>
      </c>
      <c r="U314" s="14"/>
      <c r="V314" s="20">
        <f>IF(T$12=0,0,T314/T$12)</f>
        <v>0.15588638377122682</v>
      </c>
      <c r="W314" s="16"/>
      <c r="X314" s="22">
        <f>+P314-T314</f>
        <v>-299116.50658362033</v>
      </c>
      <c r="Y314" s="16"/>
      <c r="Z314" s="20">
        <f>IF(T314=0,0,X314/T314)</f>
        <v>-0.13682728032027999</v>
      </c>
    </row>
    <row r="315" spans="1:26" x14ac:dyDescent="0.25">
      <c r="A315" s="9"/>
      <c r="B315" s="10"/>
      <c r="C315" s="9"/>
      <c r="D315" s="3"/>
      <c r="E315" s="3"/>
      <c r="F315" s="8"/>
      <c r="G315" s="3"/>
      <c r="H315" s="3"/>
      <c r="I315" s="3"/>
      <c r="J315" s="8"/>
      <c r="K315" s="3"/>
      <c r="L315" s="3"/>
      <c r="M315" s="3"/>
      <c r="N315" s="8"/>
      <c r="P315" s="3"/>
      <c r="Q315" s="3"/>
      <c r="R315" s="8"/>
      <c r="S315" s="3"/>
      <c r="T315" s="3"/>
      <c r="U315" s="3"/>
      <c r="V315" s="8"/>
      <c r="W315" s="3"/>
      <c r="X315" s="3"/>
      <c r="Y315" s="3"/>
      <c r="Z315" s="8"/>
    </row>
    <row r="316" spans="1:26" s="23" customFormat="1" x14ac:dyDescent="0.25">
      <c r="A316" s="52"/>
      <c r="B316" s="10" t="s">
        <v>14</v>
      </c>
      <c r="C316" s="10"/>
      <c r="D316" s="4">
        <v>309098.70999999996</v>
      </c>
      <c r="E316" s="4"/>
      <c r="F316" s="12">
        <f>IF(D$12=0,0,D316/D$12)</f>
        <v>8.3014545584162061E-2</v>
      </c>
      <c r="G316" s="4"/>
      <c r="H316" s="4">
        <v>401721</v>
      </c>
      <c r="I316" s="4"/>
      <c r="J316" s="12">
        <f>IF(H$12=0,0,H316/H$12)</f>
        <v>0.10439537941564199</v>
      </c>
      <c r="K316" s="4"/>
      <c r="L316" s="4">
        <f>+D316-H316</f>
        <v>-92622.290000000037</v>
      </c>
      <c r="M316" s="4"/>
      <c r="N316" s="12">
        <f>IF(H316=0,0,L316/H316)</f>
        <v>-0.23056372457501609</v>
      </c>
      <c r="O316" s="10"/>
      <c r="P316" s="4">
        <v>1354656.51</v>
      </c>
      <c r="Q316" s="4"/>
      <c r="R316" s="12">
        <f>IF(P$12=0,0,P316/P$12)</f>
        <v>0.10066255266231641</v>
      </c>
      <c r="S316" s="4"/>
      <c r="T316" s="4">
        <v>1688771</v>
      </c>
      <c r="U316" s="4"/>
      <c r="V316" s="12">
        <f>IF(T$12=0,0,T316/T$12)</f>
        <v>0.12042350395854394</v>
      </c>
      <c r="W316" s="4"/>
      <c r="X316" s="4">
        <f>+P316-T316</f>
        <v>-334114.49</v>
      </c>
      <c r="Y316" s="4"/>
      <c r="Z316" s="12">
        <f>IF(T316=0,0,X316/T316)</f>
        <v>-0.19784475811107605</v>
      </c>
    </row>
    <row r="317" spans="1:26" x14ac:dyDescent="0.25">
      <c r="A317" s="9"/>
      <c r="B317" s="10"/>
      <c r="C317" s="10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O317" s="10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ht="15.75" thickBot="1" x14ac:dyDescent="0.3">
      <c r="A318" s="10"/>
      <c r="B318" s="28" t="s">
        <v>4</v>
      </c>
      <c r="C318" s="28"/>
      <c r="D318" s="31">
        <f>+D314-D316</f>
        <v>576259.32999999868</v>
      </c>
      <c r="E318" s="14"/>
      <c r="F318" s="33">
        <f>IF(D$12=0,0,D318/D$12)</f>
        <v>0.15476579122113965</v>
      </c>
      <c r="G318" s="14"/>
      <c r="H318" s="31">
        <f>+H314-H316</f>
        <v>498465.68371886411</v>
      </c>
      <c r="I318" s="14"/>
      <c r="J318" s="33">
        <f>IF(H$12=0,0,H318/H$12)</f>
        <v>0.12953645484679222</v>
      </c>
      <c r="K318" s="16"/>
      <c r="L318" s="31">
        <f>D318-H318</f>
        <v>77793.64628113457</v>
      </c>
      <c r="M318" s="16"/>
      <c r="N318" s="33">
        <f>IF(H318=0,0,L318/H318)</f>
        <v>0.15606620239280178</v>
      </c>
      <c r="O318" s="29"/>
      <c r="P318" s="31">
        <f>+P314-P316</f>
        <v>532315.20999999647</v>
      </c>
      <c r="Q318" s="14"/>
      <c r="R318" s="33">
        <f>IF(P$12=0,0,P318/P$12)</f>
        <v>3.9555568119313628E-2</v>
      </c>
      <c r="S318" s="14"/>
      <c r="T318" s="31">
        <f>+T314-T316</f>
        <v>497317.22658361681</v>
      </c>
      <c r="U318" s="14"/>
      <c r="V318" s="33">
        <f>IF(T$12=0,0,T318/T$12)</f>
        <v>3.5462879812682875E-2</v>
      </c>
      <c r="W318" s="16"/>
      <c r="X318" s="31">
        <f>P318-T318</f>
        <v>34997.983416379662</v>
      </c>
      <c r="Y318" s="16"/>
      <c r="Z318" s="33">
        <f>IF(T318=0,0,X318/T318)</f>
        <v>7.0373559461840304E-2</v>
      </c>
    </row>
    <row r="319" spans="1:26" ht="15.75" thickTop="1" x14ac:dyDescent="0.25">
      <c r="A319" s="9"/>
      <c r="B319" s="9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x14ac:dyDescent="0.25">
      <c r="A320" s="52"/>
      <c r="B320" s="10" t="s">
        <v>2</v>
      </c>
      <c r="C320" s="10"/>
      <c r="D320" s="4">
        <f>--215833.16</f>
        <v>215833.16</v>
      </c>
      <c r="E320" s="4"/>
      <c r="F320" s="12">
        <f t="shared" ref="F320:F321" si="152">IF(D$12=0,0,D320/D$12)</f>
        <v>5.7966245473472684E-2</v>
      </c>
      <c r="G320" s="4"/>
      <c r="H320" s="4">
        <f t="shared" ref="H320:H321" si="153">--25000</f>
        <v>25000</v>
      </c>
      <c r="I320" s="4"/>
      <c r="J320" s="12">
        <f t="shared" ref="J320:J321" si="154">IF(H$12=0,0,H320/H$12)</f>
        <v>6.4967589082747723E-3</v>
      </c>
      <c r="K320" s="4"/>
      <c r="L320" s="4">
        <f t="shared" ref="L320:L321" si="155">+D320-H320</f>
        <v>190833.16</v>
      </c>
      <c r="M320" s="4"/>
      <c r="N320" s="12">
        <f t="shared" ref="N320:N321" si="156">IF(H320=0,0,L320/H320)</f>
        <v>7.6333264000000005</v>
      </c>
      <c r="O320" s="10"/>
      <c r="P320" s="4">
        <f>--118303.25</f>
        <v>118303.25</v>
      </c>
      <c r="Q320" s="4"/>
      <c r="R320" s="12">
        <f t="shared" ref="R320:R321" si="157">IF(P$12=0,0,P320/P$12)</f>
        <v>8.7909422391128384E-3</v>
      </c>
      <c r="S320" s="4"/>
      <c r="T320" s="4">
        <f>--100000</f>
        <v>100000</v>
      </c>
      <c r="U320" s="4"/>
      <c r="V320" s="12">
        <f t="shared" ref="V320:V321" si="158">IF(T$12=0,0,T320/T$12)</f>
        <v>7.1308368013510382E-3</v>
      </c>
      <c r="W320" s="4"/>
      <c r="X320" s="4">
        <f t="shared" ref="X320:X321" si="159">+P320-T320</f>
        <v>18303.25</v>
      </c>
      <c r="Y320" s="4"/>
      <c r="Z320" s="12">
        <f t="shared" ref="Z320:Z321" si="160">IF(T320=0,0,X320/T320)</f>
        <v>0.18303249999999999</v>
      </c>
    </row>
    <row r="321" spans="1:26" s="23" customFormat="1" x14ac:dyDescent="0.25">
      <c r="A321" s="52"/>
      <c r="B321" s="10" t="s">
        <v>1</v>
      </c>
      <c r="C321" s="10"/>
      <c r="D321" s="4">
        <f>--13441.85</f>
        <v>13441.85</v>
      </c>
      <c r="E321" s="4"/>
      <c r="F321" s="12">
        <f t="shared" si="152"/>
        <v>3.6100735249282308E-3</v>
      </c>
      <c r="G321" s="4"/>
      <c r="H321" s="4">
        <f t="shared" si="153"/>
        <v>25000</v>
      </c>
      <c r="I321" s="4"/>
      <c r="J321" s="12">
        <f t="shared" si="154"/>
        <v>6.4967589082747723E-3</v>
      </c>
      <c r="K321" s="4"/>
      <c r="L321" s="4">
        <f t="shared" si="155"/>
        <v>-11558.15</v>
      </c>
      <c r="M321" s="4"/>
      <c r="N321" s="12">
        <f t="shared" si="156"/>
        <v>-0.46232599999999996</v>
      </c>
      <c r="O321" s="10"/>
      <c r="P321" s="4">
        <f>--65213.01</f>
        <v>65213.01</v>
      </c>
      <c r="Q321" s="4"/>
      <c r="R321" s="12">
        <f t="shared" si="157"/>
        <v>4.8458838125637971E-3</v>
      </c>
      <c r="S321" s="4"/>
      <c r="T321" s="4">
        <f>--95000</f>
        <v>95000</v>
      </c>
      <c r="U321" s="4"/>
      <c r="V321" s="12">
        <f t="shared" si="158"/>
        <v>6.7742949612834861E-3</v>
      </c>
      <c r="W321" s="4"/>
      <c r="X321" s="4">
        <f t="shared" si="159"/>
        <v>-29786.989999999998</v>
      </c>
      <c r="Y321" s="4"/>
      <c r="Z321" s="12">
        <f t="shared" si="160"/>
        <v>-0.31354726315789472</v>
      </c>
    </row>
    <row r="322" spans="1:26" x14ac:dyDescent="0.25">
      <c r="A322" s="9"/>
      <c r="B322" s="9"/>
      <c r="C322" s="9"/>
      <c r="D322" s="3"/>
      <c r="E322" s="3"/>
      <c r="F322" s="8"/>
      <c r="G322" s="3"/>
      <c r="H322" s="3"/>
      <c r="I322" s="3"/>
      <c r="J322" s="8"/>
      <c r="K322" s="3"/>
      <c r="L322" s="3"/>
      <c r="M322" s="3"/>
      <c r="N322" s="8"/>
      <c r="P322" s="3"/>
      <c r="Q322" s="3"/>
      <c r="R322" s="8"/>
      <c r="S322" s="3"/>
      <c r="T322" s="3"/>
      <c r="U322" s="3"/>
      <c r="V322" s="8"/>
      <c r="W322" s="3"/>
      <c r="X322" s="3"/>
      <c r="Y322" s="3"/>
      <c r="Z322" s="8"/>
    </row>
    <row r="323" spans="1:26" s="23" customFormat="1" ht="15.75" thickBot="1" x14ac:dyDescent="0.3">
      <c r="A323" s="10"/>
      <c r="B323" s="28" t="s">
        <v>5</v>
      </c>
      <c r="C323" s="28"/>
      <c r="D323" s="32">
        <f>SUM(D318:D322)</f>
        <v>805534.33999999869</v>
      </c>
      <c r="E323" s="14"/>
      <c r="F323" s="34">
        <f>IF(D$12=0,0,D323/D$12)</f>
        <v>0.21634211021954056</v>
      </c>
      <c r="G323" s="14"/>
      <c r="H323" s="32">
        <f>SUM(H318:H322)</f>
        <v>548465.68371886411</v>
      </c>
      <c r="I323" s="14"/>
      <c r="J323" s="34">
        <f>IF(H$12=0,0,H323/H$12)</f>
        <v>0.14252997266334178</v>
      </c>
      <c r="K323" s="16"/>
      <c r="L323" s="32">
        <f>+D323-H323</f>
        <v>257068.65628113458</v>
      </c>
      <c r="M323" s="16"/>
      <c r="N323" s="34">
        <f>IF(H323=0,0,L323/H323)</f>
        <v>0.46870508750535506</v>
      </c>
      <c r="O323" s="29"/>
      <c r="P323" s="32">
        <f>SUM(P318:P322)</f>
        <v>715831.46999999648</v>
      </c>
      <c r="Q323" s="14"/>
      <c r="R323" s="34">
        <f>IF(P$12=0,0,P323/P$12)</f>
        <v>5.3192394170990268E-2</v>
      </c>
      <c r="S323" s="14"/>
      <c r="T323" s="32">
        <f>SUM(T318:T322)</f>
        <v>692317.22658361681</v>
      </c>
      <c r="U323" s="14"/>
      <c r="V323" s="34">
        <f>IF(T$12=0,0,T323/T$12)</f>
        <v>4.9368011575317401E-2</v>
      </c>
      <c r="W323" s="16"/>
      <c r="X323" s="32">
        <f>+P323-T323</f>
        <v>23514.243416379672</v>
      </c>
      <c r="Y323" s="16"/>
      <c r="Z323" s="34">
        <f>IF(T323=0,0,X323/T323)</f>
        <v>3.396455051742045E-2</v>
      </c>
    </row>
    <row r="324" spans="1:26" ht="15.75" thickTop="1" x14ac:dyDescent="0.25">
      <c r="A324" s="9"/>
      <c r="C324" s="9"/>
      <c r="D324" s="17"/>
      <c r="E324" s="17"/>
      <c r="G324" s="17"/>
      <c r="H324" s="17"/>
      <c r="I324" s="17"/>
      <c r="J324" s="43"/>
      <c r="K324" s="17"/>
      <c r="L324" s="17"/>
      <c r="M324" s="17"/>
      <c r="P324" s="17"/>
      <c r="Q324" s="17"/>
      <c r="R324" s="43"/>
      <c r="S324" s="17"/>
      <c r="T324" s="17"/>
      <c r="U324" s="17"/>
      <c r="V324" s="43"/>
      <c r="W324" s="17"/>
      <c r="X324" s="17"/>
    </row>
    <row r="325" spans="1:26" x14ac:dyDescent="0.25">
      <c r="A325" s="9"/>
      <c r="B325" s="60">
        <v>43791.347560532406</v>
      </c>
      <c r="D325" s="17"/>
      <c r="E325" s="17"/>
      <c r="G325" s="17"/>
      <c r="H325" s="17"/>
      <c r="I325" s="17"/>
      <c r="J325" s="43"/>
      <c r="K325" s="17"/>
      <c r="L325" s="17"/>
      <c r="M325" s="17"/>
      <c r="P325" s="17"/>
      <c r="Q325" s="17"/>
      <c r="R325" s="43"/>
      <c r="S325" s="17"/>
      <c r="T325" s="17"/>
      <c r="U325" s="17"/>
      <c r="V325" s="43"/>
      <c r="W325" s="17"/>
      <c r="X325" s="17"/>
    </row>
    <row r="326" spans="1:26" x14ac:dyDescent="0.25">
      <c r="A326" s="9"/>
      <c r="B326" s="54" t="s">
        <v>314</v>
      </c>
      <c r="D326" s="17"/>
      <c r="E326" s="17"/>
      <c r="G326" s="17"/>
      <c r="H326" s="17"/>
      <c r="I326" s="17"/>
      <c r="J326" s="43"/>
      <c r="K326" s="17"/>
      <c r="L326" s="17"/>
      <c r="M326" s="17"/>
      <c r="P326" s="17"/>
      <c r="Q326" s="17"/>
      <c r="R326" s="43"/>
      <c r="S326" s="17"/>
      <c r="T326" s="17"/>
      <c r="U326" s="17"/>
      <c r="V326" s="43"/>
      <c r="W326" s="17"/>
      <c r="X326" s="17"/>
    </row>
    <row r="327" spans="1:26" x14ac:dyDescent="0.25">
      <c r="A327" s="9"/>
      <c r="B327" s="55"/>
      <c r="D327" s="17"/>
      <c r="E327" s="17"/>
      <c r="G327" s="17"/>
      <c r="H327" s="17"/>
      <c r="I327" s="17"/>
      <c r="J327" s="43"/>
      <c r="K327" s="17"/>
      <c r="L327" s="17"/>
      <c r="M327" s="17"/>
      <c r="P327" s="17"/>
      <c r="Q327" s="17"/>
      <c r="R327" s="43"/>
      <c r="S327" s="17"/>
      <c r="T327" s="17"/>
      <c r="U327" s="17"/>
      <c r="V327" s="43"/>
      <c r="W327" s="17"/>
      <c r="X327" s="17"/>
    </row>
    <row r="328" spans="1:26" x14ac:dyDescent="0.25">
      <c r="D328" s="17"/>
      <c r="E328" s="17"/>
      <c r="G328" s="17"/>
      <c r="H328" s="17"/>
      <c r="I328" s="17"/>
      <c r="J328" s="43"/>
      <c r="K328" s="17"/>
      <c r="L328" s="17"/>
      <c r="M328" s="17"/>
      <c r="P328" s="17"/>
      <c r="Q328" s="17"/>
      <c r="R328" s="43"/>
      <c r="S328" s="17"/>
      <c r="T328" s="17"/>
      <c r="U328" s="17"/>
      <c r="V328" s="43"/>
      <c r="W328" s="17"/>
      <c r="X328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1"/>
  <sheetViews>
    <sheetView zoomScale="80" workbookViewId="0">
      <pane xSplit="3" ySplit="10" topLeftCell="D4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309098.71000000008</v>
      </c>
      <c r="E18" s="21"/>
      <c r="F18" s="35">
        <f t="shared" ref="F18:F30" si="0">IF(D$12=0,0,D18/D$12)</f>
        <v>0</v>
      </c>
      <c r="G18" s="21"/>
      <c r="H18" s="21">
        <f>SUM(OSRRefH22x_0)</f>
        <v>401721.82694477576</v>
      </c>
      <c r="I18" s="21"/>
      <c r="J18" s="35">
        <f t="shared" ref="J18:J30" si="1">IF(H$12=0,0,H18/H$12)</f>
        <v>0</v>
      </c>
      <c r="K18" s="4"/>
      <c r="L18" s="21">
        <f t="shared" ref="L18:L30" si="2">+D18-H18</f>
        <v>-92623.116944775684</v>
      </c>
      <c r="M18" s="4"/>
      <c r="N18" s="35">
        <f t="shared" ref="N18:N30" si="3">IF(H18=0,0,L18/H18)</f>
        <v>-0.23056530846034531</v>
      </c>
      <c r="O18" s="10"/>
      <c r="P18" s="21">
        <f>SUM(OSRRefP22x_0)</f>
        <v>1354656.5099999995</v>
      </c>
      <c r="Q18" s="21"/>
      <c r="R18" s="35">
        <f t="shared" ref="R18:R30" si="4">IF(P$12=0,0,P18/P$12)</f>
        <v>0</v>
      </c>
      <c r="S18" s="21"/>
      <c r="T18" s="21">
        <f>SUM(OSRRefT22x_0)</f>
        <v>1688773.1779173003</v>
      </c>
      <c r="U18" s="21"/>
      <c r="V18" s="35">
        <f t="shared" ref="V18:V30" si="5">IF(T$12=0,0,T18/T$12)</f>
        <v>0</v>
      </c>
      <c r="W18" s="4"/>
      <c r="X18" s="21">
        <f t="shared" ref="X18:X30" si="6">+P18-T18</f>
        <v>-334116.66791730071</v>
      </c>
      <c r="Y18" s="4"/>
      <c r="Z18" s="35">
        <f t="shared" ref="Z18:Z30" si="7">IF(T18=0,0,X18/T18)</f>
        <v>-0.19784579260629548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105845.59</v>
      </c>
      <c r="E19" s="1"/>
      <c r="F19" s="5">
        <f t="shared" si="0"/>
        <v>0</v>
      </c>
      <c r="G19" s="1"/>
      <c r="H19" s="1">
        <f>SUM(OSRRefH22_0x_0)</f>
        <v>107598.84649862196</v>
      </c>
      <c r="I19" s="1"/>
      <c r="J19" s="5">
        <f t="shared" si="1"/>
        <v>0</v>
      </c>
      <c r="K19" s="1"/>
      <c r="L19" s="1">
        <f t="shared" si="2"/>
        <v>-1753.2564986219659</v>
      </c>
      <c r="M19" s="1"/>
      <c r="N19" s="5">
        <f t="shared" si="3"/>
        <v>-1.629438005773064E-2</v>
      </c>
      <c r="O19" s="13"/>
      <c r="P19" s="1">
        <f>SUM(OSRRefP22_0x_0)</f>
        <v>393129</v>
      </c>
      <c r="Q19" s="1"/>
      <c r="R19" s="5">
        <f t="shared" si="4"/>
        <v>0</v>
      </c>
      <c r="S19" s="1"/>
      <c r="T19" s="1">
        <f>SUM(OSRRefT22_0x_0)</f>
        <v>412253.49171114666</v>
      </c>
      <c r="U19" s="1"/>
      <c r="V19" s="5">
        <f t="shared" si="5"/>
        <v>0</v>
      </c>
      <c r="W19" s="1"/>
      <c r="X19" s="1">
        <f t="shared" si="6"/>
        <v>-19124.491711146664</v>
      </c>
      <c r="Y19" s="1"/>
      <c r="Z19" s="5">
        <f t="shared" si="7"/>
        <v>-4.6390126695510459E-2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18234.75</v>
      </c>
      <c r="E20" s="2"/>
      <c r="F20" s="7">
        <f t="shared" si="0"/>
        <v>0</v>
      </c>
      <c r="G20" s="2"/>
      <c r="H20" s="6">
        <v>12066.712008506549</v>
      </c>
      <c r="I20" s="2"/>
      <c r="J20" s="7">
        <f t="shared" si="1"/>
        <v>0</v>
      </c>
      <c r="K20" s="2"/>
      <c r="L20" s="6">
        <f t="shared" si="2"/>
        <v>6168.037991493451</v>
      </c>
      <c r="M20" s="2"/>
      <c r="N20" s="7">
        <f t="shared" si="3"/>
        <v>0.51116144871488034</v>
      </c>
      <c r="O20" s="11"/>
      <c r="P20" s="6">
        <v>45125.66</v>
      </c>
      <c r="Q20" s="2"/>
      <c r="R20" s="7">
        <f t="shared" si="4"/>
        <v>0</v>
      </c>
      <c r="S20" s="2"/>
      <c r="T20" s="6">
        <v>43154.129294423547</v>
      </c>
      <c r="U20" s="2"/>
      <c r="V20" s="7">
        <f t="shared" si="5"/>
        <v>0</v>
      </c>
      <c r="W20" s="2"/>
      <c r="X20" s="6">
        <f t="shared" si="6"/>
        <v>1971.530705576457</v>
      </c>
      <c r="Y20" s="2"/>
      <c r="Z20" s="7">
        <f t="shared" si="7"/>
        <v>4.5685795028454476E-2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206.18</v>
      </c>
      <c r="E21" s="2"/>
      <c r="F21" s="7">
        <f t="shared" si="0"/>
        <v>0</v>
      </c>
      <c r="G21" s="2"/>
      <c r="H21" s="6">
        <v>930.68296298461598</v>
      </c>
      <c r="I21" s="2"/>
      <c r="J21" s="7">
        <f t="shared" si="1"/>
        <v>0</v>
      </c>
      <c r="K21" s="2"/>
      <c r="L21" s="6">
        <f t="shared" si="2"/>
        <v>-724.50296298461603</v>
      </c>
      <c r="M21" s="2"/>
      <c r="N21" s="7">
        <f t="shared" si="3"/>
        <v>-0.77846376456833444</v>
      </c>
      <c r="O21" s="11"/>
      <c r="P21" s="6">
        <v>2308.4699999999998</v>
      </c>
      <c r="Q21" s="2"/>
      <c r="R21" s="7">
        <f t="shared" si="4"/>
        <v>0</v>
      </c>
      <c r="S21" s="2"/>
      <c r="T21" s="6">
        <v>3342.6980307446179</v>
      </c>
      <c r="U21" s="2"/>
      <c r="V21" s="7">
        <f t="shared" si="5"/>
        <v>0</v>
      </c>
      <c r="W21" s="2"/>
      <c r="X21" s="6">
        <f t="shared" si="6"/>
        <v>-1034.2280307446181</v>
      </c>
      <c r="Y21" s="2"/>
      <c r="Z21" s="7">
        <f t="shared" si="7"/>
        <v>-0.30939918031250757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22318.02</v>
      </c>
      <c r="E22" s="2"/>
      <c r="F22" s="7">
        <f t="shared" si="0"/>
        <v>0</v>
      </c>
      <c r="G22" s="2"/>
      <c r="H22" s="6">
        <v>28552.23076923077</v>
      </c>
      <c r="I22" s="2"/>
      <c r="J22" s="7">
        <f t="shared" si="1"/>
        <v>0</v>
      </c>
      <c r="K22" s="2"/>
      <c r="L22" s="6">
        <f t="shared" si="2"/>
        <v>-6234.2107692307691</v>
      </c>
      <c r="M22" s="2"/>
      <c r="N22" s="7">
        <f t="shared" si="3"/>
        <v>-0.21834408735407984</v>
      </c>
      <c r="O22" s="11"/>
      <c r="P22" s="6">
        <v>90678.55</v>
      </c>
      <c r="Q22" s="2"/>
      <c r="R22" s="7">
        <f t="shared" si="4"/>
        <v>0</v>
      </c>
      <c r="S22" s="2"/>
      <c r="T22" s="6">
        <v>110484.53846153845</v>
      </c>
      <c r="U22" s="2"/>
      <c r="V22" s="7">
        <f t="shared" si="5"/>
        <v>0</v>
      </c>
      <c r="W22" s="2"/>
      <c r="X22" s="6">
        <f t="shared" si="6"/>
        <v>-19805.988461538451</v>
      </c>
      <c r="Y22" s="2"/>
      <c r="Z22" s="7">
        <f t="shared" si="7"/>
        <v>-0.17926479792856492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805.49</v>
      </c>
      <c r="E23" s="2"/>
      <c r="F23" s="7">
        <f t="shared" si="0"/>
        <v>0</v>
      </c>
      <c r="G23" s="2"/>
      <c r="H23" s="6">
        <v>453.57120889999999</v>
      </c>
      <c r="I23" s="2"/>
      <c r="J23" s="7">
        <f t="shared" si="1"/>
        <v>0</v>
      </c>
      <c r="K23" s="2"/>
      <c r="L23" s="6">
        <f t="shared" si="2"/>
        <v>351.91879110000002</v>
      </c>
      <c r="M23" s="2"/>
      <c r="N23" s="7">
        <f t="shared" si="3"/>
        <v>0.77588432465427593</v>
      </c>
      <c r="O23" s="11"/>
      <c r="P23" s="6">
        <v>1787.77</v>
      </c>
      <c r="Q23" s="2"/>
      <c r="R23" s="7">
        <f t="shared" si="4"/>
        <v>0</v>
      </c>
      <c r="S23" s="2"/>
      <c r="T23" s="6">
        <v>1626.9217480399998</v>
      </c>
      <c r="U23" s="2"/>
      <c r="V23" s="7">
        <f t="shared" si="5"/>
        <v>0</v>
      </c>
      <c r="W23" s="2"/>
      <c r="X23" s="6">
        <f t="shared" si="6"/>
        <v>160.8482519600002</v>
      </c>
      <c r="Y23" s="2"/>
      <c r="Z23" s="7">
        <f t="shared" si="7"/>
        <v>9.8866618602756279E-2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15463.6</v>
      </c>
      <c r="E24" s="2"/>
      <c r="F24" s="7">
        <f t="shared" si="0"/>
        <v>0</v>
      </c>
      <c r="G24" s="2"/>
      <c r="H24" s="6">
        <v>10121.390306692316</v>
      </c>
      <c r="I24" s="2"/>
      <c r="J24" s="7">
        <f t="shared" si="1"/>
        <v>0</v>
      </c>
      <c r="K24" s="2"/>
      <c r="L24" s="6">
        <f t="shared" si="2"/>
        <v>5342.2096933076846</v>
      </c>
      <c r="M24" s="2"/>
      <c r="N24" s="7">
        <f t="shared" si="3"/>
        <v>0.52781382116796616</v>
      </c>
      <c r="O24" s="11"/>
      <c r="P24" s="6">
        <v>39941.870000000003</v>
      </c>
      <c r="Q24" s="2"/>
      <c r="R24" s="7">
        <f t="shared" si="4"/>
        <v>0</v>
      </c>
      <c r="S24" s="2"/>
      <c r="T24" s="6">
        <v>36437.005104092321</v>
      </c>
      <c r="U24" s="2"/>
      <c r="V24" s="7">
        <f t="shared" si="5"/>
        <v>0</v>
      </c>
      <c r="W24" s="2"/>
      <c r="X24" s="6">
        <f t="shared" si="6"/>
        <v>3504.8648959076818</v>
      </c>
      <c r="Y24" s="2"/>
      <c r="Z24" s="7">
        <f t="shared" si="7"/>
        <v>9.6189708399333912E-2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1971.94</v>
      </c>
      <c r="Q25" s="2"/>
      <c r="R25" s="7">
        <f t="shared" si="4"/>
        <v>0</v>
      </c>
      <c r="S25" s="2"/>
      <c r="T25" s="6">
        <v>2000</v>
      </c>
      <c r="U25" s="2"/>
      <c r="V25" s="7">
        <f t="shared" si="5"/>
        <v>0</v>
      </c>
      <c r="W25" s="2"/>
      <c r="X25" s="6">
        <f t="shared" si="6"/>
        <v>-28.059999999999945</v>
      </c>
      <c r="Y25" s="2"/>
      <c r="Z25" s="7">
        <f t="shared" si="7"/>
        <v>-1.4029999999999973E-2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858.87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858.87</v>
      </c>
      <c r="M26" s="2"/>
      <c r="N26" s="7">
        <f t="shared" si="3"/>
        <v>0</v>
      </c>
      <c r="O26" s="11"/>
      <c r="P26" s="6">
        <v>3493.74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3493.74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10007.4</v>
      </c>
      <c r="E27" s="2"/>
      <c r="F27" s="7">
        <f t="shared" si="0"/>
        <v>0</v>
      </c>
      <c r="G27" s="2"/>
      <c r="H27" s="6">
        <v>8570.1444980769284</v>
      </c>
      <c r="I27" s="2"/>
      <c r="J27" s="7">
        <f t="shared" si="1"/>
        <v>0</v>
      </c>
      <c r="K27" s="2"/>
      <c r="L27" s="6">
        <f t="shared" si="2"/>
        <v>1437.2555019230713</v>
      </c>
      <c r="M27" s="2"/>
      <c r="N27" s="7">
        <f t="shared" si="3"/>
        <v>0.16770493219170107</v>
      </c>
      <c r="O27" s="11"/>
      <c r="P27" s="6">
        <v>41393.15</v>
      </c>
      <c r="Q27" s="2"/>
      <c r="R27" s="7">
        <f t="shared" si="4"/>
        <v>0</v>
      </c>
      <c r="S27" s="2"/>
      <c r="T27" s="6">
        <v>30802.050193076939</v>
      </c>
      <c r="U27" s="2"/>
      <c r="V27" s="7">
        <f t="shared" si="5"/>
        <v>0</v>
      </c>
      <c r="W27" s="2"/>
      <c r="X27" s="6">
        <f t="shared" si="6"/>
        <v>10591.099806923063</v>
      </c>
      <c r="Y27" s="2"/>
      <c r="Z27" s="7">
        <f t="shared" si="7"/>
        <v>0.3438439889726404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6337.59</v>
      </c>
      <c r="E28" s="2"/>
      <c r="F28" s="7">
        <f t="shared" si="0"/>
        <v>0</v>
      </c>
      <c r="G28" s="2"/>
      <c r="H28" s="6">
        <v>6054.1147442307774</v>
      </c>
      <c r="I28" s="2"/>
      <c r="J28" s="7">
        <f t="shared" si="1"/>
        <v>0</v>
      </c>
      <c r="K28" s="2"/>
      <c r="L28" s="6">
        <f t="shared" si="2"/>
        <v>283.47525576922271</v>
      </c>
      <c r="M28" s="2"/>
      <c r="N28" s="7">
        <f t="shared" si="3"/>
        <v>4.6823568390301537E-2</v>
      </c>
      <c r="O28" s="11"/>
      <c r="P28" s="6">
        <v>39326.18</v>
      </c>
      <c r="Q28" s="2"/>
      <c r="R28" s="7">
        <f t="shared" si="4"/>
        <v>0</v>
      </c>
      <c r="S28" s="2"/>
      <c r="T28" s="6">
        <v>21706.14887923079</v>
      </c>
      <c r="U28" s="2"/>
      <c r="V28" s="7">
        <f t="shared" si="5"/>
        <v>0</v>
      </c>
      <c r="W28" s="2"/>
      <c r="X28" s="6">
        <f t="shared" si="6"/>
        <v>17620.03112076921</v>
      </c>
      <c r="Y28" s="2"/>
      <c r="Z28" s="7">
        <f t="shared" si="7"/>
        <v>0.81175298385743033</v>
      </c>
    </row>
    <row r="29" spans="1:26" s="24" customFormat="1" hidden="1" outlineLevel="2" x14ac:dyDescent="0.2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6">
        <v>29109.38</v>
      </c>
      <c r="E29" s="2"/>
      <c r="F29" s="7">
        <f t="shared" si="0"/>
        <v>0</v>
      </c>
      <c r="G29" s="2"/>
      <c r="H29" s="6">
        <v>39000</v>
      </c>
      <c r="I29" s="2"/>
      <c r="J29" s="7">
        <f t="shared" si="1"/>
        <v>0</v>
      </c>
      <c r="K29" s="2"/>
      <c r="L29" s="6">
        <f t="shared" si="2"/>
        <v>-9890.619999999999</v>
      </c>
      <c r="M29" s="2"/>
      <c r="N29" s="7">
        <f t="shared" si="3"/>
        <v>-0.25360564102564098</v>
      </c>
      <c r="O29" s="11"/>
      <c r="P29" s="6">
        <v>117406.01999999999</v>
      </c>
      <c r="Q29" s="2"/>
      <c r="R29" s="7">
        <f t="shared" si="4"/>
        <v>0</v>
      </c>
      <c r="S29" s="2"/>
      <c r="T29" s="6">
        <v>157300</v>
      </c>
      <c r="U29" s="2"/>
      <c r="V29" s="7">
        <f t="shared" si="5"/>
        <v>0</v>
      </c>
      <c r="W29" s="2"/>
      <c r="X29" s="6">
        <f t="shared" si="6"/>
        <v>-39893.98000000001</v>
      </c>
      <c r="Y29" s="2"/>
      <c r="Z29" s="7">
        <f t="shared" si="7"/>
        <v>-0.25361716465352835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>
        <v>2504.31</v>
      </c>
      <c r="E30" s="2"/>
      <c r="F30" s="7">
        <f t="shared" si="0"/>
        <v>0</v>
      </c>
      <c r="G30" s="2"/>
      <c r="H30" s="6">
        <v>1350</v>
      </c>
      <c r="I30" s="2"/>
      <c r="J30" s="7">
        <f t="shared" si="1"/>
        <v>0</v>
      </c>
      <c r="K30" s="2"/>
      <c r="L30" s="6">
        <f t="shared" si="2"/>
        <v>1154.31</v>
      </c>
      <c r="M30" s="2"/>
      <c r="N30" s="7">
        <f t="shared" si="3"/>
        <v>0.85504444444444438</v>
      </c>
      <c r="O30" s="11"/>
      <c r="P30" s="6">
        <v>9695.65</v>
      </c>
      <c r="Q30" s="2"/>
      <c r="R30" s="7">
        <f t="shared" si="4"/>
        <v>0</v>
      </c>
      <c r="S30" s="2"/>
      <c r="T30" s="6">
        <v>5400</v>
      </c>
      <c r="U30" s="2"/>
      <c r="V30" s="7">
        <f t="shared" si="5"/>
        <v>0</v>
      </c>
      <c r="W30" s="2"/>
      <c r="X30" s="6">
        <f t="shared" si="6"/>
        <v>4295.6499999999996</v>
      </c>
      <c r="Y30" s="2"/>
      <c r="Z30" s="7">
        <f t="shared" si="7"/>
        <v>0.79549074074074066</v>
      </c>
    </row>
    <row r="31" spans="1:26" s="26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76517.570000000007</v>
      </c>
      <c r="E31" s="1"/>
      <c r="F31" s="5">
        <f t="shared" ref="F31:F41" si="8">IF(D$12=0,0,D31/D$12)</f>
        <v>0</v>
      </c>
      <c r="G31" s="1"/>
      <c r="H31" s="1">
        <f>SUM(OSRRefH22_1x_0)</f>
        <v>161749.98044615382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-85232.410446153808</v>
      </c>
      <c r="M31" s="1"/>
      <c r="N31" s="5">
        <f t="shared" ref="N31:N41" si="11">IF(H31=0,0,L31/H31)</f>
        <v>-0.52693923183828439</v>
      </c>
      <c r="O31" s="13"/>
      <c r="P31" s="1">
        <f>SUM(OSRRefP22_1x_0)</f>
        <v>437271.31</v>
      </c>
      <c r="Q31" s="1"/>
      <c r="R31" s="5">
        <f t="shared" ref="R31:R41" si="12">IF(P$12=0,0,P31/P$12)</f>
        <v>0</v>
      </c>
      <c r="S31" s="1"/>
      <c r="T31" s="1">
        <f>SUM(OSRRefT22_1x_0)</f>
        <v>580240.68620615348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-142969.37620615348</v>
      </c>
      <c r="Y31" s="1"/>
      <c r="Z31" s="5">
        <f t="shared" ref="Z31:Z41" si="15">IF(T31=0,0,X31/T31)</f>
        <v>-0.24639667573286639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20133.73</v>
      </c>
      <c r="E32" s="2"/>
      <c r="F32" s="7">
        <f t="shared" si="8"/>
        <v>0</v>
      </c>
      <c r="G32" s="2"/>
      <c r="H32" s="6">
        <v>53370.193580769221</v>
      </c>
      <c r="I32" s="2"/>
      <c r="J32" s="7">
        <f t="shared" si="9"/>
        <v>0</v>
      </c>
      <c r="K32" s="2"/>
      <c r="L32" s="6">
        <f t="shared" si="10"/>
        <v>-33236.463580769225</v>
      </c>
      <c r="M32" s="2"/>
      <c r="N32" s="7">
        <f t="shared" si="11"/>
        <v>-0.62275328888342751</v>
      </c>
      <c r="O32" s="11"/>
      <c r="P32" s="6">
        <v>103657.22</v>
      </c>
      <c r="Q32" s="2"/>
      <c r="R32" s="7">
        <f t="shared" si="12"/>
        <v>0</v>
      </c>
      <c r="S32" s="2"/>
      <c r="T32" s="6">
        <v>192132.69689076912</v>
      </c>
      <c r="U32" s="2"/>
      <c r="V32" s="7">
        <f t="shared" si="13"/>
        <v>0</v>
      </c>
      <c r="W32" s="2"/>
      <c r="X32" s="6">
        <f t="shared" si="14"/>
        <v>-88475.476890769118</v>
      </c>
      <c r="Y32" s="2"/>
      <c r="Z32" s="7">
        <f t="shared" si="15"/>
        <v>-0.46049151613725076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54561.100000000006</v>
      </c>
      <c r="E33" s="2"/>
      <c r="F33" s="7">
        <f t="shared" si="8"/>
        <v>0</v>
      </c>
      <c r="G33" s="2"/>
      <c r="H33" s="6">
        <v>55245.196865384591</v>
      </c>
      <c r="I33" s="2"/>
      <c r="J33" s="7">
        <f t="shared" si="9"/>
        <v>0</v>
      </c>
      <c r="K33" s="2"/>
      <c r="L33" s="6">
        <f t="shared" si="10"/>
        <v>-684.09686538458482</v>
      </c>
      <c r="M33" s="2"/>
      <c r="N33" s="7">
        <f t="shared" si="11"/>
        <v>-1.2382920221128304E-2</v>
      </c>
      <c r="O33" s="11"/>
      <c r="P33" s="6">
        <v>192941.93000000002</v>
      </c>
      <c r="Q33" s="2"/>
      <c r="R33" s="7">
        <f t="shared" si="12"/>
        <v>0</v>
      </c>
      <c r="S33" s="2"/>
      <c r="T33" s="6">
        <v>198882.70871538439</v>
      </c>
      <c r="U33" s="2"/>
      <c r="V33" s="7">
        <f t="shared" si="13"/>
        <v>0</v>
      </c>
      <c r="W33" s="2"/>
      <c r="X33" s="6">
        <f t="shared" si="14"/>
        <v>-5940.7787153843674</v>
      </c>
      <c r="Y33" s="2"/>
      <c r="Z33" s="7">
        <f t="shared" si="15"/>
        <v>-2.9870765305625706E-2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>
        <v>32181.660000000003</v>
      </c>
      <c r="E35" s="2"/>
      <c r="F35" s="7">
        <f t="shared" si="8"/>
        <v>0</v>
      </c>
      <c r="G35" s="2"/>
      <c r="H35" s="6">
        <v>28661.965</v>
      </c>
      <c r="I35" s="2"/>
      <c r="J35" s="7">
        <f t="shared" si="9"/>
        <v>0</v>
      </c>
      <c r="K35" s="2"/>
      <c r="L35" s="6">
        <f t="shared" si="10"/>
        <v>3519.6950000000033</v>
      </c>
      <c r="M35" s="2"/>
      <c r="N35" s="7">
        <f t="shared" si="11"/>
        <v>0.1228001988000475</v>
      </c>
      <c r="O35" s="11"/>
      <c r="P35" s="6">
        <v>93733.47</v>
      </c>
      <c r="Q35" s="2"/>
      <c r="R35" s="7">
        <f t="shared" si="12"/>
        <v>0</v>
      </c>
      <c r="S35" s="2"/>
      <c r="T35" s="6">
        <v>102177.50559999999</v>
      </c>
      <c r="U35" s="2"/>
      <c r="V35" s="7">
        <f t="shared" si="13"/>
        <v>0</v>
      </c>
      <c r="W35" s="2"/>
      <c r="X35" s="6">
        <f t="shared" si="14"/>
        <v>-8444.0355999999883</v>
      </c>
      <c r="Y35" s="2"/>
      <c r="Z35" s="7">
        <f t="shared" si="15"/>
        <v>-8.2640846930207207E-2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15310.32</v>
      </c>
      <c r="E36" s="2"/>
      <c r="F36" s="7">
        <f t="shared" si="8"/>
        <v>0</v>
      </c>
      <c r="G36" s="2"/>
      <c r="H36" s="6">
        <v>8990</v>
      </c>
      <c r="I36" s="2"/>
      <c r="J36" s="7">
        <f t="shared" si="9"/>
        <v>0</v>
      </c>
      <c r="K36" s="2"/>
      <c r="L36" s="6">
        <f t="shared" si="10"/>
        <v>6320.32</v>
      </c>
      <c r="M36" s="2"/>
      <c r="N36" s="7">
        <f t="shared" si="11"/>
        <v>0.70303893214682978</v>
      </c>
      <c r="O36" s="11"/>
      <c r="P36" s="6">
        <v>43109.5</v>
      </c>
      <c r="Q36" s="2"/>
      <c r="R36" s="7">
        <f t="shared" si="12"/>
        <v>0</v>
      </c>
      <c r="S36" s="2"/>
      <c r="T36" s="6">
        <v>32364</v>
      </c>
      <c r="U36" s="2"/>
      <c r="V36" s="7">
        <f t="shared" si="13"/>
        <v>0</v>
      </c>
      <c r="W36" s="2"/>
      <c r="X36" s="6">
        <f t="shared" si="14"/>
        <v>10745.5</v>
      </c>
      <c r="Y36" s="2"/>
      <c r="Z36" s="7">
        <f t="shared" si="15"/>
        <v>0.33202014584105799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2361.4299999999998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2361.4299999999998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>
        <v>-48050.12</v>
      </c>
      <c r="E38" s="2"/>
      <c r="F38" s="7">
        <f t="shared" si="8"/>
        <v>0</v>
      </c>
      <c r="G38" s="2"/>
      <c r="H38" s="6">
        <v>7640</v>
      </c>
      <c r="I38" s="2"/>
      <c r="J38" s="7">
        <f t="shared" si="9"/>
        <v>0</v>
      </c>
      <c r="K38" s="2"/>
      <c r="L38" s="6">
        <f t="shared" si="10"/>
        <v>-55690.12</v>
      </c>
      <c r="M38" s="2"/>
      <c r="N38" s="7">
        <f t="shared" si="11"/>
        <v>-7.2892827225130894</v>
      </c>
      <c r="O38" s="11"/>
      <c r="P38" s="6">
        <v>-5890.69</v>
      </c>
      <c r="Q38" s="2"/>
      <c r="R38" s="7">
        <f t="shared" si="12"/>
        <v>0</v>
      </c>
      <c r="S38" s="2"/>
      <c r="T38" s="6">
        <v>25072.5</v>
      </c>
      <c r="U38" s="2"/>
      <c r="V38" s="7">
        <f t="shared" si="13"/>
        <v>0</v>
      </c>
      <c r="W38" s="2"/>
      <c r="X38" s="6">
        <f t="shared" si="14"/>
        <v>-30963.19</v>
      </c>
      <c r="Y38" s="2"/>
      <c r="Z38" s="7">
        <f t="shared" si="15"/>
        <v>-1.2349462558580118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2380.88</v>
      </c>
      <c r="E39" s="2"/>
      <c r="F39" s="7">
        <f t="shared" si="8"/>
        <v>0</v>
      </c>
      <c r="G39" s="2"/>
      <c r="H39" s="6">
        <v>7842.6249999999991</v>
      </c>
      <c r="I39" s="2"/>
      <c r="J39" s="7">
        <f t="shared" si="9"/>
        <v>0</v>
      </c>
      <c r="K39" s="2"/>
      <c r="L39" s="6">
        <f t="shared" si="10"/>
        <v>-5461.744999999999</v>
      </c>
      <c r="M39" s="2"/>
      <c r="N39" s="7">
        <f t="shared" si="11"/>
        <v>-0.69641797229881575</v>
      </c>
      <c r="O39" s="11"/>
      <c r="P39" s="6">
        <v>7358.45</v>
      </c>
      <c r="Q39" s="2"/>
      <c r="R39" s="7">
        <f t="shared" si="12"/>
        <v>0</v>
      </c>
      <c r="S39" s="2"/>
      <c r="T39" s="6">
        <v>29611.275000000001</v>
      </c>
      <c r="U39" s="2"/>
      <c r="V39" s="7">
        <f t="shared" si="13"/>
        <v>0</v>
      </c>
      <c r="W39" s="2"/>
      <c r="X39" s="6">
        <f t="shared" si="14"/>
        <v>-22252.825000000001</v>
      </c>
      <c r="Y39" s="2"/>
      <c r="Z39" s="7">
        <f t="shared" si="15"/>
        <v>-0.75149837350806403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6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-9892.4500000000007</v>
      </c>
      <c r="E42" s="1"/>
      <c r="F42" s="5">
        <f t="shared" ref="F42:F52" si="16">IF(D$12=0,0,D42/D$12)</f>
        <v>0</v>
      </c>
      <c r="G42" s="1"/>
      <c r="H42" s="1">
        <f>SUM(OSRRefH22_2x_0)</f>
        <v>260</v>
      </c>
      <c r="I42" s="1"/>
      <c r="J42" s="5">
        <f t="shared" ref="J42:J52" si="17">IF(H$12=0,0,H42/H$12)</f>
        <v>0</v>
      </c>
      <c r="K42" s="1"/>
      <c r="L42" s="1">
        <f t="shared" ref="L42:L52" si="18">+D42-H42</f>
        <v>-10152.450000000001</v>
      </c>
      <c r="M42" s="1"/>
      <c r="N42" s="5">
        <f t="shared" ref="N42:N52" si="19">IF(H42=0,0,L42/H42)</f>
        <v>-39.047884615384618</v>
      </c>
      <c r="O42" s="13"/>
      <c r="P42" s="1">
        <f>SUM(OSRRefP22_2x_0)</f>
        <v>-12296.77</v>
      </c>
      <c r="Q42" s="1"/>
      <c r="R42" s="5">
        <f t="shared" ref="R42:R52" si="20">IF(P$12=0,0,P42/P$12)</f>
        <v>0</v>
      </c>
      <c r="S42" s="1"/>
      <c r="T42" s="1">
        <f>SUM(OSRRefT22_2x_0)</f>
        <v>1065</v>
      </c>
      <c r="U42" s="1"/>
      <c r="V42" s="5">
        <f t="shared" ref="V42:V52" si="21">IF(T$12=0,0,T42/T$12)</f>
        <v>0</v>
      </c>
      <c r="W42" s="1"/>
      <c r="X42" s="1">
        <f t="shared" ref="X42:X52" si="22">+P42-T42</f>
        <v>-13361.77</v>
      </c>
      <c r="Y42" s="1"/>
      <c r="Z42" s="5">
        <f t="shared" ref="Z42:Z52" si="23">IF(T42=0,0,X42/T42)</f>
        <v>-12.546262910798122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>
        <v>-9892.4500000000007</v>
      </c>
      <c r="E43" s="2"/>
      <c r="F43" s="7">
        <f t="shared" si="16"/>
        <v>0</v>
      </c>
      <c r="G43" s="2"/>
      <c r="H43" s="6">
        <v>260</v>
      </c>
      <c r="I43" s="2"/>
      <c r="J43" s="7">
        <f t="shared" si="17"/>
        <v>0</v>
      </c>
      <c r="K43" s="2"/>
      <c r="L43" s="6">
        <f t="shared" si="18"/>
        <v>-10152.450000000001</v>
      </c>
      <c r="M43" s="2"/>
      <c r="N43" s="7">
        <f t="shared" si="19"/>
        <v>-39.047884615384618</v>
      </c>
      <c r="O43" s="11"/>
      <c r="P43" s="6">
        <v>-12296.77</v>
      </c>
      <c r="Q43" s="2"/>
      <c r="R43" s="7">
        <f t="shared" si="20"/>
        <v>0</v>
      </c>
      <c r="S43" s="2"/>
      <c r="T43" s="6">
        <v>1065</v>
      </c>
      <c r="U43" s="2"/>
      <c r="V43" s="7">
        <f t="shared" si="21"/>
        <v>0</v>
      </c>
      <c r="W43" s="2"/>
      <c r="X43" s="6">
        <f t="shared" si="22"/>
        <v>-13361.77</v>
      </c>
      <c r="Y43" s="2"/>
      <c r="Z43" s="7">
        <f t="shared" si="23"/>
        <v>-12.546262910798122</v>
      </c>
    </row>
    <row r="44" spans="1:26" s="26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14323.04</v>
      </c>
      <c r="E44" s="1"/>
      <c r="F44" s="5">
        <f t="shared" si="16"/>
        <v>0</v>
      </c>
      <c r="G44" s="1"/>
      <c r="H44" s="1">
        <f>SUM(OSRRefH22_3x_0)</f>
        <v>15000</v>
      </c>
      <c r="I44" s="1"/>
      <c r="J44" s="5">
        <f t="shared" si="17"/>
        <v>0</v>
      </c>
      <c r="K44" s="1"/>
      <c r="L44" s="1">
        <f t="shared" si="18"/>
        <v>-676.95999999999913</v>
      </c>
      <c r="M44" s="1"/>
      <c r="N44" s="5">
        <f t="shared" si="19"/>
        <v>-4.5130666666666611E-2</v>
      </c>
      <c r="O44" s="13"/>
      <c r="P44" s="1">
        <f>SUM(OSRRefP22_3x_0)</f>
        <v>20926.16</v>
      </c>
      <c r="Q44" s="1"/>
      <c r="R44" s="5">
        <f t="shared" si="20"/>
        <v>0</v>
      </c>
      <c r="S44" s="1"/>
      <c r="T44" s="1">
        <f>SUM(OSRRefT22_3x_0)</f>
        <v>33000</v>
      </c>
      <c r="U44" s="1"/>
      <c r="V44" s="5">
        <f t="shared" si="21"/>
        <v>0</v>
      </c>
      <c r="W44" s="1"/>
      <c r="X44" s="1">
        <f t="shared" si="22"/>
        <v>-12073.84</v>
      </c>
      <c r="Y44" s="1"/>
      <c r="Z44" s="5">
        <f t="shared" si="23"/>
        <v>-0.36587393939393942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14323.04</v>
      </c>
      <c r="E45" s="2"/>
      <c r="F45" s="7">
        <f t="shared" si="16"/>
        <v>0</v>
      </c>
      <c r="G45" s="2"/>
      <c r="H45" s="6">
        <v>15000</v>
      </c>
      <c r="I45" s="2"/>
      <c r="J45" s="7">
        <f t="shared" si="17"/>
        <v>0</v>
      </c>
      <c r="K45" s="2"/>
      <c r="L45" s="6">
        <f t="shared" si="18"/>
        <v>-676.95999999999913</v>
      </c>
      <c r="M45" s="2"/>
      <c r="N45" s="7">
        <f t="shared" si="19"/>
        <v>-4.5130666666666611E-2</v>
      </c>
      <c r="O45" s="11"/>
      <c r="P45" s="6">
        <v>20926.16</v>
      </c>
      <c r="Q45" s="2"/>
      <c r="R45" s="7">
        <f t="shared" si="20"/>
        <v>0</v>
      </c>
      <c r="S45" s="2"/>
      <c r="T45" s="6">
        <v>33000</v>
      </c>
      <c r="U45" s="2"/>
      <c r="V45" s="7">
        <f t="shared" si="21"/>
        <v>0</v>
      </c>
      <c r="W45" s="2"/>
      <c r="X45" s="6">
        <f t="shared" si="22"/>
        <v>-12073.84</v>
      </c>
      <c r="Y45" s="2"/>
      <c r="Z45" s="7">
        <f t="shared" si="23"/>
        <v>-0.36587393939393942</v>
      </c>
    </row>
    <row r="46" spans="1:26" s="26" customFormat="1" outlineLevel="1" collapsed="1" x14ac:dyDescent="0.25">
      <c r="A46" s="25"/>
      <c r="B46" s="13" t="str">
        <f>CONCATENATE("     ","Board                                             ")</f>
        <v xml:space="preserve">     Board                                             </v>
      </c>
      <c r="C46" s="13"/>
      <c r="D46" s="1">
        <f>SUM(OSRRefD22_4x_0)</f>
        <v>3404.44</v>
      </c>
      <c r="E46" s="1"/>
      <c r="F46" s="5">
        <f t="shared" si="16"/>
        <v>0</v>
      </c>
      <c r="G46" s="1"/>
      <c r="H46" s="1">
        <f>SUM(OSRRefH22_4x_0)</f>
        <v>3000</v>
      </c>
      <c r="I46" s="1"/>
      <c r="J46" s="5">
        <f t="shared" si="17"/>
        <v>0</v>
      </c>
      <c r="K46" s="1"/>
      <c r="L46" s="1">
        <f t="shared" si="18"/>
        <v>404.44000000000005</v>
      </c>
      <c r="M46" s="1"/>
      <c r="N46" s="5">
        <f t="shared" si="19"/>
        <v>0.13481333333333334</v>
      </c>
      <c r="O46" s="13"/>
      <c r="P46" s="1">
        <f>SUM(OSRRefP22_4x_0)</f>
        <v>11846.23</v>
      </c>
      <c r="Q46" s="1"/>
      <c r="R46" s="5">
        <f t="shared" si="20"/>
        <v>0</v>
      </c>
      <c r="S46" s="1"/>
      <c r="T46" s="1">
        <f>SUM(OSRRefT22_4x_0)</f>
        <v>11200</v>
      </c>
      <c r="U46" s="1"/>
      <c r="V46" s="5">
        <f t="shared" si="21"/>
        <v>0</v>
      </c>
      <c r="W46" s="1"/>
      <c r="X46" s="1">
        <f t="shared" si="22"/>
        <v>646.22999999999956</v>
      </c>
      <c r="Y46" s="1"/>
      <c r="Z46" s="5">
        <f t="shared" si="23"/>
        <v>5.7699107142857101E-2</v>
      </c>
    </row>
    <row r="47" spans="1:26" s="24" customFormat="1" hidden="1" outlineLevel="2" x14ac:dyDescent="0.25">
      <c r="A47" s="27"/>
      <c r="B47" s="11" t="str">
        <f>CONCATENATE("          ", "6397", " - ", "BOARD EXPENSES")</f>
        <v xml:space="preserve">          6397 - BOARD EXPENSES</v>
      </c>
      <c r="C47" s="11"/>
      <c r="D47" s="6">
        <v>3404.44</v>
      </c>
      <c r="E47" s="2"/>
      <c r="F47" s="7">
        <f t="shared" si="16"/>
        <v>0</v>
      </c>
      <c r="G47" s="2"/>
      <c r="H47" s="6">
        <v>3000</v>
      </c>
      <c r="I47" s="2"/>
      <c r="J47" s="7">
        <f t="shared" si="17"/>
        <v>0</v>
      </c>
      <c r="K47" s="2"/>
      <c r="L47" s="6">
        <f t="shared" si="18"/>
        <v>404.44000000000005</v>
      </c>
      <c r="M47" s="2"/>
      <c r="N47" s="7">
        <f t="shared" si="19"/>
        <v>0.13481333333333334</v>
      </c>
      <c r="O47" s="11"/>
      <c r="P47" s="6">
        <v>11846.23</v>
      </c>
      <c r="Q47" s="2"/>
      <c r="R47" s="7">
        <f t="shared" si="20"/>
        <v>0</v>
      </c>
      <c r="S47" s="2"/>
      <c r="T47" s="6">
        <v>11200</v>
      </c>
      <c r="U47" s="2"/>
      <c r="V47" s="7">
        <f t="shared" si="21"/>
        <v>0</v>
      </c>
      <c r="W47" s="2"/>
      <c r="X47" s="6">
        <f t="shared" si="22"/>
        <v>646.22999999999956</v>
      </c>
      <c r="Y47" s="2"/>
      <c r="Z47" s="7">
        <f t="shared" si="23"/>
        <v>5.7699107142857101E-2</v>
      </c>
    </row>
    <row r="48" spans="1:26" s="26" customFormat="1" outlineLevel="1" collapsed="1" x14ac:dyDescent="0.25">
      <c r="A48" s="25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8599.93</v>
      </c>
      <c r="E48" s="1"/>
      <c r="F48" s="5">
        <f t="shared" si="16"/>
        <v>0</v>
      </c>
      <c r="G48" s="1"/>
      <c r="H48" s="1">
        <f>SUM(OSRRefH22_5x_0)</f>
        <v>8593</v>
      </c>
      <c r="I48" s="1"/>
      <c r="J48" s="5">
        <f t="shared" si="17"/>
        <v>0</v>
      </c>
      <c r="K48" s="1"/>
      <c r="L48" s="1">
        <f t="shared" si="18"/>
        <v>6.930000000000291</v>
      </c>
      <c r="M48" s="1"/>
      <c r="N48" s="5">
        <f t="shared" si="19"/>
        <v>8.0647038286981159E-4</v>
      </c>
      <c r="O48" s="13"/>
      <c r="P48" s="1">
        <f>SUM(OSRRefP22_5x_0)</f>
        <v>34399.72</v>
      </c>
      <c r="Q48" s="1"/>
      <c r="R48" s="5">
        <f t="shared" si="20"/>
        <v>0</v>
      </c>
      <c r="S48" s="1"/>
      <c r="T48" s="1">
        <f>SUM(OSRRefT22_5x_0)</f>
        <v>34372</v>
      </c>
      <c r="U48" s="1"/>
      <c r="V48" s="5">
        <f t="shared" si="21"/>
        <v>0</v>
      </c>
      <c r="W48" s="1"/>
      <c r="X48" s="1">
        <f t="shared" si="22"/>
        <v>27.720000000001164</v>
      </c>
      <c r="Y48" s="1"/>
      <c r="Z48" s="5">
        <f t="shared" si="23"/>
        <v>8.0647038286981159E-4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8599.93</v>
      </c>
      <c r="E49" s="2"/>
      <c r="F49" s="7">
        <f t="shared" si="16"/>
        <v>0</v>
      </c>
      <c r="G49" s="2"/>
      <c r="H49" s="6">
        <v>8593</v>
      </c>
      <c r="I49" s="2"/>
      <c r="J49" s="7">
        <f t="shared" si="17"/>
        <v>0</v>
      </c>
      <c r="K49" s="2"/>
      <c r="L49" s="6">
        <f t="shared" si="18"/>
        <v>6.930000000000291</v>
      </c>
      <c r="M49" s="2"/>
      <c r="N49" s="7">
        <f t="shared" si="19"/>
        <v>8.0647038286981159E-4</v>
      </c>
      <c r="O49" s="11"/>
      <c r="P49" s="6">
        <v>34399.72</v>
      </c>
      <c r="Q49" s="2"/>
      <c r="R49" s="7">
        <f t="shared" si="20"/>
        <v>0</v>
      </c>
      <c r="S49" s="2"/>
      <c r="T49" s="6">
        <v>34372</v>
      </c>
      <c r="U49" s="2"/>
      <c r="V49" s="7">
        <f t="shared" si="21"/>
        <v>0</v>
      </c>
      <c r="W49" s="2"/>
      <c r="X49" s="6">
        <f t="shared" si="22"/>
        <v>27.720000000001164</v>
      </c>
      <c r="Y49" s="2"/>
      <c r="Z49" s="7">
        <f t="shared" si="23"/>
        <v>8.0647038286981159E-4</v>
      </c>
    </row>
    <row r="50" spans="1:26" s="26" customFormat="1" outlineLevel="1" collapsed="1" x14ac:dyDescent="0.25">
      <c r="A50" s="25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SUM(OSRRefD22_6x_0)</f>
        <v>5133.6499999999996</v>
      </c>
      <c r="E50" s="1"/>
      <c r="F50" s="5">
        <f t="shared" si="16"/>
        <v>0</v>
      </c>
      <c r="G50" s="1"/>
      <c r="H50" s="1">
        <f>SUM(OSRRefH22_6x_0)</f>
        <v>12000</v>
      </c>
      <c r="I50" s="1"/>
      <c r="J50" s="5">
        <f t="shared" si="17"/>
        <v>0</v>
      </c>
      <c r="K50" s="1"/>
      <c r="L50" s="1">
        <f t="shared" si="18"/>
        <v>-6866.35</v>
      </c>
      <c r="M50" s="1"/>
      <c r="N50" s="5">
        <f t="shared" si="19"/>
        <v>-0.57219583333333335</v>
      </c>
      <c r="O50" s="13"/>
      <c r="P50" s="1">
        <f>SUM(OSRRefP22_6x_0)</f>
        <v>144377.25</v>
      </c>
      <c r="Q50" s="1"/>
      <c r="R50" s="5">
        <f t="shared" si="20"/>
        <v>0</v>
      </c>
      <c r="S50" s="1"/>
      <c r="T50" s="1">
        <f>SUM(OSRRefT22_6x_0)</f>
        <v>341800</v>
      </c>
      <c r="U50" s="1"/>
      <c r="V50" s="5">
        <f t="shared" si="21"/>
        <v>0</v>
      </c>
      <c r="W50" s="1"/>
      <c r="X50" s="1">
        <f t="shared" si="22"/>
        <v>-197422.75</v>
      </c>
      <c r="Y50" s="1"/>
      <c r="Z50" s="5">
        <f t="shared" si="23"/>
        <v>-0.577597279110591</v>
      </c>
    </row>
    <row r="51" spans="1:26" s="24" customFormat="1" hidden="1" outlineLevel="2" x14ac:dyDescent="0.25">
      <c r="A51" s="27"/>
      <c r="B51" s="11" t="str">
        <f>CONCATENATE("          ", "6395", " - ", "DONATION-OFF CAMPUS")</f>
        <v xml:space="preserve">          6395 - DONATION-OFF CAMPUS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800</v>
      </c>
      <c r="U51" s="2"/>
      <c r="V51" s="7">
        <f t="shared" si="21"/>
        <v>0</v>
      </c>
      <c r="W51" s="2"/>
      <c r="X51" s="6">
        <f t="shared" si="22"/>
        <v>-800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"6399", " - ", "DONATION-ON CAMPUS")</f>
        <v xml:space="preserve">          6399 - DONATION-ON CAMPUS</v>
      </c>
      <c r="C52" s="11"/>
      <c r="D52" s="6">
        <v>5133.6499999999996</v>
      </c>
      <c r="E52" s="2"/>
      <c r="F52" s="7">
        <f t="shared" si="16"/>
        <v>0</v>
      </c>
      <c r="G52" s="2"/>
      <c r="H52" s="6">
        <v>12000</v>
      </c>
      <c r="I52" s="2"/>
      <c r="J52" s="7">
        <f t="shared" si="17"/>
        <v>0</v>
      </c>
      <c r="K52" s="2"/>
      <c r="L52" s="6">
        <f t="shared" si="18"/>
        <v>-6866.35</v>
      </c>
      <c r="M52" s="2"/>
      <c r="N52" s="7">
        <f t="shared" si="19"/>
        <v>-0.57219583333333335</v>
      </c>
      <c r="O52" s="11"/>
      <c r="P52" s="6">
        <v>144377.25</v>
      </c>
      <c r="Q52" s="2"/>
      <c r="R52" s="7">
        <f t="shared" si="20"/>
        <v>0</v>
      </c>
      <c r="S52" s="2"/>
      <c r="T52" s="6">
        <v>341000</v>
      </c>
      <c r="U52" s="2"/>
      <c r="V52" s="7">
        <f t="shared" si="21"/>
        <v>0</v>
      </c>
      <c r="W52" s="2"/>
      <c r="X52" s="6">
        <f t="shared" si="22"/>
        <v>-196622.75</v>
      </c>
      <c r="Y52" s="2"/>
      <c r="Z52" s="7">
        <f t="shared" si="23"/>
        <v>-0.57660630498533727</v>
      </c>
    </row>
    <row r="53" spans="1:26" s="26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SUM(OSRRefD22_7x_0)</f>
        <v>264</v>
      </c>
      <c r="E53" s="1"/>
      <c r="F53" s="5">
        <f t="shared" ref="F53:F66" si="24">IF(D$12=0,0,D53/D$12)</f>
        <v>0</v>
      </c>
      <c r="G53" s="1"/>
      <c r="H53" s="1">
        <f>SUM(OSRRefH22_7x_0)</f>
        <v>908</v>
      </c>
      <c r="I53" s="1"/>
      <c r="J53" s="5">
        <f t="shared" ref="J53:J66" si="25">IF(H$12=0,0,H53/H$12)</f>
        <v>0</v>
      </c>
      <c r="K53" s="1"/>
      <c r="L53" s="1">
        <f t="shared" ref="L53:L66" si="26">+D53-H53</f>
        <v>-644</v>
      </c>
      <c r="M53" s="1"/>
      <c r="N53" s="5">
        <f t="shared" ref="N53:N66" si="27">IF(H53=0,0,L53/H53)</f>
        <v>-0.70925110132158586</v>
      </c>
      <c r="O53" s="13"/>
      <c r="P53" s="1">
        <f>SUM(OSRRefP22_7x_0)</f>
        <v>11829.12</v>
      </c>
      <c r="Q53" s="1"/>
      <c r="R53" s="5">
        <f t="shared" ref="R53:R66" si="28">IF(P$12=0,0,P53/P$12)</f>
        <v>0</v>
      </c>
      <c r="S53" s="1"/>
      <c r="T53" s="1">
        <f>SUM(OSRRefT22_7x_0)</f>
        <v>14132</v>
      </c>
      <c r="U53" s="1"/>
      <c r="V53" s="5">
        <f t="shared" ref="V53:V66" si="29">IF(T$12=0,0,T53/T$12)</f>
        <v>0</v>
      </c>
      <c r="W53" s="1"/>
      <c r="X53" s="1">
        <f t="shared" ref="X53:X66" si="30">+P53-T53</f>
        <v>-2302.8799999999992</v>
      </c>
      <c r="Y53" s="1"/>
      <c r="Z53" s="5">
        <f t="shared" ref="Z53:Z66" si="31">IF(T53=0,0,X53/T53)</f>
        <v>-0.16295499575431638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>
        <v>264</v>
      </c>
      <c r="E54" s="2"/>
      <c r="F54" s="7">
        <f t="shared" si="24"/>
        <v>0</v>
      </c>
      <c r="G54" s="2"/>
      <c r="H54" s="6">
        <v>908</v>
      </c>
      <c r="I54" s="2"/>
      <c r="J54" s="7">
        <f t="shared" si="25"/>
        <v>0</v>
      </c>
      <c r="K54" s="2"/>
      <c r="L54" s="6">
        <f t="shared" si="26"/>
        <v>-644</v>
      </c>
      <c r="M54" s="2"/>
      <c r="N54" s="7">
        <f t="shared" si="27"/>
        <v>-0.70925110132158586</v>
      </c>
      <c r="O54" s="11"/>
      <c r="P54" s="6">
        <v>11829.12</v>
      </c>
      <c r="Q54" s="2"/>
      <c r="R54" s="7">
        <f t="shared" si="28"/>
        <v>0</v>
      </c>
      <c r="S54" s="2"/>
      <c r="T54" s="6">
        <v>14132</v>
      </c>
      <c r="U54" s="2"/>
      <c r="V54" s="7">
        <f t="shared" si="29"/>
        <v>0</v>
      </c>
      <c r="W54" s="2"/>
      <c r="X54" s="6">
        <f t="shared" si="30"/>
        <v>-2302.8799999999992</v>
      </c>
      <c r="Y54" s="2"/>
      <c r="Z54" s="7">
        <f t="shared" si="31"/>
        <v>-0.16295499575431638</v>
      </c>
    </row>
    <row r="55" spans="1:26" s="26" customFormat="1" outlineLevel="1" collapsed="1" x14ac:dyDescent="0.25">
      <c r="A55" s="25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SUM(OSRRefD22_8x_0)</f>
        <v>417.96</v>
      </c>
      <c r="E55" s="1"/>
      <c r="F55" s="5">
        <f t="shared" si="24"/>
        <v>0</v>
      </c>
      <c r="G55" s="1"/>
      <c r="H55" s="1">
        <f>SUM(OSRRefH22_8x_0)</f>
        <v>299</v>
      </c>
      <c r="I55" s="1"/>
      <c r="J55" s="5">
        <f t="shared" si="25"/>
        <v>0</v>
      </c>
      <c r="K55" s="1"/>
      <c r="L55" s="1">
        <f t="shared" si="26"/>
        <v>118.95999999999998</v>
      </c>
      <c r="M55" s="1"/>
      <c r="N55" s="5">
        <f t="shared" si="27"/>
        <v>0.39785953177257516</v>
      </c>
      <c r="O55" s="13"/>
      <c r="P55" s="1">
        <f>SUM(OSRRefP22_8x_0)</f>
        <v>1318.68</v>
      </c>
      <c r="Q55" s="1"/>
      <c r="R55" s="5">
        <f t="shared" si="28"/>
        <v>0</v>
      </c>
      <c r="S55" s="1"/>
      <c r="T55" s="1">
        <f>SUM(OSRRefT22_8x_0)</f>
        <v>1106</v>
      </c>
      <c r="U55" s="1"/>
      <c r="V55" s="5">
        <f t="shared" si="29"/>
        <v>0</v>
      </c>
      <c r="W55" s="1"/>
      <c r="X55" s="1">
        <f t="shared" si="30"/>
        <v>212.68000000000006</v>
      </c>
      <c r="Y55" s="1"/>
      <c r="Z55" s="5">
        <f t="shared" si="31"/>
        <v>0.19229656419529842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417.96</v>
      </c>
      <c r="E56" s="2"/>
      <c r="F56" s="7">
        <f t="shared" si="24"/>
        <v>0</v>
      </c>
      <c r="G56" s="2"/>
      <c r="H56" s="6">
        <v>299</v>
      </c>
      <c r="I56" s="2"/>
      <c r="J56" s="7">
        <f t="shared" si="25"/>
        <v>0</v>
      </c>
      <c r="K56" s="2"/>
      <c r="L56" s="6">
        <f t="shared" si="26"/>
        <v>118.95999999999998</v>
      </c>
      <c r="M56" s="2"/>
      <c r="N56" s="7">
        <f t="shared" si="27"/>
        <v>0.39785953177257516</v>
      </c>
      <c r="O56" s="11"/>
      <c r="P56" s="6">
        <v>1318.68</v>
      </c>
      <c r="Q56" s="2"/>
      <c r="R56" s="7">
        <f t="shared" si="28"/>
        <v>0</v>
      </c>
      <c r="S56" s="2"/>
      <c r="T56" s="6">
        <v>1106</v>
      </c>
      <c r="U56" s="2"/>
      <c r="V56" s="7">
        <f t="shared" si="29"/>
        <v>0</v>
      </c>
      <c r="W56" s="2"/>
      <c r="X56" s="6">
        <f t="shared" si="30"/>
        <v>212.68000000000006</v>
      </c>
      <c r="Y56" s="2"/>
      <c r="Z56" s="7">
        <f t="shared" si="31"/>
        <v>0.19229656419529842</v>
      </c>
    </row>
    <row r="57" spans="1:26" s="26" customFormat="1" outlineLevel="1" collapsed="1" x14ac:dyDescent="0.25">
      <c r="A57" s="25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SUM(OSRRefD22_9x_0)</f>
        <v>174.4</v>
      </c>
      <c r="E57" s="1"/>
      <c r="F57" s="5">
        <f t="shared" si="24"/>
        <v>0</v>
      </c>
      <c r="G57" s="1"/>
      <c r="H57" s="1">
        <f>SUM(OSRRefH22_9x_0)</f>
        <v>245</v>
      </c>
      <c r="I57" s="1"/>
      <c r="J57" s="5">
        <f t="shared" si="25"/>
        <v>0</v>
      </c>
      <c r="K57" s="1"/>
      <c r="L57" s="1">
        <f t="shared" si="26"/>
        <v>-70.599999999999994</v>
      </c>
      <c r="M57" s="1"/>
      <c r="N57" s="5">
        <f t="shared" si="27"/>
        <v>-0.28816326530612241</v>
      </c>
      <c r="O57" s="13"/>
      <c r="P57" s="1">
        <f>SUM(OSRRefP22_9x_0)</f>
        <v>785.5</v>
      </c>
      <c r="Q57" s="1"/>
      <c r="R57" s="5">
        <f t="shared" si="28"/>
        <v>0</v>
      </c>
      <c r="S57" s="1"/>
      <c r="T57" s="1">
        <f>SUM(OSRRefT22_9x_0)</f>
        <v>885</v>
      </c>
      <c r="U57" s="1"/>
      <c r="V57" s="5">
        <f t="shared" si="29"/>
        <v>0</v>
      </c>
      <c r="W57" s="1"/>
      <c r="X57" s="1">
        <f t="shared" si="30"/>
        <v>-99.5</v>
      </c>
      <c r="Y57" s="1"/>
      <c r="Z57" s="5">
        <f t="shared" si="31"/>
        <v>-0.11242937853107345</v>
      </c>
    </row>
    <row r="58" spans="1:26" s="24" customFormat="1" hidden="1" outlineLevel="2" x14ac:dyDescent="0.25">
      <c r="A58" s="27"/>
      <c r="B58" s="11" t="str">
        <f>CONCATENATE("          ", "6307", " - ", "POSTAGE")</f>
        <v xml:space="preserve">          6307 - POSTAGE</v>
      </c>
      <c r="C58" s="11"/>
      <c r="D58" s="6">
        <v>174.4</v>
      </c>
      <c r="E58" s="2"/>
      <c r="F58" s="7">
        <f t="shared" si="24"/>
        <v>0</v>
      </c>
      <c r="G58" s="2"/>
      <c r="H58" s="6">
        <v>245</v>
      </c>
      <c r="I58" s="2"/>
      <c r="J58" s="7">
        <f t="shared" si="25"/>
        <v>0</v>
      </c>
      <c r="K58" s="2"/>
      <c r="L58" s="6">
        <f t="shared" si="26"/>
        <v>-70.599999999999994</v>
      </c>
      <c r="M58" s="2"/>
      <c r="N58" s="7">
        <f t="shared" si="27"/>
        <v>-0.28816326530612241</v>
      </c>
      <c r="O58" s="11"/>
      <c r="P58" s="6">
        <v>785.5</v>
      </c>
      <c r="Q58" s="2"/>
      <c r="R58" s="7">
        <f t="shared" si="28"/>
        <v>0</v>
      </c>
      <c r="S58" s="2"/>
      <c r="T58" s="6">
        <v>885</v>
      </c>
      <c r="U58" s="2"/>
      <c r="V58" s="7">
        <f t="shared" si="29"/>
        <v>0</v>
      </c>
      <c r="W58" s="2"/>
      <c r="X58" s="6">
        <f t="shared" si="30"/>
        <v>-99.5</v>
      </c>
      <c r="Y58" s="2"/>
      <c r="Z58" s="7">
        <f t="shared" si="31"/>
        <v>-0.11242937853107345</v>
      </c>
    </row>
    <row r="59" spans="1:26" s="26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SUM(OSRRefD22_10x_0)</f>
        <v>6146.46</v>
      </c>
      <c r="E59" s="1"/>
      <c r="F59" s="5">
        <f t="shared" si="24"/>
        <v>0</v>
      </c>
      <c r="G59" s="1"/>
      <c r="H59" s="1">
        <f>SUM(OSRRefH22_10x_0)</f>
        <v>-85</v>
      </c>
      <c r="I59" s="1"/>
      <c r="J59" s="5">
        <f t="shared" si="25"/>
        <v>0</v>
      </c>
      <c r="K59" s="1"/>
      <c r="L59" s="1">
        <f t="shared" si="26"/>
        <v>6231.46</v>
      </c>
      <c r="M59" s="1"/>
      <c r="N59" s="5">
        <f t="shared" si="27"/>
        <v>-73.311294117647066</v>
      </c>
      <c r="O59" s="13"/>
      <c r="P59" s="1">
        <f>SUM(OSRRefP22_10x_0)</f>
        <v>12580.14</v>
      </c>
      <c r="Q59" s="1"/>
      <c r="R59" s="5">
        <f t="shared" si="28"/>
        <v>0</v>
      </c>
      <c r="S59" s="1"/>
      <c r="T59" s="1">
        <f>SUM(OSRRefT22_10x_0)</f>
        <v>1770</v>
      </c>
      <c r="U59" s="1"/>
      <c r="V59" s="5">
        <f t="shared" si="29"/>
        <v>0</v>
      </c>
      <c r="W59" s="1"/>
      <c r="X59" s="1">
        <f t="shared" si="30"/>
        <v>10810.14</v>
      </c>
      <c r="Y59" s="1"/>
      <c r="Z59" s="5">
        <f t="shared" si="31"/>
        <v>6.1074237288135587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>
        <v>6146.46</v>
      </c>
      <c r="E60" s="2"/>
      <c r="F60" s="7">
        <f t="shared" si="24"/>
        <v>0</v>
      </c>
      <c r="G60" s="2"/>
      <c r="H60" s="6">
        <v>-85</v>
      </c>
      <c r="I60" s="2"/>
      <c r="J60" s="7">
        <f t="shared" si="25"/>
        <v>0</v>
      </c>
      <c r="K60" s="2"/>
      <c r="L60" s="6">
        <f t="shared" si="26"/>
        <v>6231.46</v>
      </c>
      <c r="M60" s="2"/>
      <c r="N60" s="7">
        <f t="shared" si="27"/>
        <v>-73.311294117647066</v>
      </c>
      <c r="O60" s="11"/>
      <c r="P60" s="6">
        <v>12580.14</v>
      </c>
      <c r="Q60" s="2"/>
      <c r="R60" s="7">
        <f t="shared" si="28"/>
        <v>0</v>
      </c>
      <c r="S60" s="2"/>
      <c r="T60" s="6">
        <v>1770</v>
      </c>
      <c r="U60" s="2"/>
      <c r="V60" s="7">
        <f t="shared" si="29"/>
        <v>0</v>
      </c>
      <c r="W60" s="2"/>
      <c r="X60" s="6">
        <f t="shared" si="30"/>
        <v>10810.14</v>
      </c>
      <c r="Y60" s="2"/>
      <c r="Z60" s="7">
        <f t="shared" si="31"/>
        <v>6.1074237288135587</v>
      </c>
    </row>
    <row r="61" spans="1:26" s="26" customFormat="1" outlineLevel="1" collapsed="1" x14ac:dyDescent="0.25">
      <c r="A61" s="25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SUM(OSRRefD22_11x_0)</f>
        <v>393.67</v>
      </c>
      <c r="E61" s="1"/>
      <c r="F61" s="5">
        <f t="shared" si="24"/>
        <v>0</v>
      </c>
      <c r="G61" s="1"/>
      <c r="H61" s="1">
        <f>SUM(OSRRefH22_11x_0)</f>
        <v>380</v>
      </c>
      <c r="I61" s="1"/>
      <c r="J61" s="5">
        <f t="shared" si="25"/>
        <v>0</v>
      </c>
      <c r="K61" s="1"/>
      <c r="L61" s="1">
        <f t="shared" si="26"/>
        <v>13.670000000000016</v>
      </c>
      <c r="M61" s="1"/>
      <c r="N61" s="5">
        <f t="shared" si="27"/>
        <v>3.5973684210526359E-2</v>
      </c>
      <c r="O61" s="13"/>
      <c r="P61" s="1">
        <f>SUM(OSRRefP22_11x_0)</f>
        <v>1574.68</v>
      </c>
      <c r="Q61" s="1"/>
      <c r="R61" s="5">
        <f t="shared" si="28"/>
        <v>0</v>
      </c>
      <c r="S61" s="1"/>
      <c r="T61" s="1">
        <f>SUM(OSRRefT22_11x_0)</f>
        <v>1520</v>
      </c>
      <c r="U61" s="1"/>
      <c r="V61" s="5">
        <f t="shared" si="29"/>
        <v>0</v>
      </c>
      <c r="W61" s="1"/>
      <c r="X61" s="1">
        <f t="shared" si="30"/>
        <v>54.680000000000064</v>
      </c>
      <c r="Y61" s="1"/>
      <c r="Z61" s="5">
        <f t="shared" si="31"/>
        <v>3.5973684210526359E-2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393.67</v>
      </c>
      <c r="E62" s="2"/>
      <c r="F62" s="7">
        <f t="shared" si="24"/>
        <v>0</v>
      </c>
      <c r="G62" s="2"/>
      <c r="H62" s="6">
        <v>380</v>
      </c>
      <c r="I62" s="2"/>
      <c r="J62" s="7">
        <f t="shared" si="25"/>
        <v>0</v>
      </c>
      <c r="K62" s="2"/>
      <c r="L62" s="6">
        <f t="shared" si="26"/>
        <v>13.670000000000016</v>
      </c>
      <c r="M62" s="2"/>
      <c r="N62" s="7">
        <f t="shared" si="27"/>
        <v>3.5973684210526359E-2</v>
      </c>
      <c r="O62" s="11"/>
      <c r="P62" s="6">
        <v>1574.68</v>
      </c>
      <c r="Q62" s="2"/>
      <c r="R62" s="7">
        <f t="shared" si="28"/>
        <v>0</v>
      </c>
      <c r="S62" s="2"/>
      <c r="T62" s="6">
        <v>1520</v>
      </c>
      <c r="U62" s="2"/>
      <c r="V62" s="7">
        <f t="shared" si="29"/>
        <v>0</v>
      </c>
      <c r="W62" s="2"/>
      <c r="X62" s="6">
        <f t="shared" si="30"/>
        <v>54.680000000000064</v>
      </c>
      <c r="Y62" s="2"/>
      <c r="Z62" s="7">
        <f t="shared" si="31"/>
        <v>3.5973684210526359E-2</v>
      </c>
    </row>
    <row r="63" spans="1:26" s="26" customFormat="1" outlineLevel="1" collapsed="1" x14ac:dyDescent="0.25">
      <c r="A63" s="25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SUM(OSRRefD22_12x_0)</f>
        <v>0</v>
      </c>
      <c r="E63" s="1"/>
      <c r="F63" s="5">
        <f t="shared" si="24"/>
        <v>0</v>
      </c>
      <c r="G63" s="1"/>
      <c r="H63" s="1">
        <f>SUM(OSRRefH22_12x_0)</f>
        <v>0</v>
      </c>
      <c r="I63" s="1"/>
      <c r="J63" s="5">
        <f t="shared" si="25"/>
        <v>0</v>
      </c>
      <c r="K63" s="1"/>
      <c r="L63" s="1">
        <f t="shared" si="26"/>
        <v>0</v>
      </c>
      <c r="M63" s="1"/>
      <c r="N63" s="5">
        <f t="shared" si="27"/>
        <v>0</v>
      </c>
      <c r="O63" s="13"/>
      <c r="P63" s="1">
        <f>SUM(OSRRefP22_12x_0)</f>
        <v>0</v>
      </c>
      <c r="Q63" s="1"/>
      <c r="R63" s="5">
        <f t="shared" si="28"/>
        <v>0</v>
      </c>
      <c r="S63" s="1"/>
      <c r="T63" s="1">
        <f>SUM(OSRRefT22_12x_0)</f>
        <v>0</v>
      </c>
      <c r="U63" s="1"/>
      <c r="V63" s="5">
        <f t="shared" si="29"/>
        <v>0</v>
      </c>
      <c r="W63" s="1"/>
      <c r="X63" s="1">
        <f t="shared" si="30"/>
        <v>0</v>
      </c>
      <c r="Y63" s="1"/>
      <c r="Z63" s="5">
        <f t="shared" si="31"/>
        <v>0</v>
      </c>
    </row>
    <row r="64" spans="1:26" s="24" customFormat="1" hidden="1" outlineLevel="2" x14ac:dyDescent="0.25">
      <c r="A64" s="27"/>
      <c r="B64" s="11" t="str">
        <f>CONCATENATE("          ", "6401", " - ", "INTEREST EXPENSE")</f>
        <v xml:space="preserve">          6401 - INTEREST EXPENSE</v>
      </c>
      <c r="C64" s="11"/>
      <c r="D64" s="6"/>
      <c r="E64" s="2"/>
      <c r="F64" s="7">
        <f t="shared" si="24"/>
        <v>0</v>
      </c>
      <c r="G64" s="2"/>
      <c r="H64" s="6">
        <v>0</v>
      </c>
      <c r="I64" s="2"/>
      <c r="J64" s="7">
        <f t="shared" si="25"/>
        <v>0</v>
      </c>
      <c r="K64" s="2"/>
      <c r="L64" s="6">
        <f t="shared" si="26"/>
        <v>0</v>
      </c>
      <c r="M64" s="2"/>
      <c r="N64" s="7">
        <f t="shared" si="27"/>
        <v>0</v>
      </c>
      <c r="O64" s="11"/>
      <c r="P64" s="6"/>
      <c r="Q64" s="2"/>
      <c r="R64" s="7">
        <f t="shared" si="28"/>
        <v>0</v>
      </c>
      <c r="S64" s="2"/>
      <c r="T64" s="6">
        <v>0</v>
      </c>
      <c r="U64" s="2"/>
      <c r="V64" s="7">
        <f t="shared" si="29"/>
        <v>0</v>
      </c>
      <c r="W64" s="2"/>
      <c r="X64" s="6">
        <f t="shared" si="30"/>
        <v>0</v>
      </c>
      <c r="Y64" s="2"/>
      <c r="Z64" s="7">
        <f t="shared" si="31"/>
        <v>0</v>
      </c>
    </row>
    <row r="65" spans="1:26" s="24" customFormat="1" hidden="1" outlineLevel="2" x14ac:dyDescent="0.25">
      <c r="A65" s="27"/>
      <c r="B65" s="11" t="str">
        <f>CONCATENATE("          ", "6402", " - ", "INTEREST EXPENSE BOND ISSUANCE")</f>
        <v xml:space="preserve">          6402 - INTEREST EXPENSE BOND ISSUANCE</v>
      </c>
      <c r="C65" s="11"/>
      <c r="D65" s="6"/>
      <c r="E65" s="2"/>
      <c r="F65" s="7">
        <f t="shared" si="24"/>
        <v>0</v>
      </c>
      <c r="G65" s="2"/>
      <c r="H65" s="6">
        <v>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/>
      <c r="Q65" s="2"/>
      <c r="R65" s="7">
        <f t="shared" si="28"/>
        <v>0</v>
      </c>
      <c r="S65" s="2"/>
      <c r="T65" s="6">
        <v>0</v>
      </c>
      <c r="U65" s="2"/>
      <c r="V65" s="7">
        <f t="shared" si="29"/>
        <v>0</v>
      </c>
      <c r="W65" s="2"/>
      <c r="X65" s="6">
        <f t="shared" si="30"/>
        <v>0</v>
      </c>
      <c r="Y65" s="2"/>
      <c r="Z65" s="7">
        <f t="shared" si="31"/>
        <v>0</v>
      </c>
    </row>
    <row r="66" spans="1:26" s="24" customFormat="1" hidden="1" outlineLevel="2" x14ac:dyDescent="0.25">
      <c r="A66" s="27"/>
      <c r="B66" s="11" t="str">
        <f>CONCATENATE("          ", "6403", " - ", "INTEREST EXPENSE LEASE EQUIP")</f>
        <v xml:space="preserve">          6403 - INTEREST EXPENSE LEASE EQUIP</v>
      </c>
      <c r="C66" s="11"/>
      <c r="D66" s="6"/>
      <c r="E66" s="2"/>
      <c r="F66" s="7">
        <f t="shared" si="24"/>
        <v>0</v>
      </c>
      <c r="G66" s="2"/>
      <c r="H66" s="6">
        <v>0</v>
      </c>
      <c r="I66" s="2"/>
      <c r="J66" s="7">
        <f t="shared" si="25"/>
        <v>0</v>
      </c>
      <c r="K66" s="2"/>
      <c r="L66" s="6">
        <f t="shared" si="26"/>
        <v>0</v>
      </c>
      <c r="M66" s="2"/>
      <c r="N66" s="7">
        <f t="shared" si="27"/>
        <v>0</v>
      </c>
      <c r="O66" s="11"/>
      <c r="P66" s="6"/>
      <c r="Q66" s="2"/>
      <c r="R66" s="7">
        <f t="shared" si="28"/>
        <v>0</v>
      </c>
      <c r="S66" s="2"/>
      <c r="T66" s="6">
        <v>0</v>
      </c>
      <c r="U66" s="2"/>
      <c r="V66" s="7">
        <f t="shared" si="29"/>
        <v>0</v>
      </c>
      <c r="W66" s="2"/>
      <c r="X66" s="6">
        <f t="shared" si="30"/>
        <v>0</v>
      </c>
      <c r="Y66" s="2"/>
      <c r="Z66" s="7">
        <f t="shared" si="31"/>
        <v>0</v>
      </c>
    </row>
    <row r="67" spans="1:26" s="26" customFormat="1" outlineLevel="1" collapsed="1" x14ac:dyDescent="0.25">
      <c r="A67" s="25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SUM(OSRRefD22_13x_0)</f>
        <v>53550</v>
      </c>
      <c r="E67" s="1"/>
      <c r="F67" s="5">
        <f t="shared" ref="F67:F71" si="32">IF(D$12=0,0,D67/D$12)</f>
        <v>0</v>
      </c>
      <c r="G67" s="1"/>
      <c r="H67" s="1">
        <f>SUM(OSRRefH22_13x_0)</f>
        <v>45933</v>
      </c>
      <c r="I67" s="1"/>
      <c r="J67" s="5">
        <f t="shared" ref="J67:J71" si="33">IF(H$12=0,0,H67/H$12)</f>
        <v>0</v>
      </c>
      <c r="K67" s="1"/>
      <c r="L67" s="1">
        <f t="shared" ref="L67:L71" si="34">+D67-H67</f>
        <v>7617</v>
      </c>
      <c r="M67" s="1"/>
      <c r="N67" s="5">
        <f t="shared" ref="N67:N71" si="35">IF(H67=0,0,L67/H67)</f>
        <v>0.1658284893214029</v>
      </c>
      <c r="O67" s="13"/>
      <c r="P67" s="1">
        <f>SUM(OSRRefP22_13x_0)</f>
        <v>124610.91999999998</v>
      </c>
      <c r="Q67" s="1"/>
      <c r="R67" s="5">
        <f t="shared" ref="R67:R71" si="36">IF(P$12=0,0,P67/P$12)</f>
        <v>0</v>
      </c>
      <c r="S67" s="1"/>
      <c r="T67" s="1">
        <f>SUM(OSRRefT22_13x_0)</f>
        <v>93732</v>
      </c>
      <c r="U67" s="1"/>
      <c r="V67" s="5">
        <f t="shared" ref="V67:V71" si="37">IF(T$12=0,0,T67/T$12)</f>
        <v>0</v>
      </c>
      <c r="W67" s="1"/>
      <c r="X67" s="1">
        <f t="shared" ref="X67:X71" si="38">+P67-T67</f>
        <v>30878.919999999984</v>
      </c>
      <c r="Y67" s="1"/>
      <c r="Z67" s="5">
        <f t="shared" ref="Z67:Z71" si="39">IF(T67=0,0,X67/T67)</f>
        <v>0.32943839883924364</v>
      </c>
    </row>
    <row r="68" spans="1:26" s="24" customFormat="1" hidden="1" outlineLevel="2" x14ac:dyDescent="0.25">
      <c r="A68" s="27"/>
      <c r="B68" s="11" t="str">
        <f>CONCATENATE("          ", "6331", " - ", "INDIRECT COSTS-AUXILIARY ORGAN")</f>
        <v xml:space="preserve">          6331 - INDIRECT COSTS-AUXILIARY ORGAN</v>
      </c>
      <c r="C68" s="11"/>
      <c r="D68" s="6">
        <v>26712</v>
      </c>
      <c r="E68" s="2"/>
      <c r="F68" s="7">
        <f t="shared" si="32"/>
        <v>0</v>
      </c>
      <c r="G68" s="2"/>
      <c r="H68" s="6">
        <v>32500</v>
      </c>
      <c r="I68" s="2"/>
      <c r="J68" s="7">
        <f t="shared" si="33"/>
        <v>0</v>
      </c>
      <c r="K68" s="2"/>
      <c r="L68" s="6">
        <f t="shared" si="34"/>
        <v>-5788</v>
      </c>
      <c r="M68" s="2"/>
      <c r="N68" s="7">
        <f t="shared" si="35"/>
        <v>-0.17809230769230769</v>
      </c>
      <c r="O68" s="11"/>
      <c r="P68" s="6">
        <v>50199</v>
      </c>
      <c r="Q68" s="2"/>
      <c r="R68" s="7">
        <f t="shared" si="36"/>
        <v>0</v>
      </c>
      <c r="S68" s="2"/>
      <c r="T68" s="6">
        <v>45000</v>
      </c>
      <c r="U68" s="2"/>
      <c r="V68" s="7">
        <f t="shared" si="37"/>
        <v>0</v>
      </c>
      <c r="W68" s="2"/>
      <c r="X68" s="6">
        <f t="shared" si="38"/>
        <v>5199</v>
      </c>
      <c r="Y68" s="2"/>
      <c r="Z68" s="7">
        <f t="shared" si="39"/>
        <v>0.11553333333333334</v>
      </c>
    </row>
    <row r="69" spans="1:26" s="24" customFormat="1" hidden="1" outlineLevel="2" x14ac:dyDescent="0.25">
      <c r="A69" s="27"/>
      <c r="B69" s="11" t="str">
        <f>CONCATENATE("          ", "6332", " - ", "CONSULTANT FEES")</f>
        <v xml:space="preserve">          6332 - CONSULTANT FEES</v>
      </c>
      <c r="C69" s="11"/>
      <c r="D69" s="6"/>
      <c r="E69" s="2"/>
      <c r="F69" s="7">
        <f t="shared" si="32"/>
        <v>0</v>
      </c>
      <c r="G69" s="2"/>
      <c r="H69" s="6">
        <v>600</v>
      </c>
      <c r="I69" s="2"/>
      <c r="J69" s="7">
        <f t="shared" si="33"/>
        <v>0</v>
      </c>
      <c r="K69" s="2"/>
      <c r="L69" s="6">
        <f t="shared" si="34"/>
        <v>-600</v>
      </c>
      <c r="M69" s="2"/>
      <c r="N69" s="7">
        <f t="shared" si="35"/>
        <v>-1</v>
      </c>
      <c r="O69" s="11"/>
      <c r="P69" s="6">
        <v>15144.74</v>
      </c>
      <c r="Q69" s="2"/>
      <c r="R69" s="7">
        <f t="shared" si="36"/>
        <v>0</v>
      </c>
      <c r="S69" s="2"/>
      <c r="T69" s="6">
        <v>2400</v>
      </c>
      <c r="U69" s="2"/>
      <c r="V69" s="7">
        <f t="shared" si="37"/>
        <v>0</v>
      </c>
      <c r="W69" s="2"/>
      <c r="X69" s="6">
        <f t="shared" si="38"/>
        <v>12744.74</v>
      </c>
      <c r="Y69" s="2"/>
      <c r="Z69" s="7">
        <f t="shared" si="39"/>
        <v>5.3103083333333334</v>
      </c>
    </row>
    <row r="70" spans="1:26" s="24" customFormat="1" hidden="1" outlineLevel="2" x14ac:dyDescent="0.25">
      <c r="A70" s="27"/>
      <c r="B70" s="11" t="str">
        <f>CONCATENATE("          ", "6334", " - ", "LEGAL COUNCIL EXPENSE")</f>
        <v xml:space="preserve">          6334 - LEGAL COUNCIL EXPENSE</v>
      </c>
      <c r="C70" s="11"/>
      <c r="D70" s="6">
        <v>19285</v>
      </c>
      <c r="E70" s="2"/>
      <c r="F70" s="7">
        <f t="shared" si="32"/>
        <v>0</v>
      </c>
      <c r="G70" s="2"/>
      <c r="H70" s="6">
        <v>833</v>
      </c>
      <c r="I70" s="2"/>
      <c r="J70" s="7">
        <f t="shared" si="33"/>
        <v>0</v>
      </c>
      <c r="K70" s="2"/>
      <c r="L70" s="6">
        <f t="shared" si="34"/>
        <v>18452</v>
      </c>
      <c r="M70" s="2"/>
      <c r="N70" s="7">
        <f t="shared" si="35"/>
        <v>22.15126050420168</v>
      </c>
      <c r="O70" s="11"/>
      <c r="P70" s="6">
        <v>37885</v>
      </c>
      <c r="Q70" s="2"/>
      <c r="R70" s="7">
        <f t="shared" si="36"/>
        <v>0</v>
      </c>
      <c r="S70" s="2"/>
      <c r="T70" s="6">
        <v>4832</v>
      </c>
      <c r="U70" s="2"/>
      <c r="V70" s="7">
        <f t="shared" si="37"/>
        <v>0</v>
      </c>
      <c r="W70" s="2"/>
      <c r="X70" s="6">
        <f t="shared" si="38"/>
        <v>33053</v>
      </c>
      <c r="Y70" s="2"/>
      <c r="Z70" s="7">
        <f t="shared" si="39"/>
        <v>6.8404387417218544</v>
      </c>
    </row>
    <row r="71" spans="1:26" s="24" customFormat="1" hidden="1" outlineLevel="2" x14ac:dyDescent="0.25">
      <c r="A71" s="27"/>
      <c r="B71" s="11" t="str">
        <f>CONCATENATE("          ", "6336", " - ", "PROFESSIONAL SERVICES")</f>
        <v xml:space="preserve">          6336 - PROFESSIONAL SERVICES</v>
      </c>
      <c r="C71" s="11"/>
      <c r="D71" s="6">
        <v>7553</v>
      </c>
      <c r="E71" s="2"/>
      <c r="F71" s="7">
        <f t="shared" si="32"/>
        <v>0</v>
      </c>
      <c r="G71" s="2"/>
      <c r="H71" s="6">
        <v>12000</v>
      </c>
      <c r="I71" s="2"/>
      <c r="J71" s="7">
        <f t="shared" si="33"/>
        <v>0</v>
      </c>
      <c r="K71" s="2"/>
      <c r="L71" s="6">
        <f t="shared" si="34"/>
        <v>-4447</v>
      </c>
      <c r="M71" s="2"/>
      <c r="N71" s="7">
        <f t="shared" si="35"/>
        <v>-0.37058333333333332</v>
      </c>
      <c r="O71" s="11"/>
      <c r="P71" s="6">
        <v>21382.18</v>
      </c>
      <c r="Q71" s="2"/>
      <c r="R71" s="7">
        <f t="shared" si="36"/>
        <v>0</v>
      </c>
      <c r="S71" s="2"/>
      <c r="T71" s="6">
        <v>41500</v>
      </c>
      <c r="U71" s="2"/>
      <c r="V71" s="7">
        <f t="shared" si="37"/>
        <v>0</v>
      </c>
      <c r="W71" s="2"/>
      <c r="X71" s="6">
        <f t="shared" si="38"/>
        <v>-20117.82</v>
      </c>
      <c r="Y71" s="2"/>
      <c r="Z71" s="7">
        <f t="shared" si="39"/>
        <v>-0.4847667469879518</v>
      </c>
    </row>
    <row r="72" spans="1:26" s="26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28015.309999999998</v>
      </c>
      <c r="E72" s="1"/>
      <c r="F72" s="5">
        <f t="shared" ref="F72:F76" si="40">IF(D$12=0,0,D72/D$12)</f>
        <v>0</v>
      </c>
      <c r="G72" s="1"/>
      <c r="H72" s="1">
        <f>SUM(OSRRefH22_14x_0)</f>
        <v>30415</v>
      </c>
      <c r="I72" s="1"/>
      <c r="J72" s="5">
        <f t="shared" ref="J72:J76" si="41">IF(H$12=0,0,H72/H$12)</f>
        <v>0</v>
      </c>
      <c r="K72" s="1"/>
      <c r="L72" s="1">
        <f t="shared" ref="L72:L76" si="42">+D72-H72</f>
        <v>-2399.6900000000023</v>
      </c>
      <c r="M72" s="1"/>
      <c r="N72" s="5">
        <f t="shared" ref="N72:N76" si="43">IF(H72=0,0,L72/H72)</f>
        <v>-7.8898240999506902E-2</v>
      </c>
      <c r="O72" s="13"/>
      <c r="P72" s="1">
        <f>SUM(OSRRefP22_14x_0)</f>
        <v>102699.33</v>
      </c>
      <c r="Q72" s="1"/>
      <c r="R72" s="5">
        <f t="shared" ref="R72:R76" si="44">IF(P$12=0,0,P72/P$12)</f>
        <v>0</v>
      </c>
      <c r="S72" s="1"/>
      <c r="T72" s="1">
        <f>SUM(OSRRefT22_14x_0)</f>
        <v>98640</v>
      </c>
      <c r="U72" s="1"/>
      <c r="V72" s="5">
        <f t="shared" ref="V72:V76" si="45">IF(T$12=0,0,T72/T$12)</f>
        <v>0</v>
      </c>
      <c r="W72" s="1"/>
      <c r="X72" s="1">
        <f t="shared" ref="X72:X76" si="46">+P72-T72</f>
        <v>4059.3300000000017</v>
      </c>
      <c r="Y72" s="1"/>
      <c r="Z72" s="5">
        <f t="shared" ref="Z72:Z76" si="47">IF(T72=0,0,X72/T72)</f>
        <v>4.1152980535279826E-2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13398.08</v>
      </c>
      <c r="E73" s="2"/>
      <c r="F73" s="7">
        <f t="shared" si="40"/>
        <v>0</v>
      </c>
      <c r="G73" s="2"/>
      <c r="H73" s="6">
        <v>13820</v>
      </c>
      <c r="I73" s="2"/>
      <c r="J73" s="7">
        <f t="shared" si="41"/>
        <v>0</v>
      </c>
      <c r="K73" s="2"/>
      <c r="L73" s="6">
        <f t="shared" si="42"/>
        <v>-421.92000000000007</v>
      </c>
      <c r="M73" s="2"/>
      <c r="N73" s="7">
        <f t="shared" si="43"/>
        <v>-3.0529667149059341E-2</v>
      </c>
      <c r="O73" s="11"/>
      <c r="P73" s="6">
        <v>44903.19</v>
      </c>
      <c r="Q73" s="2"/>
      <c r="R73" s="7">
        <f t="shared" si="44"/>
        <v>0</v>
      </c>
      <c r="S73" s="2"/>
      <c r="T73" s="6">
        <v>42860</v>
      </c>
      <c r="U73" s="2"/>
      <c r="V73" s="7">
        <f t="shared" si="45"/>
        <v>0</v>
      </c>
      <c r="W73" s="2"/>
      <c r="X73" s="6">
        <f t="shared" si="46"/>
        <v>2043.1900000000023</v>
      </c>
      <c r="Y73" s="2"/>
      <c r="Z73" s="7">
        <f t="shared" si="47"/>
        <v>4.7671255249650081E-2</v>
      </c>
    </row>
    <row r="74" spans="1:26" s="24" customFormat="1" hidden="1" outlineLevel="2" x14ac:dyDescent="0.25">
      <c r="A74" s="27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0"/>
        <v>0</v>
      </c>
      <c r="G74" s="2"/>
      <c r="H74" s="6">
        <v>500</v>
      </c>
      <c r="I74" s="2"/>
      <c r="J74" s="7">
        <f t="shared" si="41"/>
        <v>0</v>
      </c>
      <c r="K74" s="2"/>
      <c r="L74" s="6">
        <f t="shared" si="42"/>
        <v>-500</v>
      </c>
      <c r="M74" s="2"/>
      <c r="N74" s="7">
        <f t="shared" si="43"/>
        <v>-1</v>
      </c>
      <c r="O74" s="11"/>
      <c r="P74" s="6"/>
      <c r="Q74" s="2"/>
      <c r="R74" s="7">
        <f t="shared" si="44"/>
        <v>0</v>
      </c>
      <c r="S74" s="2"/>
      <c r="T74" s="6">
        <v>3000</v>
      </c>
      <c r="U74" s="2"/>
      <c r="V74" s="7">
        <f t="shared" si="45"/>
        <v>0</v>
      </c>
      <c r="W74" s="2"/>
      <c r="X74" s="6">
        <f t="shared" si="46"/>
        <v>-3000</v>
      </c>
      <c r="Y74" s="2"/>
      <c r="Z74" s="7">
        <f t="shared" si="47"/>
        <v>-1</v>
      </c>
    </row>
    <row r="75" spans="1:26" s="24" customFormat="1" hidden="1" outlineLevel="2" x14ac:dyDescent="0.25">
      <c r="A75" s="27"/>
      <c r="B75" s="11" t="str">
        <f>CONCATENATE("          ", "6373", " - ", "MAINTENANCE CONTRACTS")</f>
        <v xml:space="preserve">          6373 - MAINTENANCE CONTRACTS</v>
      </c>
      <c r="C75" s="11"/>
      <c r="D75" s="6">
        <v>13500.7</v>
      </c>
      <c r="E75" s="2"/>
      <c r="F75" s="7">
        <f t="shared" si="40"/>
        <v>0</v>
      </c>
      <c r="G75" s="2"/>
      <c r="H75" s="6">
        <v>16095</v>
      </c>
      <c r="I75" s="2"/>
      <c r="J75" s="7">
        <f t="shared" si="41"/>
        <v>0</v>
      </c>
      <c r="K75" s="2"/>
      <c r="L75" s="6">
        <f t="shared" si="42"/>
        <v>-2594.2999999999993</v>
      </c>
      <c r="M75" s="2"/>
      <c r="N75" s="7">
        <f t="shared" si="43"/>
        <v>-0.16118670394532458</v>
      </c>
      <c r="O75" s="11"/>
      <c r="P75" s="6">
        <v>56506.5</v>
      </c>
      <c r="Q75" s="2"/>
      <c r="R75" s="7">
        <f t="shared" si="44"/>
        <v>0</v>
      </c>
      <c r="S75" s="2"/>
      <c r="T75" s="6">
        <v>52780</v>
      </c>
      <c r="U75" s="2"/>
      <c r="V75" s="7">
        <f t="shared" si="45"/>
        <v>0</v>
      </c>
      <c r="W75" s="2"/>
      <c r="X75" s="6">
        <f t="shared" si="46"/>
        <v>3726.5</v>
      </c>
      <c r="Y75" s="2"/>
      <c r="Z75" s="7">
        <f t="shared" si="47"/>
        <v>7.0604395604395603E-2</v>
      </c>
    </row>
    <row r="76" spans="1:26" s="24" customFormat="1" hidden="1" outlineLevel="2" x14ac:dyDescent="0.25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1116.53</v>
      </c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1116.53</v>
      </c>
      <c r="M76" s="2"/>
      <c r="N76" s="7">
        <f t="shared" si="43"/>
        <v>0</v>
      </c>
      <c r="O76" s="11"/>
      <c r="P76" s="6">
        <v>1289.6400000000001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1289.6400000000001</v>
      </c>
      <c r="Y76" s="2"/>
      <c r="Z76" s="7">
        <f t="shared" si="47"/>
        <v>0</v>
      </c>
    </row>
    <row r="77" spans="1:26" s="26" customFormat="1" outlineLevel="1" collapsed="1" x14ac:dyDescent="0.25">
      <c r="A77" s="25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SUM(OSRRefD22_15x_0)</f>
        <v>3467.0200000000004</v>
      </c>
      <c r="E77" s="1"/>
      <c r="F77" s="5">
        <f t="shared" ref="F77:F79" si="48">IF(D$12=0,0,D77/D$12)</f>
        <v>0</v>
      </c>
      <c r="G77" s="1"/>
      <c r="H77" s="1">
        <f>SUM(OSRRefH22_15x_0)</f>
        <v>610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2857.0200000000004</v>
      </c>
      <c r="M77" s="1"/>
      <c r="N77" s="5">
        <f t="shared" ref="N77:N79" si="51">IF(H77=0,0,L77/H77)</f>
        <v>4.6836393442622954</v>
      </c>
      <c r="O77" s="13"/>
      <c r="P77" s="1">
        <f>SUM(OSRRefP22_15x_0)</f>
        <v>7206.8499999999995</v>
      </c>
      <c r="Q77" s="1"/>
      <c r="R77" s="5">
        <f t="shared" ref="R77:R79" si="52">IF(P$12=0,0,P77/P$12)</f>
        <v>0</v>
      </c>
      <c r="S77" s="1"/>
      <c r="T77" s="1">
        <f>SUM(OSRRefT22_15x_0)</f>
        <v>2440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4766.8499999999995</v>
      </c>
      <c r="Y77" s="1"/>
      <c r="Z77" s="5">
        <f t="shared" ref="Z77:Z79" si="55">IF(T77=0,0,X77/T77)</f>
        <v>1.9536270491803276</v>
      </c>
    </row>
    <row r="78" spans="1:26" s="24" customFormat="1" hidden="1" outlineLevel="2" x14ac:dyDescent="0.25">
      <c r="A78" s="27"/>
      <c r="B78" s="11" t="str">
        <f>CONCATENATE("          ", "6281", " - ", "STORAGE FEE")</f>
        <v xml:space="preserve">          6281 - STORAGE FEE</v>
      </c>
      <c r="C78" s="11"/>
      <c r="D78" s="6">
        <v>3453.76</v>
      </c>
      <c r="E78" s="2"/>
      <c r="F78" s="7">
        <f t="shared" si="48"/>
        <v>0</v>
      </c>
      <c r="G78" s="2"/>
      <c r="H78" s="6">
        <v>600</v>
      </c>
      <c r="I78" s="2"/>
      <c r="J78" s="7">
        <f t="shared" si="49"/>
        <v>0</v>
      </c>
      <c r="K78" s="2"/>
      <c r="L78" s="6">
        <f t="shared" si="50"/>
        <v>2853.76</v>
      </c>
      <c r="M78" s="2"/>
      <c r="N78" s="7">
        <f t="shared" si="51"/>
        <v>4.7562666666666669</v>
      </c>
      <c r="O78" s="11"/>
      <c r="P78" s="6">
        <v>7167.07</v>
      </c>
      <c r="Q78" s="2"/>
      <c r="R78" s="7">
        <f t="shared" si="52"/>
        <v>0</v>
      </c>
      <c r="S78" s="2"/>
      <c r="T78" s="6">
        <v>2400</v>
      </c>
      <c r="U78" s="2"/>
      <c r="V78" s="7">
        <f t="shared" si="53"/>
        <v>0</v>
      </c>
      <c r="W78" s="2"/>
      <c r="X78" s="6">
        <f t="shared" si="54"/>
        <v>4767.07</v>
      </c>
      <c r="Y78" s="2"/>
      <c r="Z78" s="7">
        <f t="shared" si="55"/>
        <v>1.9862791666666666</v>
      </c>
    </row>
    <row r="79" spans="1:26" s="24" customFormat="1" hidden="1" outlineLevel="2" x14ac:dyDescent="0.25">
      <c r="A79" s="27"/>
      <c r="B79" s="11" t="str">
        <f>CONCATENATE("          ", "6286", " - ", "LAUNDRY EXPENSE")</f>
        <v xml:space="preserve">          6286 - LAUNDRY EXPENSE</v>
      </c>
      <c r="C79" s="11"/>
      <c r="D79" s="6">
        <v>13.26</v>
      </c>
      <c r="E79" s="2"/>
      <c r="F79" s="7">
        <f t="shared" si="48"/>
        <v>0</v>
      </c>
      <c r="G79" s="2"/>
      <c r="H79" s="6">
        <v>10</v>
      </c>
      <c r="I79" s="2"/>
      <c r="J79" s="7">
        <f t="shared" si="49"/>
        <v>0</v>
      </c>
      <c r="K79" s="2"/>
      <c r="L79" s="6">
        <f t="shared" si="50"/>
        <v>3.26</v>
      </c>
      <c r="M79" s="2"/>
      <c r="N79" s="7">
        <f t="shared" si="51"/>
        <v>0.32599999999999996</v>
      </c>
      <c r="O79" s="11"/>
      <c r="P79" s="6">
        <v>39.78</v>
      </c>
      <c r="Q79" s="2"/>
      <c r="R79" s="7">
        <f t="shared" si="52"/>
        <v>0</v>
      </c>
      <c r="S79" s="2"/>
      <c r="T79" s="6">
        <v>40</v>
      </c>
      <c r="U79" s="2"/>
      <c r="V79" s="7">
        <f t="shared" si="53"/>
        <v>0</v>
      </c>
      <c r="W79" s="2"/>
      <c r="X79" s="6">
        <f t="shared" si="54"/>
        <v>-0.21999999999999886</v>
      </c>
      <c r="Y79" s="2"/>
      <c r="Z79" s="7">
        <f t="shared" si="55"/>
        <v>-5.4999999999999719E-3</v>
      </c>
    </row>
    <row r="80" spans="1:26" s="26" customFormat="1" outlineLevel="1" collapsed="1" x14ac:dyDescent="0.25">
      <c r="A80" s="25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SUM(OSRRefD22_16x_0)</f>
        <v>0</v>
      </c>
      <c r="E80" s="1"/>
      <c r="F80" s="5">
        <f t="shared" ref="F80:F82" si="56">IF(D$12=0,0,D80/D$12)</f>
        <v>0</v>
      </c>
      <c r="G80" s="1"/>
      <c r="H80" s="1">
        <f>SUM(OSRRefH22_16x_0)</f>
        <v>100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-100</v>
      </c>
      <c r="M80" s="1"/>
      <c r="N80" s="5">
        <f t="shared" ref="N80:N82" si="59">IF(H80=0,0,L80/H80)</f>
        <v>-1</v>
      </c>
      <c r="O80" s="13"/>
      <c r="P80" s="1">
        <f>SUM(OSRRefP22_16x_0)</f>
        <v>1626</v>
      </c>
      <c r="Q80" s="1"/>
      <c r="R80" s="5">
        <f t="shared" ref="R80:R82" si="60">IF(P$12=0,0,P80/P$12)</f>
        <v>0</v>
      </c>
      <c r="S80" s="1"/>
      <c r="T80" s="1">
        <f>SUM(OSRRefT22_16x_0)</f>
        <v>2257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-631</v>
      </c>
      <c r="Y80" s="1"/>
      <c r="Z80" s="5">
        <f t="shared" ref="Z80:Z82" si="63">IF(T80=0,0,X80/T80)</f>
        <v>-0.27957465662383696</v>
      </c>
    </row>
    <row r="81" spans="1:26" s="24" customFormat="1" hidden="1" outlineLevel="2" x14ac:dyDescent="0.25">
      <c r="A81" s="27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0</v>
      </c>
      <c r="M81" s="2"/>
      <c r="N81" s="7">
        <f t="shared" si="59"/>
        <v>0</v>
      </c>
      <c r="O81" s="11"/>
      <c r="P81" s="6">
        <v>1626</v>
      </c>
      <c r="Q81" s="2"/>
      <c r="R81" s="7">
        <f t="shared" si="60"/>
        <v>0</v>
      </c>
      <c r="S81" s="2"/>
      <c r="T81" s="6">
        <v>1857</v>
      </c>
      <c r="U81" s="2"/>
      <c r="V81" s="7">
        <f t="shared" si="61"/>
        <v>0</v>
      </c>
      <c r="W81" s="2"/>
      <c r="X81" s="6">
        <f t="shared" si="62"/>
        <v>-231</v>
      </c>
      <c r="Y81" s="2"/>
      <c r="Z81" s="7">
        <f t="shared" si="63"/>
        <v>-0.12439418416801293</v>
      </c>
    </row>
    <row r="82" spans="1:26" s="24" customFormat="1" hidden="1" outlineLevel="2" x14ac:dyDescent="0.25">
      <c r="A82" s="27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56"/>
        <v>0</v>
      </c>
      <c r="G82" s="2"/>
      <c r="H82" s="6">
        <v>100</v>
      </c>
      <c r="I82" s="2"/>
      <c r="J82" s="7">
        <f t="shared" si="57"/>
        <v>0</v>
      </c>
      <c r="K82" s="2"/>
      <c r="L82" s="6">
        <f t="shared" si="58"/>
        <v>-100</v>
      </c>
      <c r="M82" s="2"/>
      <c r="N82" s="7">
        <f t="shared" si="59"/>
        <v>-1</v>
      </c>
      <c r="O82" s="11"/>
      <c r="P82" s="6"/>
      <c r="Q82" s="2"/>
      <c r="R82" s="7">
        <f t="shared" si="60"/>
        <v>0</v>
      </c>
      <c r="S82" s="2"/>
      <c r="T82" s="6">
        <v>400</v>
      </c>
      <c r="U82" s="2"/>
      <c r="V82" s="7">
        <f t="shared" si="61"/>
        <v>0</v>
      </c>
      <c r="W82" s="2"/>
      <c r="X82" s="6">
        <f t="shared" si="62"/>
        <v>-400</v>
      </c>
      <c r="Y82" s="2"/>
      <c r="Z82" s="7">
        <f t="shared" si="63"/>
        <v>-1</v>
      </c>
    </row>
    <row r="83" spans="1:26" s="26" customFormat="1" outlineLevel="1" collapsed="1" x14ac:dyDescent="0.25">
      <c r="A83" s="25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SUM(OSRRefD22_17x_0)</f>
        <v>7765.2800000000007</v>
      </c>
      <c r="E83" s="1"/>
      <c r="F83" s="5">
        <f t="shared" ref="F83:F87" si="64">IF(D$12=0,0,D83/D$12)</f>
        <v>0</v>
      </c>
      <c r="G83" s="1"/>
      <c r="H83" s="1">
        <f>SUM(OSRRefH22_17x_0)</f>
        <v>4302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3463.2800000000007</v>
      </c>
      <c r="M83" s="1"/>
      <c r="N83" s="5">
        <f t="shared" ref="N83:N87" si="67">IF(H83=0,0,L83/H83)</f>
        <v>0.80503951650395178</v>
      </c>
      <c r="O83" s="13"/>
      <c r="P83" s="1">
        <f>SUM(OSRRefP22_17x_0)</f>
        <v>35889.479999999996</v>
      </c>
      <c r="Q83" s="1"/>
      <c r="R83" s="5">
        <f t="shared" ref="R83:R87" si="68">IF(P$12=0,0,P83/P$12)</f>
        <v>0</v>
      </c>
      <c r="S83" s="1"/>
      <c r="T83" s="1">
        <f>SUM(OSRRefT22_17x_0)</f>
        <v>20858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15031.479999999996</v>
      </c>
      <c r="Y83" s="1"/>
      <c r="Z83" s="5">
        <f t="shared" ref="Z83:Z87" si="71">IF(T83=0,0,X83/T83)</f>
        <v>0.72065778118707435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6">
        <v>133.56</v>
      </c>
      <c r="E84" s="2"/>
      <c r="F84" s="7">
        <f t="shared" si="64"/>
        <v>0</v>
      </c>
      <c r="G84" s="2"/>
      <c r="H84" s="6">
        <v>700</v>
      </c>
      <c r="I84" s="2"/>
      <c r="J84" s="7">
        <f t="shared" si="65"/>
        <v>0</v>
      </c>
      <c r="K84" s="2"/>
      <c r="L84" s="6">
        <f t="shared" si="66"/>
        <v>-566.44000000000005</v>
      </c>
      <c r="M84" s="2"/>
      <c r="N84" s="7">
        <f t="shared" si="67"/>
        <v>-0.80920000000000003</v>
      </c>
      <c r="O84" s="11"/>
      <c r="P84" s="6">
        <v>910.52</v>
      </c>
      <c r="Q84" s="2"/>
      <c r="R84" s="7">
        <f t="shared" si="68"/>
        <v>0</v>
      </c>
      <c r="S84" s="2"/>
      <c r="T84" s="6">
        <v>2900</v>
      </c>
      <c r="U84" s="2"/>
      <c r="V84" s="7">
        <f t="shared" si="69"/>
        <v>0</v>
      </c>
      <c r="W84" s="2"/>
      <c r="X84" s="6">
        <f t="shared" si="70"/>
        <v>-1989.48</v>
      </c>
      <c r="Y84" s="2"/>
      <c r="Z84" s="7">
        <f t="shared" si="71"/>
        <v>-0.68602758620689652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>
        <v>7292.21</v>
      </c>
      <c r="E85" s="2"/>
      <c r="F85" s="7">
        <f t="shared" si="64"/>
        <v>0</v>
      </c>
      <c r="G85" s="2"/>
      <c r="H85" s="6">
        <v>3185</v>
      </c>
      <c r="I85" s="2"/>
      <c r="J85" s="7">
        <f t="shared" si="65"/>
        <v>0</v>
      </c>
      <c r="K85" s="2"/>
      <c r="L85" s="6">
        <f t="shared" si="66"/>
        <v>4107.21</v>
      </c>
      <c r="M85" s="2"/>
      <c r="N85" s="7">
        <f t="shared" si="67"/>
        <v>1.2895478806907379</v>
      </c>
      <c r="O85" s="11"/>
      <c r="P85" s="6">
        <v>30627.929999999997</v>
      </c>
      <c r="Q85" s="2"/>
      <c r="R85" s="7">
        <f t="shared" si="68"/>
        <v>0</v>
      </c>
      <c r="S85" s="2"/>
      <c r="T85" s="6">
        <v>16290</v>
      </c>
      <c r="U85" s="2"/>
      <c r="V85" s="7">
        <f t="shared" si="69"/>
        <v>0</v>
      </c>
      <c r="W85" s="2"/>
      <c r="X85" s="6">
        <f t="shared" si="70"/>
        <v>14337.929999999997</v>
      </c>
      <c r="Y85" s="2"/>
      <c r="Z85" s="7">
        <f t="shared" si="71"/>
        <v>0.88016758747697954</v>
      </c>
    </row>
    <row r="86" spans="1:26" s="24" customFormat="1" hidden="1" outlineLevel="2" x14ac:dyDescent="0.25">
      <c r="A86" s="27"/>
      <c r="B86" s="11" t="str">
        <f>CONCATENATE("          ", "6244", " - ", "SAFETY SUPPLY EXPENSE")</f>
        <v xml:space="preserve">          6244 - SAFETY SUPPLY EXPENSE</v>
      </c>
      <c r="C86" s="11"/>
      <c r="D86" s="6">
        <v>175</v>
      </c>
      <c r="E86" s="2"/>
      <c r="F86" s="7">
        <f t="shared" si="64"/>
        <v>0</v>
      </c>
      <c r="G86" s="2"/>
      <c r="H86" s="6">
        <v>417</v>
      </c>
      <c r="I86" s="2"/>
      <c r="J86" s="7">
        <f t="shared" si="65"/>
        <v>0</v>
      </c>
      <c r="K86" s="2"/>
      <c r="L86" s="6">
        <f t="shared" si="66"/>
        <v>-242</v>
      </c>
      <c r="M86" s="2"/>
      <c r="N86" s="7">
        <f t="shared" si="67"/>
        <v>-0.58033573141486805</v>
      </c>
      <c r="O86" s="11"/>
      <c r="P86" s="6">
        <v>1407.33</v>
      </c>
      <c r="Q86" s="2"/>
      <c r="R86" s="7">
        <f t="shared" si="68"/>
        <v>0</v>
      </c>
      <c r="S86" s="2"/>
      <c r="T86" s="6">
        <v>1668</v>
      </c>
      <c r="U86" s="2"/>
      <c r="V86" s="7">
        <f t="shared" si="69"/>
        <v>0</v>
      </c>
      <c r="W86" s="2"/>
      <c r="X86" s="6">
        <f t="shared" si="70"/>
        <v>-260.67000000000007</v>
      </c>
      <c r="Y86" s="2"/>
      <c r="Z86" s="7">
        <f t="shared" si="71"/>
        <v>-0.15627697841726623</v>
      </c>
    </row>
    <row r="87" spans="1:26" s="24" customFormat="1" hidden="1" outlineLevel="2" x14ac:dyDescent="0.25">
      <c r="A87" s="27"/>
      <c r="B87" s="11" t="str">
        <f>CONCATENATE("          ", "6245", " - ", "PRINTING")</f>
        <v xml:space="preserve">          6245 - PRINTING</v>
      </c>
      <c r="C87" s="11"/>
      <c r="D87" s="6">
        <v>164.51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164.51</v>
      </c>
      <c r="M87" s="2"/>
      <c r="N87" s="7">
        <f t="shared" si="67"/>
        <v>0</v>
      </c>
      <c r="O87" s="11"/>
      <c r="P87" s="6">
        <v>2943.7</v>
      </c>
      <c r="Q87" s="2"/>
      <c r="R87" s="7">
        <f t="shared" si="68"/>
        <v>0</v>
      </c>
      <c r="S87" s="2"/>
      <c r="T87" s="6"/>
      <c r="U87" s="2"/>
      <c r="V87" s="7">
        <f t="shared" si="69"/>
        <v>0</v>
      </c>
      <c r="W87" s="2"/>
      <c r="X87" s="6">
        <f t="shared" si="70"/>
        <v>2943.7</v>
      </c>
      <c r="Y87" s="2"/>
      <c r="Z87" s="7">
        <f t="shared" si="71"/>
        <v>0</v>
      </c>
    </row>
    <row r="88" spans="1:26" s="26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SUM(OSRRefD22_18x_0)</f>
        <v>2429.0299999999997</v>
      </c>
      <c r="E88" s="1"/>
      <c r="F88" s="5">
        <f t="shared" ref="F88:F90" si="72">IF(D$12=0,0,D88/D$12)</f>
        <v>0</v>
      </c>
      <c r="G88" s="1"/>
      <c r="H88" s="1">
        <f>SUM(OSRRefH22_18x_0)</f>
        <v>1880</v>
      </c>
      <c r="I88" s="1"/>
      <c r="J88" s="5">
        <f t="shared" ref="J88:J90" si="73">IF(H$12=0,0,H88/H$12)</f>
        <v>0</v>
      </c>
      <c r="K88" s="1"/>
      <c r="L88" s="1">
        <f t="shared" ref="L88:L90" si="74">+D88-H88</f>
        <v>549.02999999999975</v>
      </c>
      <c r="M88" s="1"/>
      <c r="N88" s="5">
        <f t="shared" ref="N88:N90" si="75">IF(H88=0,0,L88/H88)</f>
        <v>0.29203723404255305</v>
      </c>
      <c r="O88" s="13"/>
      <c r="P88" s="1">
        <f>SUM(OSRRefP22_18x_0)</f>
        <v>11706.8</v>
      </c>
      <c r="Q88" s="1"/>
      <c r="R88" s="5">
        <f t="shared" ref="R88:R90" si="76">IF(P$12=0,0,P88/P$12)</f>
        <v>0</v>
      </c>
      <c r="S88" s="1"/>
      <c r="T88" s="1">
        <f>SUM(OSRRefT22_18x_0)</f>
        <v>6920</v>
      </c>
      <c r="U88" s="1"/>
      <c r="V88" s="5">
        <f t="shared" ref="V88:V90" si="77">IF(T$12=0,0,T88/T$12)</f>
        <v>0</v>
      </c>
      <c r="W88" s="1"/>
      <c r="X88" s="1">
        <f t="shared" ref="X88:X90" si="78">+P88-T88</f>
        <v>4786.7999999999993</v>
      </c>
      <c r="Y88" s="1"/>
      <c r="Z88" s="5">
        <f t="shared" ref="Z88:Z90" si="79">IF(T88=0,0,X88/T88)</f>
        <v>0.69173410404624269</v>
      </c>
    </row>
    <row r="89" spans="1:26" s="24" customFormat="1" hidden="1" outlineLevel="2" x14ac:dyDescent="0.25">
      <c r="A89" s="27"/>
      <c r="B89" s="11" t="str">
        <f>CONCATENATE("          ", "6303", " - ", "DATA PHONE LINES")</f>
        <v xml:space="preserve">          6303 - DATA PHONE LINES</v>
      </c>
      <c r="C89" s="11"/>
      <c r="D89" s="6">
        <v>232.79</v>
      </c>
      <c r="E89" s="2"/>
      <c r="F89" s="7">
        <f t="shared" si="72"/>
        <v>0</v>
      </c>
      <c r="G89" s="2"/>
      <c r="H89" s="6">
        <v>300</v>
      </c>
      <c r="I89" s="2"/>
      <c r="J89" s="7">
        <f t="shared" si="73"/>
        <v>0</v>
      </c>
      <c r="K89" s="2"/>
      <c r="L89" s="6">
        <f t="shared" si="74"/>
        <v>-67.210000000000008</v>
      </c>
      <c r="M89" s="2"/>
      <c r="N89" s="7">
        <f t="shared" si="75"/>
        <v>-0.22403333333333336</v>
      </c>
      <c r="O89" s="11"/>
      <c r="P89" s="6">
        <v>740.41</v>
      </c>
      <c r="Q89" s="2"/>
      <c r="R89" s="7">
        <f t="shared" si="76"/>
        <v>0</v>
      </c>
      <c r="S89" s="2"/>
      <c r="T89" s="6">
        <v>900</v>
      </c>
      <c r="U89" s="2"/>
      <c r="V89" s="7">
        <f t="shared" si="77"/>
        <v>0</v>
      </c>
      <c r="W89" s="2"/>
      <c r="X89" s="6">
        <f t="shared" si="78"/>
        <v>-159.59000000000003</v>
      </c>
      <c r="Y89" s="2"/>
      <c r="Z89" s="7">
        <f t="shared" si="79"/>
        <v>-0.17732222222222227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2196.2399999999998</v>
      </c>
      <c r="E90" s="2"/>
      <c r="F90" s="7">
        <f t="shared" si="72"/>
        <v>0</v>
      </c>
      <c r="G90" s="2"/>
      <c r="H90" s="6">
        <v>1580</v>
      </c>
      <c r="I90" s="2"/>
      <c r="J90" s="7">
        <f t="shared" si="73"/>
        <v>0</v>
      </c>
      <c r="K90" s="2"/>
      <c r="L90" s="6">
        <f t="shared" si="74"/>
        <v>616.23999999999978</v>
      </c>
      <c r="M90" s="2"/>
      <c r="N90" s="7">
        <f t="shared" si="75"/>
        <v>0.39002531645569605</v>
      </c>
      <c r="O90" s="11"/>
      <c r="P90" s="6">
        <v>10966.39</v>
      </c>
      <c r="Q90" s="2"/>
      <c r="R90" s="7">
        <f t="shared" si="76"/>
        <v>0</v>
      </c>
      <c r="S90" s="2"/>
      <c r="T90" s="6">
        <v>6020</v>
      </c>
      <c r="U90" s="2"/>
      <c r="V90" s="7">
        <f t="shared" si="77"/>
        <v>0</v>
      </c>
      <c r="W90" s="2"/>
      <c r="X90" s="6">
        <f t="shared" si="78"/>
        <v>4946.3899999999994</v>
      </c>
      <c r="Y90" s="2"/>
      <c r="Z90" s="7">
        <f t="shared" si="79"/>
        <v>0.8216594684385381</v>
      </c>
    </row>
    <row r="91" spans="1:26" s="26" customFormat="1" outlineLevel="1" collapsed="1" x14ac:dyDescent="0.25">
      <c r="A91" s="25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SUM(OSRRefD22_19x_0)</f>
        <v>2086.75</v>
      </c>
      <c r="E91" s="1"/>
      <c r="F91" s="5">
        <f t="shared" ref="F91:F95" si="80">IF(D$12=0,0,D91/D$12)</f>
        <v>0</v>
      </c>
      <c r="G91" s="1"/>
      <c r="H91" s="1">
        <f>SUM(OSRRefH22_19x_0)</f>
        <v>1783</v>
      </c>
      <c r="I91" s="1"/>
      <c r="J91" s="5">
        <f t="shared" ref="J91:J95" si="81">IF(H$12=0,0,H91/H$12)</f>
        <v>0</v>
      </c>
      <c r="K91" s="1"/>
      <c r="L91" s="1">
        <f t="shared" ref="L91:L95" si="82">+D91-H91</f>
        <v>303.75</v>
      </c>
      <c r="M91" s="1"/>
      <c r="N91" s="5">
        <f t="shared" ref="N91:N95" si="83">IF(H91=0,0,L91/H91)</f>
        <v>0.17035894559730791</v>
      </c>
      <c r="O91" s="13"/>
      <c r="P91" s="1">
        <f>SUM(OSRRefP22_19x_0)</f>
        <v>7548.73</v>
      </c>
      <c r="Q91" s="1"/>
      <c r="R91" s="5">
        <f t="shared" ref="R91:R95" si="84">IF(P$12=0,0,P91/P$12)</f>
        <v>0</v>
      </c>
      <c r="S91" s="1"/>
      <c r="T91" s="1">
        <f>SUM(OSRRefT22_19x_0)</f>
        <v>14832</v>
      </c>
      <c r="U91" s="1"/>
      <c r="V91" s="5">
        <f t="shared" ref="V91:V95" si="85">IF(T$12=0,0,T91/T$12)</f>
        <v>0</v>
      </c>
      <c r="W91" s="1"/>
      <c r="X91" s="1">
        <f t="shared" ref="X91:X95" si="86">+P91-T91</f>
        <v>-7283.27</v>
      </c>
      <c r="Y91" s="1"/>
      <c r="Z91" s="5">
        <f t="shared" ref="Z91:Z95" si="87">IF(T91=0,0,X91/T91)</f>
        <v>-0.49105110571736788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6">
        <v>2086.75</v>
      </c>
      <c r="E92" s="2"/>
      <c r="F92" s="7">
        <f t="shared" si="80"/>
        <v>0</v>
      </c>
      <c r="G92" s="2"/>
      <c r="H92" s="6">
        <v>1783</v>
      </c>
      <c r="I92" s="2"/>
      <c r="J92" s="7">
        <f t="shared" si="81"/>
        <v>0</v>
      </c>
      <c r="K92" s="2"/>
      <c r="L92" s="6">
        <f t="shared" si="82"/>
        <v>303.75</v>
      </c>
      <c r="M92" s="2"/>
      <c r="N92" s="7">
        <f t="shared" si="83"/>
        <v>0.17035894559730791</v>
      </c>
      <c r="O92" s="11"/>
      <c r="P92" s="6">
        <v>7548.73</v>
      </c>
      <c r="Q92" s="2"/>
      <c r="R92" s="7">
        <f t="shared" si="84"/>
        <v>0</v>
      </c>
      <c r="S92" s="2"/>
      <c r="T92" s="6">
        <v>14832</v>
      </c>
      <c r="U92" s="2"/>
      <c r="V92" s="7">
        <f t="shared" si="85"/>
        <v>0</v>
      </c>
      <c r="W92" s="2"/>
      <c r="X92" s="6">
        <f t="shared" si="86"/>
        <v>-7283.27</v>
      </c>
      <c r="Y92" s="2"/>
      <c r="Z92" s="7">
        <f t="shared" si="87"/>
        <v>-0.49105110571736788</v>
      </c>
    </row>
    <row r="93" spans="1:26" s="26" customFormat="1" outlineLevel="1" collapsed="1" x14ac:dyDescent="0.25">
      <c r="A93" s="25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SUM(OSRRefD22_20x_0)</f>
        <v>457.06</v>
      </c>
      <c r="E93" s="1"/>
      <c r="F93" s="5">
        <f t="shared" si="80"/>
        <v>0</v>
      </c>
      <c r="G93" s="1"/>
      <c r="H93" s="1">
        <f>SUM(OSRRefH22_20x_0)</f>
        <v>6750</v>
      </c>
      <c r="I93" s="1"/>
      <c r="J93" s="5">
        <f t="shared" si="81"/>
        <v>0</v>
      </c>
      <c r="K93" s="1"/>
      <c r="L93" s="1">
        <f t="shared" si="82"/>
        <v>-6292.94</v>
      </c>
      <c r="M93" s="1"/>
      <c r="N93" s="5">
        <f t="shared" si="83"/>
        <v>-0.93228740740740734</v>
      </c>
      <c r="O93" s="13"/>
      <c r="P93" s="1">
        <f>SUM(OSRRefP22_20x_0)</f>
        <v>5627.3799999999992</v>
      </c>
      <c r="Q93" s="1"/>
      <c r="R93" s="5">
        <f t="shared" si="84"/>
        <v>0</v>
      </c>
      <c r="S93" s="1"/>
      <c r="T93" s="1">
        <f>SUM(OSRRefT22_20x_0)</f>
        <v>15750</v>
      </c>
      <c r="U93" s="1"/>
      <c r="V93" s="5">
        <f t="shared" si="85"/>
        <v>0</v>
      </c>
      <c r="W93" s="1"/>
      <c r="X93" s="1">
        <f t="shared" si="86"/>
        <v>-10122.620000000001</v>
      </c>
      <c r="Y93" s="1"/>
      <c r="Z93" s="5">
        <f t="shared" si="87"/>
        <v>-0.6427060317460318</v>
      </c>
    </row>
    <row r="94" spans="1:26" s="24" customFormat="1" hidden="1" outlineLevel="2" x14ac:dyDescent="0.25">
      <c r="A94" s="27"/>
      <c r="B94" s="11" t="str">
        <f>CONCATENATE("          ", "6292", " - ", "TRAVEL/CONFERENCE")</f>
        <v xml:space="preserve">          6292 - TRAVEL/CONFERENCE</v>
      </c>
      <c r="C94" s="11"/>
      <c r="D94" s="6">
        <v>457.06</v>
      </c>
      <c r="E94" s="2"/>
      <c r="F94" s="7">
        <f t="shared" si="80"/>
        <v>0</v>
      </c>
      <c r="G94" s="2"/>
      <c r="H94" s="6">
        <v>5500</v>
      </c>
      <c r="I94" s="2"/>
      <c r="J94" s="7">
        <f t="shared" si="81"/>
        <v>0</v>
      </c>
      <c r="K94" s="2"/>
      <c r="L94" s="6">
        <f t="shared" si="82"/>
        <v>-5042.9399999999996</v>
      </c>
      <c r="M94" s="2"/>
      <c r="N94" s="7">
        <f t="shared" si="83"/>
        <v>-0.91689818181818172</v>
      </c>
      <c r="O94" s="11"/>
      <c r="P94" s="6">
        <v>5603.48</v>
      </c>
      <c r="Q94" s="2"/>
      <c r="R94" s="7">
        <f t="shared" si="84"/>
        <v>0</v>
      </c>
      <c r="S94" s="2"/>
      <c r="T94" s="6">
        <v>14500</v>
      </c>
      <c r="U94" s="2"/>
      <c r="V94" s="7">
        <f t="shared" si="85"/>
        <v>0</v>
      </c>
      <c r="W94" s="2"/>
      <c r="X94" s="6">
        <f t="shared" si="86"/>
        <v>-8896.52</v>
      </c>
      <c r="Y94" s="2"/>
      <c r="Z94" s="7">
        <f t="shared" si="87"/>
        <v>-0.61355310344827585</v>
      </c>
    </row>
    <row r="95" spans="1:26" s="24" customFormat="1" hidden="1" outlineLevel="2" x14ac:dyDescent="0.25">
      <c r="A95" s="27"/>
      <c r="B95" s="11" t="str">
        <f>CONCATENATE("          ", "6294", " - ", "TRAVEL OPERATIONAL")</f>
        <v xml:space="preserve">          6294 - TRAVEL OPERATIONAL</v>
      </c>
      <c r="C95" s="11"/>
      <c r="D95" s="6"/>
      <c r="E95" s="2"/>
      <c r="F95" s="7">
        <f t="shared" si="80"/>
        <v>0</v>
      </c>
      <c r="G95" s="2"/>
      <c r="H95" s="6">
        <v>1250</v>
      </c>
      <c r="I95" s="2"/>
      <c r="J95" s="7">
        <f t="shared" si="81"/>
        <v>0</v>
      </c>
      <c r="K95" s="2"/>
      <c r="L95" s="6">
        <f t="shared" si="82"/>
        <v>-1250</v>
      </c>
      <c r="M95" s="2"/>
      <c r="N95" s="7">
        <f t="shared" si="83"/>
        <v>-1</v>
      </c>
      <c r="O95" s="11"/>
      <c r="P95" s="6">
        <v>23.9</v>
      </c>
      <c r="Q95" s="2"/>
      <c r="R95" s="7">
        <f t="shared" si="84"/>
        <v>0</v>
      </c>
      <c r="S95" s="2"/>
      <c r="T95" s="6">
        <v>1250</v>
      </c>
      <c r="U95" s="2"/>
      <c r="V95" s="7">
        <f t="shared" si="85"/>
        <v>0</v>
      </c>
      <c r="W95" s="2"/>
      <c r="X95" s="6">
        <f t="shared" si="86"/>
        <v>-1226.0999999999999</v>
      </c>
      <c r="Y95" s="2"/>
      <c r="Z95" s="7">
        <f t="shared" si="87"/>
        <v>-0.98087999999999997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3</v>
      </c>
      <c r="C99" s="28"/>
      <c r="D99" s="22">
        <f>+D16-D18+D97</f>
        <v>-309098.71000000008</v>
      </c>
      <c r="E99" s="14"/>
      <c r="F99" s="20">
        <f>IF(D$12=0,0,D99/D$12)</f>
        <v>0</v>
      </c>
      <c r="G99" s="14"/>
      <c r="H99" s="22">
        <f>+H16-H18+H97</f>
        <v>-401721.82694477576</v>
      </c>
      <c r="I99" s="14"/>
      <c r="J99" s="20">
        <f>IF(H$12=0,0,H99/H$12)</f>
        <v>0</v>
      </c>
      <c r="K99" s="16"/>
      <c r="L99" s="22">
        <f>+D99-H99</f>
        <v>92623.116944775684</v>
      </c>
      <c r="M99" s="16"/>
      <c r="N99" s="20">
        <f>IF(H99=0,0,L99/H99)</f>
        <v>-0.23056530846034531</v>
      </c>
      <c r="O99" s="29"/>
      <c r="P99" s="22">
        <f>+P16-P18+P97</f>
        <v>-1354656.5099999995</v>
      </c>
      <c r="Q99" s="14"/>
      <c r="R99" s="20">
        <f>IF(P$12=0,0,P99/P$12)</f>
        <v>0</v>
      </c>
      <c r="S99" s="14"/>
      <c r="T99" s="22">
        <f>+T16-T18+T97</f>
        <v>-1688773.1779173003</v>
      </c>
      <c r="U99" s="14"/>
      <c r="V99" s="20">
        <f>IF(T$12=0,0,T99/T$12)</f>
        <v>0</v>
      </c>
      <c r="W99" s="16"/>
      <c r="X99" s="22">
        <f>+P99-T99</f>
        <v>334116.66791730071</v>
      </c>
      <c r="Y99" s="16"/>
      <c r="Z99" s="20">
        <f>IF(T99=0,0,X99/T99)</f>
        <v>-0.19784579260629548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4</v>
      </c>
      <c r="C103" s="28"/>
      <c r="D103" s="31">
        <f>+D99-D101</f>
        <v>-309098.71000000008</v>
      </c>
      <c r="E103" s="14"/>
      <c r="F103" s="33">
        <f>IF(D$12=0,0,D103/D$12)</f>
        <v>0</v>
      </c>
      <c r="G103" s="14"/>
      <c r="H103" s="31">
        <f>+H99-H101</f>
        <v>-401721.82694477576</v>
      </c>
      <c r="I103" s="14"/>
      <c r="J103" s="33">
        <f>IF(H$12=0,0,H103/H$12)</f>
        <v>0</v>
      </c>
      <c r="K103" s="16"/>
      <c r="L103" s="31">
        <f>D103-H103</f>
        <v>92623.116944775684</v>
      </c>
      <c r="M103" s="16"/>
      <c r="N103" s="33">
        <f>IF(H103=0,0,L103/H103)</f>
        <v>-0.23056530846034531</v>
      </c>
      <c r="O103" s="29"/>
      <c r="P103" s="31">
        <f>+P99-P101</f>
        <v>-1354656.5099999995</v>
      </c>
      <c r="Q103" s="14"/>
      <c r="R103" s="33">
        <f>IF(P$12=0,0,P103/P$12)</f>
        <v>0</v>
      </c>
      <c r="S103" s="14"/>
      <c r="T103" s="31">
        <f>+T99-T101</f>
        <v>-1688773.1779173003</v>
      </c>
      <c r="U103" s="14"/>
      <c r="V103" s="33">
        <f>IF(T$12=0,0,T103/T$12)</f>
        <v>0</v>
      </c>
      <c r="W103" s="16"/>
      <c r="X103" s="31">
        <f>P103-T103</f>
        <v>334116.66791730071</v>
      </c>
      <c r="Y103" s="16"/>
      <c r="Z103" s="33">
        <f>IF(T103=0,0,X103/T103)</f>
        <v>-0.19784579260629548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5</v>
      </c>
      <c r="C106" s="28"/>
      <c r="D106" s="32">
        <f>SUM(D103:D105)</f>
        <v>-309098.71000000008</v>
      </c>
      <c r="E106" s="14"/>
      <c r="F106" s="34">
        <f>IF(D$12=0,0,D106/D$12)</f>
        <v>0</v>
      </c>
      <c r="G106" s="14"/>
      <c r="H106" s="32">
        <f>SUM(H103:H105)</f>
        <v>-401721.82694477576</v>
      </c>
      <c r="I106" s="14"/>
      <c r="J106" s="34">
        <f>IF(H$12=0,0,H106/H$12)</f>
        <v>0</v>
      </c>
      <c r="K106" s="16"/>
      <c r="L106" s="32">
        <f>+D106-H106</f>
        <v>92623.116944775684</v>
      </c>
      <c r="M106" s="16"/>
      <c r="N106" s="34">
        <f>IF(H106=0,0,L106/H106)</f>
        <v>-0.23056530846034531</v>
      </c>
      <c r="O106" s="29"/>
      <c r="P106" s="32">
        <f>SUM(P103:P105)</f>
        <v>-1354656.5099999995</v>
      </c>
      <c r="Q106" s="14"/>
      <c r="R106" s="34">
        <f>IF(P$12=0,0,P106/P$12)</f>
        <v>0</v>
      </c>
      <c r="S106" s="14"/>
      <c r="T106" s="32">
        <f>SUM(T103:T105)</f>
        <v>-1688773.1779173003</v>
      </c>
      <c r="U106" s="14"/>
      <c r="V106" s="34">
        <f>IF(T$12=0,0,T106/T$12)</f>
        <v>0</v>
      </c>
      <c r="W106" s="16"/>
      <c r="X106" s="32">
        <f>+P106-T106</f>
        <v>334116.66791730071</v>
      </c>
      <c r="Y106" s="16"/>
      <c r="Z106" s="34">
        <f>IF(T106=0,0,X106/T106)</f>
        <v>-0.19784579260629548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60">
        <v>43791.347593252314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4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5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58548.86</v>
      </c>
      <c r="E18" s="21"/>
      <c r="F18" s="35">
        <f t="shared" ref="F18:F27" si="0">IF(D$12=0,0,D18/D$12)</f>
        <v>0</v>
      </c>
      <c r="G18" s="21"/>
      <c r="H18" s="21">
        <f>SUM(OSRRefH22x_0)</f>
        <v>69500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-10951.14</v>
      </c>
      <c r="M18" s="4"/>
      <c r="N18" s="35">
        <f t="shared" ref="N18:N27" si="3">IF(H18=0,0,L18/H18)</f>
        <v>-0.15757035971223021</v>
      </c>
      <c r="O18" s="10"/>
      <c r="P18" s="21">
        <f>SUM(OSRRefP22x_0)</f>
        <v>188439.65</v>
      </c>
      <c r="Q18" s="21"/>
      <c r="R18" s="35">
        <f t="shared" ref="R18:R27" si="4">IF(P$12=0,0,P18/P$12)</f>
        <v>0</v>
      </c>
      <c r="S18" s="21"/>
      <c r="T18" s="21">
        <f>SUM(OSRRefT22x_0)</f>
        <v>226500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-38060.350000000006</v>
      </c>
      <c r="Y18" s="4"/>
      <c r="Z18" s="35">
        <f t="shared" ref="Z18:Z27" si="7">IF(T18=0,0,X18/T18)</f>
        <v>-0.16803686534216339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29109.38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-9890.619999999999</v>
      </c>
      <c r="M19" s="1"/>
      <c r="N19" s="5">
        <f t="shared" si="3"/>
        <v>-0.25360564102564098</v>
      </c>
      <c r="O19" s="13"/>
      <c r="P19" s="1">
        <f>SUM(OSRRefP22_0x_0)</f>
        <v>117406.01999999999</v>
      </c>
      <c r="Q19" s="1"/>
      <c r="R19" s="5">
        <f t="shared" si="4"/>
        <v>0</v>
      </c>
      <c r="S19" s="1"/>
      <c r="T19" s="1">
        <f>SUM(OSRRefT22_0x_0)</f>
        <v>157300</v>
      </c>
      <c r="U19" s="1"/>
      <c r="V19" s="5">
        <f t="shared" si="5"/>
        <v>0</v>
      </c>
      <c r="W19" s="1"/>
      <c r="X19" s="1">
        <f t="shared" si="6"/>
        <v>-39893.98000000001</v>
      </c>
      <c r="Y19" s="1"/>
      <c r="Z19" s="5">
        <f t="shared" si="7"/>
        <v>-0.25361716465352835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29109.38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-9890.619999999999</v>
      </c>
      <c r="M20" s="2"/>
      <c r="N20" s="7">
        <f t="shared" si="3"/>
        <v>-0.25360564102564098</v>
      </c>
      <c r="O20" s="11"/>
      <c r="P20" s="6">
        <v>117406.01999999999</v>
      </c>
      <c r="Q20" s="2"/>
      <c r="R20" s="7">
        <f t="shared" si="4"/>
        <v>0</v>
      </c>
      <c r="S20" s="2"/>
      <c r="T20" s="6">
        <v>157300</v>
      </c>
      <c r="U20" s="2"/>
      <c r="V20" s="7">
        <f t="shared" si="5"/>
        <v>0</v>
      </c>
      <c r="W20" s="2"/>
      <c r="X20" s="6">
        <f t="shared" si="6"/>
        <v>-39893.98000000001</v>
      </c>
      <c r="Y20" s="2"/>
      <c r="Z20" s="7">
        <f t="shared" si="7"/>
        <v>-0.25361716465352835</v>
      </c>
    </row>
    <row r="21" spans="1:26" s="26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14323.04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-676.95999999999913</v>
      </c>
      <c r="M21" s="1"/>
      <c r="N21" s="5">
        <f t="shared" si="3"/>
        <v>-4.5130666666666611E-2</v>
      </c>
      <c r="O21" s="13"/>
      <c r="P21" s="1">
        <f>SUM(OSRRefP22_1x_0)</f>
        <v>20926.16</v>
      </c>
      <c r="Q21" s="1"/>
      <c r="R21" s="5">
        <f t="shared" si="4"/>
        <v>0</v>
      </c>
      <c r="S21" s="1"/>
      <c r="T21" s="1">
        <f>SUM(OSRRefT22_1x_0)</f>
        <v>33000</v>
      </c>
      <c r="U21" s="1"/>
      <c r="V21" s="5">
        <f t="shared" si="5"/>
        <v>0</v>
      </c>
      <c r="W21" s="1"/>
      <c r="X21" s="1">
        <f t="shared" si="6"/>
        <v>-12073.84</v>
      </c>
      <c r="Y21" s="1"/>
      <c r="Z21" s="5">
        <f t="shared" si="7"/>
        <v>-0.36587393939393942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14323.04</v>
      </c>
      <c r="E22" s="2"/>
      <c r="F22" s="7">
        <f t="shared" si="0"/>
        <v>0</v>
      </c>
      <c r="G22" s="2"/>
      <c r="H22" s="6">
        <v>15000</v>
      </c>
      <c r="I22" s="2"/>
      <c r="J22" s="7">
        <f t="shared" si="1"/>
        <v>0</v>
      </c>
      <c r="K22" s="2"/>
      <c r="L22" s="6">
        <f t="shared" si="2"/>
        <v>-676.95999999999913</v>
      </c>
      <c r="M22" s="2"/>
      <c r="N22" s="7">
        <f t="shared" si="3"/>
        <v>-4.5130666666666611E-2</v>
      </c>
      <c r="O22" s="11"/>
      <c r="P22" s="6">
        <v>20926.16</v>
      </c>
      <c r="Q22" s="2"/>
      <c r="R22" s="7">
        <f t="shared" si="4"/>
        <v>0</v>
      </c>
      <c r="S22" s="2"/>
      <c r="T22" s="6">
        <v>33000</v>
      </c>
      <c r="U22" s="2"/>
      <c r="V22" s="7">
        <f t="shared" si="5"/>
        <v>0</v>
      </c>
      <c r="W22" s="2"/>
      <c r="X22" s="6">
        <f t="shared" si="6"/>
        <v>-12073.84</v>
      </c>
      <c r="Y22" s="2"/>
      <c r="Z22" s="7">
        <f t="shared" si="7"/>
        <v>-0.36587393939393942</v>
      </c>
    </row>
    <row r="23" spans="1:26" s="26" customFormat="1" outlineLevel="1" collapsed="1" x14ac:dyDescent="0.25">
      <c r="A23" s="25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3404.44</v>
      </c>
      <c r="E23" s="1"/>
      <c r="F23" s="5">
        <f t="shared" si="0"/>
        <v>0</v>
      </c>
      <c r="G23" s="1"/>
      <c r="H23" s="1">
        <f>SUM(OSRRefH22_2x_0)</f>
        <v>3000</v>
      </c>
      <c r="I23" s="1"/>
      <c r="J23" s="5">
        <f t="shared" si="1"/>
        <v>0</v>
      </c>
      <c r="K23" s="1"/>
      <c r="L23" s="1">
        <f t="shared" si="2"/>
        <v>404.44000000000005</v>
      </c>
      <c r="M23" s="1"/>
      <c r="N23" s="5">
        <f t="shared" si="3"/>
        <v>0.13481333333333334</v>
      </c>
      <c r="O23" s="13"/>
      <c r="P23" s="1">
        <f>SUM(OSRRefP22_2x_0)</f>
        <v>11846.23</v>
      </c>
      <c r="Q23" s="1"/>
      <c r="R23" s="5">
        <f t="shared" si="4"/>
        <v>0</v>
      </c>
      <c r="S23" s="1"/>
      <c r="T23" s="1">
        <f>SUM(OSRRefT22_2x_0)</f>
        <v>11200</v>
      </c>
      <c r="U23" s="1"/>
      <c r="V23" s="5">
        <f t="shared" si="5"/>
        <v>0</v>
      </c>
      <c r="W23" s="1"/>
      <c r="X23" s="1">
        <f t="shared" si="6"/>
        <v>646.22999999999956</v>
      </c>
      <c r="Y23" s="1"/>
      <c r="Z23" s="5">
        <f t="shared" si="7"/>
        <v>5.7699107142857101E-2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6">
        <v>3404.44</v>
      </c>
      <c r="E24" s="2"/>
      <c r="F24" s="7">
        <f t="shared" si="0"/>
        <v>0</v>
      </c>
      <c r="G24" s="2"/>
      <c r="H24" s="6">
        <v>3000</v>
      </c>
      <c r="I24" s="2"/>
      <c r="J24" s="7">
        <f t="shared" si="1"/>
        <v>0</v>
      </c>
      <c r="K24" s="2"/>
      <c r="L24" s="6">
        <f t="shared" si="2"/>
        <v>404.44000000000005</v>
      </c>
      <c r="M24" s="2"/>
      <c r="N24" s="7">
        <f t="shared" si="3"/>
        <v>0.13481333333333334</v>
      </c>
      <c r="O24" s="11"/>
      <c r="P24" s="6">
        <v>11846.23</v>
      </c>
      <c r="Q24" s="2"/>
      <c r="R24" s="7">
        <f t="shared" si="4"/>
        <v>0</v>
      </c>
      <c r="S24" s="2"/>
      <c r="T24" s="6">
        <v>11200</v>
      </c>
      <c r="U24" s="2"/>
      <c r="V24" s="7">
        <f t="shared" si="5"/>
        <v>0</v>
      </c>
      <c r="W24" s="2"/>
      <c r="X24" s="6">
        <f t="shared" si="6"/>
        <v>646.22999999999956</v>
      </c>
      <c r="Y24" s="2"/>
      <c r="Z24" s="7">
        <f t="shared" si="7"/>
        <v>5.7699107142857101E-2</v>
      </c>
    </row>
    <row r="25" spans="1:26" s="26" customFormat="1" outlineLevel="1" collapsed="1" x14ac:dyDescent="0.25">
      <c r="A25" s="25"/>
      <c r="B25" s="13" t="str">
        <f>CONCATENATE("     ","Professional Services                             ")</f>
        <v xml:space="preserve">     Professional Services                             </v>
      </c>
      <c r="C25" s="13"/>
      <c r="D25" s="1">
        <f>SUM(OSRRefD22_3x_0)</f>
        <v>11712</v>
      </c>
      <c r="E25" s="1"/>
      <c r="F25" s="5">
        <f t="shared" si="0"/>
        <v>0</v>
      </c>
      <c r="G25" s="1"/>
      <c r="H25" s="1">
        <f>SUM(OSRRefH22_3x_0)</f>
        <v>12500</v>
      </c>
      <c r="I25" s="1"/>
      <c r="J25" s="5">
        <f t="shared" si="1"/>
        <v>0</v>
      </c>
      <c r="K25" s="1"/>
      <c r="L25" s="1">
        <f t="shared" si="2"/>
        <v>-788</v>
      </c>
      <c r="M25" s="1"/>
      <c r="N25" s="5">
        <f t="shared" si="3"/>
        <v>-6.3039999999999999E-2</v>
      </c>
      <c r="O25" s="13"/>
      <c r="P25" s="1">
        <f>SUM(OSRRefP22_3x_0)</f>
        <v>38261.24</v>
      </c>
      <c r="Q25" s="1"/>
      <c r="R25" s="5">
        <f t="shared" si="4"/>
        <v>0</v>
      </c>
      <c r="S25" s="1"/>
      <c r="T25" s="1">
        <f>SUM(OSRRefT22_3x_0)</f>
        <v>25000</v>
      </c>
      <c r="U25" s="1"/>
      <c r="V25" s="5">
        <f t="shared" si="5"/>
        <v>0</v>
      </c>
      <c r="W25" s="1"/>
      <c r="X25" s="1">
        <f t="shared" si="6"/>
        <v>13261.239999999998</v>
      </c>
      <c r="Y25" s="1"/>
      <c r="Z25" s="5">
        <f t="shared" si="7"/>
        <v>0.53044959999999997</v>
      </c>
    </row>
    <row r="26" spans="1:26" s="24" customFormat="1" hidden="1" outlineLevel="2" x14ac:dyDescent="0.25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11712</v>
      </c>
      <c r="E26" s="2"/>
      <c r="F26" s="7">
        <f t="shared" si="0"/>
        <v>0</v>
      </c>
      <c r="G26" s="2"/>
      <c r="H26" s="6">
        <v>12500</v>
      </c>
      <c r="I26" s="2"/>
      <c r="J26" s="7">
        <f t="shared" si="1"/>
        <v>0</v>
      </c>
      <c r="K26" s="2"/>
      <c r="L26" s="6">
        <f t="shared" si="2"/>
        <v>-788</v>
      </c>
      <c r="M26" s="2"/>
      <c r="N26" s="7">
        <f t="shared" si="3"/>
        <v>-6.3039999999999999E-2</v>
      </c>
      <c r="O26" s="11"/>
      <c r="P26" s="6">
        <v>23199</v>
      </c>
      <c r="Q26" s="2"/>
      <c r="R26" s="7">
        <f t="shared" si="4"/>
        <v>0</v>
      </c>
      <c r="S26" s="2"/>
      <c r="T26" s="6">
        <v>25000</v>
      </c>
      <c r="U26" s="2"/>
      <c r="V26" s="7">
        <f t="shared" si="5"/>
        <v>0</v>
      </c>
      <c r="W26" s="2"/>
      <c r="X26" s="6">
        <f t="shared" si="6"/>
        <v>-1801</v>
      </c>
      <c r="Y26" s="2"/>
      <c r="Z26" s="7">
        <f t="shared" si="7"/>
        <v>-7.2040000000000007E-2</v>
      </c>
    </row>
    <row r="27" spans="1:26" s="24" customFormat="1" hidden="1" outlineLevel="2" x14ac:dyDescent="0.25">
      <c r="A27" s="27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15062.24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15062.24</v>
      </c>
      <c r="Y27" s="2"/>
      <c r="Z27" s="7">
        <f t="shared" si="7"/>
        <v>0</v>
      </c>
    </row>
    <row r="28" spans="1:26" s="61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9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3</v>
      </c>
      <c r="C31" s="28"/>
      <c r="D31" s="22">
        <f>+D16-D18+D29</f>
        <v>-58548.86</v>
      </c>
      <c r="E31" s="14"/>
      <c r="F31" s="20">
        <f>IF(D$12=0,0,D31/D$12)</f>
        <v>0</v>
      </c>
      <c r="G31" s="14"/>
      <c r="H31" s="22">
        <f>+H16-H18+H29</f>
        <v>-69500</v>
      </c>
      <c r="I31" s="14"/>
      <c r="J31" s="20">
        <f>IF(H$12=0,0,H31/H$12)</f>
        <v>0</v>
      </c>
      <c r="K31" s="16"/>
      <c r="L31" s="22">
        <f>+D31-H31</f>
        <v>10951.14</v>
      </c>
      <c r="M31" s="16"/>
      <c r="N31" s="20">
        <f>IF(H31=0,0,L31/H31)</f>
        <v>-0.15757035971223021</v>
      </c>
      <c r="O31" s="29"/>
      <c r="P31" s="22">
        <f>+P16-P18+P29</f>
        <v>-188439.65</v>
      </c>
      <c r="Q31" s="14"/>
      <c r="R31" s="20">
        <f>IF(P$12=0,0,P31/P$12)</f>
        <v>0</v>
      </c>
      <c r="S31" s="14"/>
      <c r="T31" s="22">
        <f>+T16-T18+T29</f>
        <v>-226500</v>
      </c>
      <c r="U31" s="14"/>
      <c r="V31" s="20">
        <f>IF(T$12=0,0,T31/T$12)</f>
        <v>0</v>
      </c>
      <c r="W31" s="16"/>
      <c r="X31" s="22">
        <f>+P31-T31</f>
        <v>38060.350000000006</v>
      </c>
      <c r="Y31" s="16"/>
      <c r="Z31" s="20">
        <f>IF(T31=0,0,X31/T31)</f>
        <v>-0.16803686534216339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4</v>
      </c>
      <c r="C35" s="28"/>
      <c r="D35" s="31">
        <f>+D31-D33</f>
        <v>-58548.86</v>
      </c>
      <c r="E35" s="14"/>
      <c r="F35" s="33">
        <f>IF(D$12=0,0,D35/D$12)</f>
        <v>0</v>
      </c>
      <c r="G35" s="14"/>
      <c r="H35" s="31">
        <f>+H31-H33</f>
        <v>-69500</v>
      </c>
      <c r="I35" s="14"/>
      <c r="J35" s="33">
        <f>IF(H$12=0,0,H35/H$12)</f>
        <v>0</v>
      </c>
      <c r="K35" s="16"/>
      <c r="L35" s="31">
        <f>D35-H35</f>
        <v>10951.14</v>
      </c>
      <c r="M35" s="16"/>
      <c r="N35" s="33">
        <f>IF(H35=0,0,L35/H35)</f>
        <v>-0.15757035971223021</v>
      </c>
      <c r="O35" s="29"/>
      <c r="P35" s="31">
        <f>+P31-P33</f>
        <v>-188439.65</v>
      </c>
      <c r="Q35" s="14"/>
      <c r="R35" s="33">
        <f>IF(P$12=0,0,P35/P$12)</f>
        <v>0</v>
      </c>
      <c r="S35" s="14"/>
      <c r="T35" s="31">
        <f>+T31-T33</f>
        <v>-226500</v>
      </c>
      <c r="U35" s="14"/>
      <c r="V35" s="33">
        <f>IF(T$12=0,0,T35/T$12)</f>
        <v>0</v>
      </c>
      <c r="W35" s="16"/>
      <c r="X35" s="31">
        <f>P35-T35</f>
        <v>38060.350000000006</v>
      </c>
      <c r="Y35" s="16"/>
      <c r="Z35" s="33">
        <f>IF(T35=0,0,X35/T35)</f>
        <v>-0.16803686534216339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8" t="s">
        <v>5</v>
      </c>
      <c r="C38" s="28"/>
      <c r="D38" s="32">
        <f>SUM(D35:D37)</f>
        <v>-58548.86</v>
      </c>
      <c r="E38" s="14"/>
      <c r="F38" s="34">
        <f>IF(D$12=0,0,D38/D$12)</f>
        <v>0</v>
      </c>
      <c r="G38" s="14"/>
      <c r="H38" s="32">
        <f>SUM(H35:H37)</f>
        <v>-69500</v>
      </c>
      <c r="I38" s="14"/>
      <c r="J38" s="34">
        <f>IF(H$12=0,0,H38/H$12)</f>
        <v>0</v>
      </c>
      <c r="K38" s="16"/>
      <c r="L38" s="32">
        <f>+D38-H38</f>
        <v>10951.14</v>
      </c>
      <c r="M38" s="16"/>
      <c r="N38" s="34">
        <f>IF(H38=0,0,L38/H38)</f>
        <v>-0.15757035971223021</v>
      </c>
      <c r="O38" s="29"/>
      <c r="P38" s="32">
        <f>SUM(P35:P37)</f>
        <v>-188439.65</v>
      </c>
      <c r="Q38" s="14"/>
      <c r="R38" s="34">
        <f>IF(P$12=0,0,P38/P$12)</f>
        <v>0</v>
      </c>
      <c r="S38" s="14"/>
      <c r="T38" s="32">
        <f>SUM(T35:T37)</f>
        <v>-226500</v>
      </c>
      <c r="U38" s="14"/>
      <c r="V38" s="34">
        <f>IF(T$12=0,0,T38/T$12)</f>
        <v>0</v>
      </c>
      <c r="W38" s="16"/>
      <c r="X38" s="32">
        <f>+P38-T38</f>
        <v>38060.350000000006</v>
      </c>
      <c r="Y38" s="16"/>
      <c r="Z38" s="34">
        <f>IF(T38=0,0,X38/T38)</f>
        <v>-0.16803686534216339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0">
        <v>43791.347903275462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4" t="s">
        <v>314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5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13420.950000000003</v>
      </c>
      <c r="E18" s="21"/>
      <c r="F18" s="35">
        <f t="shared" ref="F18:F28" si="0">IF(D$12=0,0,D18/D$12)</f>
        <v>0</v>
      </c>
      <c r="G18" s="21"/>
      <c r="H18" s="21">
        <f>SUM(OSRRefH22x_0)</f>
        <v>100961.24302115384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-87540.293021153848</v>
      </c>
      <c r="M18" s="4"/>
      <c r="N18" s="35">
        <f t="shared" ref="N18:N28" si="3">IF(H18=0,0,L18/H18)</f>
        <v>-0.86706829672067354</v>
      </c>
      <c r="O18" s="10"/>
      <c r="P18" s="21">
        <f>SUM(OSRRefP22x_0)</f>
        <v>345009.05</v>
      </c>
      <c r="Q18" s="21"/>
      <c r="R18" s="35">
        <f t="shared" ref="R18:R28" si="4">IF(P$12=0,0,P18/P$12)</f>
        <v>0</v>
      </c>
      <c r="S18" s="21"/>
      <c r="T18" s="21">
        <f>SUM(OSRRefT22x_0)</f>
        <v>619095.2748761538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-274086.22487615381</v>
      </c>
      <c r="Y18" s="4"/>
      <c r="Z18" s="35">
        <f t="shared" ref="Z18:Z28" si="7">IF(T18=0,0,X18/T18)</f>
        <v>-0.44272058921945912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18812.61</v>
      </c>
      <c r="E19" s="1"/>
      <c r="F19" s="5">
        <f t="shared" si="0"/>
        <v>0</v>
      </c>
      <c r="G19" s="1"/>
      <c r="H19" s="1">
        <f>SUM(OSRRefH22_0x_0)</f>
        <v>15212.031482692311</v>
      </c>
      <c r="I19" s="1"/>
      <c r="J19" s="5">
        <f t="shared" si="1"/>
        <v>0</v>
      </c>
      <c r="K19" s="1"/>
      <c r="L19" s="1">
        <f t="shared" si="2"/>
        <v>3600.5785173076893</v>
      </c>
      <c r="M19" s="1"/>
      <c r="N19" s="5">
        <f t="shared" si="3"/>
        <v>0.23669281262034561</v>
      </c>
      <c r="O19" s="13"/>
      <c r="P19" s="1">
        <f>SUM(OSRRefP22_0x_0)</f>
        <v>79196.420000000013</v>
      </c>
      <c r="Q19" s="1"/>
      <c r="R19" s="5">
        <f t="shared" si="4"/>
        <v>0</v>
      </c>
      <c r="S19" s="1"/>
      <c r="T19" s="1">
        <f>SUM(OSRRefT22_0x_0)</f>
        <v>56658.913337692327</v>
      </c>
      <c r="U19" s="1"/>
      <c r="V19" s="5">
        <f t="shared" si="5"/>
        <v>0</v>
      </c>
      <c r="W19" s="1"/>
      <c r="X19" s="1">
        <f t="shared" si="6"/>
        <v>22537.506662307685</v>
      </c>
      <c r="Y19" s="1"/>
      <c r="Z19" s="5">
        <f t="shared" si="7"/>
        <v>0.397775130772136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4168.8500000000004</v>
      </c>
      <c r="E20" s="2"/>
      <c r="F20" s="7">
        <f t="shared" si="0"/>
        <v>0</v>
      </c>
      <c r="G20" s="2"/>
      <c r="H20" s="6">
        <v>2984.7730211538501</v>
      </c>
      <c r="I20" s="2"/>
      <c r="J20" s="7">
        <f t="shared" si="1"/>
        <v>0</v>
      </c>
      <c r="K20" s="2"/>
      <c r="L20" s="6">
        <f t="shared" si="2"/>
        <v>1184.0769788461503</v>
      </c>
      <c r="M20" s="2"/>
      <c r="N20" s="7">
        <f t="shared" si="3"/>
        <v>0.3967058702468475</v>
      </c>
      <c r="O20" s="11"/>
      <c r="P20" s="6">
        <v>11229.45</v>
      </c>
      <c r="Q20" s="2"/>
      <c r="R20" s="7">
        <f t="shared" si="4"/>
        <v>0</v>
      </c>
      <c r="S20" s="2"/>
      <c r="T20" s="6">
        <v>10745.18287615386</v>
      </c>
      <c r="U20" s="2"/>
      <c r="V20" s="7">
        <f t="shared" si="5"/>
        <v>0</v>
      </c>
      <c r="W20" s="2"/>
      <c r="X20" s="6">
        <f t="shared" si="6"/>
        <v>484.26712384614075</v>
      </c>
      <c r="Y20" s="2"/>
      <c r="Z20" s="7">
        <f t="shared" si="7"/>
        <v>4.5068299853774078E-2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323.23</v>
      </c>
      <c r="E21" s="2"/>
      <c r="F21" s="7">
        <f t="shared" si="0"/>
        <v>0</v>
      </c>
      <c r="G21" s="2"/>
      <c r="H21" s="6">
        <v>132.60457692307699</v>
      </c>
      <c r="I21" s="2"/>
      <c r="J21" s="7">
        <f t="shared" si="1"/>
        <v>0</v>
      </c>
      <c r="K21" s="2"/>
      <c r="L21" s="6">
        <f t="shared" si="2"/>
        <v>190.62542307692303</v>
      </c>
      <c r="M21" s="2"/>
      <c r="N21" s="7">
        <f t="shared" si="3"/>
        <v>1.4375478396006161</v>
      </c>
      <c r="O21" s="11"/>
      <c r="P21" s="6">
        <v>671.03</v>
      </c>
      <c r="Q21" s="2"/>
      <c r="R21" s="7">
        <f t="shared" si="4"/>
        <v>0</v>
      </c>
      <c r="S21" s="2"/>
      <c r="T21" s="6">
        <v>477.37647692307803</v>
      </c>
      <c r="U21" s="2"/>
      <c r="V21" s="7">
        <f t="shared" si="5"/>
        <v>0</v>
      </c>
      <c r="W21" s="2"/>
      <c r="X21" s="6">
        <f t="shared" si="6"/>
        <v>193.65352307692194</v>
      </c>
      <c r="Y21" s="2"/>
      <c r="Z21" s="7">
        <f t="shared" si="7"/>
        <v>0.40566205592096294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-889.15999999999985</v>
      </c>
      <c r="M22" s="2"/>
      <c r="N22" s="7">
        <f t="shared" si="3"/>
        <v>-0.18762608145178306</v>
      </c>
      <c r="O22" s="11"/>
      <c r="P22" s="6">
        <v>17440.18</v>
      </c>
      <c r="Q22" s="2"/>
      <c r="R22" s="7">
        <f t="shared" si="4"/>
        <v>0</v>
      </c>
      <c r="S22" s="2"/>
      <c r="T22" s="6">
        <v>18956</v>
      </c>
      <c r="U22" s="2"/>
      <c r="V22" s="7">
        <f t="shared" si="5"/>
        <v>0</v>
      </c>
      <c r="W22" s="2"/>
      <c r="X22" s="6">
        <f t="shared" si="6"/>
        <v>-1515.8199999999997</v>
      </c>
      <c r="Y22" s="2"/>
      <c r="Z22" s="7">
        <f t="shared" si="7"/>
        <v>-7.9965182527959464E-2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403.87</v>
      </c>
      <c r="E23" s="2"/>
      <c r="F23" s="7">
        <f t="shared" si="0"/>
        <v>0</v>
      </c>
      <c r="G23" s="2"/>
      <c r="H23" s="6">
        <v>101.40349999999999</v>
      </c>
      <c r="I23" s="2"/>
      <c r="J23" s="7">
        <f t="shared" si="1"/>
        <v>0</v>
      </c>
      <c r="K23" s="2"/>
      <c r="L23" s="6">
        <f t="shared" si="2"/>
        <v>302.4665</v>
      </c>
      <c r="M23" s="2"/>
      <c r="N23" s="7">
        <f t="shared" si="3"/>
        <v>2.9828013825952753</v>
      </c>
      <c r="O23" s="11"/>
      <c r="P23" s="6">
        <v>669.83</v>
      </c>
      <c r="Q23" s="2"/>
      <c r="R23" s="7">
        <f t="shared" si="4"/>
        <v>0</v>
      </c>
      <c r="S23" s="2"/>
      <c r="T23" s="6">
        <v>365.05259999999998</v>
      </c>
      <c r="U23" s="2"/>
      <c r="V23" s="7">
        <f t="shared" si="5"/>
        <v>0</v>
      </c>
      <c r="W23" s="2"/>
      <c r="X23" s="6">
        <f t="shared" si="6"/>
        <v>304.77740000000006</v>
      </c>
      <c r="Y23" s="2"/>
      <c r="Z23" s="7">
        <f t="shared" si="7"/>
        <v>0.83488626022660861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6086.66</v>
      </c>
      <c r="E24" s="2"/>
      <c r="F24" s="7">
        <f t="shared" si="0"/>
        <v>0</v>
      </c>
      <c r="G24" s="2"/>
      <c r="H24" s="6">
        <v>3354.1157692307702</v>
      </c>
      <c r="I24" s="2"/>
      <c r="J24" s="7">
        <f t="shared" si="1"/>
        <v>0</v>
      </c>
      <c r="K24" s="2"/>
      <c r="L24" s="6">
        <f t="shared" si="2"/>
        <v>2732.5442307692297</v>
      </c>
      <c r="M24" s="2"/>
      <c r="N24" s="7">
        <f t="shared" si="3"/>
        <v>0.81468393423877217</v>
      </c>
      <c r="O24" s="11"/>
      <c r="P24" s="6">
        <v>15911.430000000002</v>
      </c>
      <c r="Q24" s="2"/>
      <c r="R24" s="7">
        <f t="shared" si="4"/>
        <v>0</v>
      </c>
      <c r="S24" s="2"/>
      <c r="T24" s="6">
        <v>12074.81676923078</v>
      </c>
      <c r="U24" s="2"/>
      <c r="V24" s="7">
        <f t="shared" si="5"/>
        <v>0</v>
      </c>
      <c r="W24" s="2"/>
      <c r="X24" s="6">
        <f t="shared" si="6"/>
        <v>3836.6132307692224</v>
      </c>
      <c r="Y24" s="2"/>
      <c r="Z24" s="7">
        <f t="shared" si="7"/>
        <v>0.31773676603902884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2432.46</v>
      </c>
      <c r="E26" s="2"/>
      <c r="F26" s="7">
        <f t="shared" si="0"/>
        <v>0</v>
      </c>
      <c r="G26" s="2"/>
      <c r="H26" s="6">
        <v>3058.90192307692</v>
      </c>
      <c r="I26" s="2"/>
      <c r="J26" s="7">
        <f t="shared" si="1"/>
        <v>0</v>
      </c>
      <c r="K26" s="2"/>
      <c r="L26" s="6">
        <f t="shared" si="2"/>
        <v>-626.44192307691992</v>
      </c>
      <c r="M26" s="2"/>
      <c r="N26" s="7">
        <f t="shared" si="3"/>
        <v>-0.20479307242606459</v>
      </c>
      <c r="O26" s="11"/>
      <c r="P26" s="6">
        <v>13265.9</v>
      </c>
      <c r="Q26" s="2"/>
      <c r="R26" s="7">
        <f t="shared" si="4"/>
        <v>0</v>
      </c>
      <c r="S26" s="2"/>
      <c r="T26" s="6">
        <v>11012.046923076919</v>
      </c>
      <c r="U26" s="2"/>
      <c r="V26" s="7">
        <f t="shared" si="5"/>
        <v>0</v>
      </c>
      <c r="W26" s="2"/>
      <c r="X26" s="6">
        <f t="shared" si="6"/>
        <v>2253.8530769230802</v>
      </c>
      <c r="Y26" s="2"/>
      <c r="Z26" s="7">
        <f t="shared" si="7"/>
        <v>0.2046715831004943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1285.2</v>
      </c>
      <c r="E27" s="2"/>
      <c r="F27" s="7">
        <f t="shared" si="0"/>
        <v>0</v>
      </c>
      <c r="G27" s="2"/>
      <c r="H27" s="6">
        <v>841.23269230769199</v>
      </c>
      <c r="I27" s="2"/>
      <c r="J27" s="7">
        <f t="shared" si="1"/>
        <v>0</v>
      </c>
      <c r="K27" s="2"/>
      <c r="L27" s="6">
        <f t="shared" si="2"/>
        <v>443.96730769230805</v>
      </c>
      <c r="M27" s="2"/>
      <c r="N27" s="7">
        <f t="shared" si="3"/>
        <v>0.5277580290827798</v>
      </c>
      <c r="O27" s="11"/>
      <c r="P27" s="6">
        <v>18686</v>
      </c>
      <c r="Q27" s="2"/>
      <c r="R27" s="7">
        <f t="shared" si="4"/>
        <v>0</v>
      </c>
      <c r="S27" s="2"/>
      <c r="T27" s="6">
        <v>3028.437692307692</v>
      </c>
      <c r="U27" s="2"/>
      <c r="V27" s="7">
        <f t="shared" si="5"/>
        <v>0</v>
      </c>
      <c r="W27" s="2"/>
      <c r="X27" s="6">
        <f t="shared" si="6"/>
        <v>15657.562307692308</v>
      </c>
      <c r="Y27" s="2"/>
      <c r="Z27" s="7">
        <f t="shared" si="7"/>
        <v>5.1701781243388005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262.5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262.5</v>
      </c>
      <c r="M28" s="2"/>
      <c r="N28" s="7">
        <f t="shared" si="3"/>
        <v>0</v>
      </c>
      <c r="O28" s="11"/>
      <c r="P28" s="6">
        <v>1322.6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1322.6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-38100.019999999997</v>
      </c>
      <c r="E29" s="1"/>
      <c r="F29" s="5">
        <f t="shared" ref="F29:F39" si="8">IF(D$12=0,0,D29/D$12)</f>
        <v>0</v>
      </c>
      <c r="G29" s="1"/>
      <c r="H29" s="1">
        <f>SUM(OSRRefH22_1x_0)</f>
        <v>35101.211538461532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-73201.231538461521</v>
      </c>
      <c r="M29" s="1"/>
      <c r="N29" s="5">
        <f t="shared" ref="N29:N39" si="11">IF(H29=0,0,L29/H29)</f>
        <v>-2.0854331896280152</v>
      </c>
      <c r="O29" s="13"/>
      <c r="P29" s="1">
        <f>SUM(OSRRefP22_1x_0)</f>
        <v>39781.299999999996</v>
      </c>
      <c r="Q29" s="1"/>
      <c r="R29" s="5">
        <f t="shared" ref="R29:R39" si="12">IF(P$12=0,0,P29/P$12)</f>
        <v>0</v>
      </c>
      <c r="S29" s="1"/>
      <c r="T29" s="1">
        <f>SUM(OSRRefT22_1x_0)</f>
        <v>126364.36153846145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-86583.06153846145</v>
      </c>
      <c r="Y29" s="1"/>
      <c r="Z29" s="5">
        <f t="shared" ref="Z29:Z39" si="15">IF(T29=0,0,X29/T29)</f>
        <v>-0.68518576348845173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10239.27</v>
      </c>
      <c r="E30" s="2"/>
      <c r="F30" s="7">
        <f t="shared" si="8"/>
        <v>0</v>
      </c>
      <c r="G30" s="2"/>
      <c r="H30" s="6">
        <v>29592.692307692305</v>
      </c>
      <c r="I30" s="2"/>
      <c r="J30" s="7">
        <f t="shared" si="9"/>
        <v>0</v>
      </c>
      <c r="K30" s="2"/>
      <c r="L30" s="6">
        <f t="shared" si="10"/>
        <v>-19353.422307692304</v>
      </c>
      <c r="M30" s="2"/>
      <c r="N30" s="7">
        <f t="shared" si="11"/>
        <v>-0.65399329356259983</v>
      </c>
      <c r="O30" s="11"/>
      <c r="P30" s="6">
        <v>67676.58</v>
      </c>
      <c r="Q30" s="2"/>
      <c r="R30" s="7">
        <f t="shared" si="12"/>
        <v>0</v>
      </c>
      <c r="S30" s="2"/>
      <c r="T30" s="6">
        <v>106533.69230769221</v>
      </c>
      <c r="U30" s="2"/>
      <c r="V30" s="7">
        <f t="shared" si="13"/>
        <v>0</v>
      </c>
      <c r="W30" s="2"/>
      <c r="X30" s="6">
        <f t="shared" si="14"/>
        <v>-38857.112307692209</v>
      </c>
      <c r="Y30" s="2"/>
      <c r="Z30" s="7">
        <f t="shared" si="15"/>
        <v>-0.36474012555074609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5631.08</v>
      </c>
      <c r="E31" s="2"/>
      <c r="F31" s="7">
        <f t="shared" si="8"/>
        <v>0</v>
      </c>
      <c r="G31" s="2"/>
      <c r="H31" s="6">
        <v>5508.5192307692296</v>
      </c>
      <c r="I31" s="2"/>
      <c r="J31" s="7">
        <f t="shared" si="9"/>
        <v>0</v>
      </c>
      <c r="K31" s="2"/>
      <c r="L31" s="6">
        <f t="shared" si="10"/>
        <v>122.56076923077035</v>
      </c>
      <c r="M31" s="2"/>
      <c r="N31" s="7">
        <f t="shared" si="11"/>
        <v>2.2249313126870125E-2</v>
      </c>
      <c r="O31" s="11"/>
      <c r="P31" s="6">
        <v>19830.759999999998</v>
      </c>
      <c r="Q31" s="2"/>
      <c r="R31" s="7">
        <f t="shared" si="12"/>
        <v>0</v>
      </c>
      <c r="S31" s="2"/>
      <c r="T31" s="6">
        <v>19830.669230769239</v>
      </c>
      <c r="U31" s="2"/>
      <c r="V31" s="7">
        <f t="shared" si="13"/>
        <v>0</v>
      </c>
      <c r="W31" s="2"/>
      <c r="X31" s="6">
        <f t="shared" si="14"/>
        <v>9.0769230759178754E-2</v>
      </c>
      <c r="Y31" s="2"/>
      <c r="Z31" s="7">
        <f t="shared" si="15"/>
        <v>4.5772147022825305E-6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-53970.369999999995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-53970.369999999995</v>
      </c>
      <c r="M36" s="2"/>
      <c r="N36" s="7">
        <f t="shared" si="11"/>
        <v>0</v>
      </c>
      <c r="O36" s="11"/>
      <c r="P36" s="6">
        <v>-47726.04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-47726.04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171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-8829</v>
      </c>
      <c r="M40" s="1"/>
      <c r="N40" s="5">
        <f t="shared" ref="N40:N46" si="19">IF(H40=0,0,L40/H40)</f>
        <v>-0.98099999999999998</v>
      </c>
      <c r="O40" s="13"/>
      <c r="P40" s="1">
        <f>SUM(OSRRefP22_2x_0)</f>
        <v>11364.89</v>
      </c>
      <c r="Q40" s="1"/>
      <c r="R40" s="5">
        <f t="shared" ref="R40:R46" si="20">IF(P$12=0,0,P40/P$12)</f>
        <v>0</v>
      </c>
      <c r="S40" s="1"/>
      <c r="T40" s="1">
        <f>SUM(OSRRefT22_2x_0)</f>
        <v>36000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-24635.11</v>
      </c>
      <c r="Y40" s="1"/>
      <c r="Z40" s="5">
        <f t="shared" ref="Z40:Z46" si="23">IF(T40=0,0,X40/T40)</f>
        <v>-0.68430861111111108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171</v>
      </c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-8829</v>
      </c>
      <c r="M41" s="2"/>
      <c r="N41" s="7">
        <f t="shared" si="19"/>
        <v>-0.98099999999999998</v>
      </c>
      <c r="O41" s="11"/>
      <c r="P41" s="6">
        <v>11364.89</v>
      </c>
      <c r="Q41" s="2"/>
      <c r="R41" s="7">
        <f t="shared" si="20"/>
        <v>0</v>
      </c>
      <c r="S41" s="2"/>
      <c r="T41" s="6">
        <v>36000</v>
      </c>
      <c r="U41" s="2"/>
      <c r="V41" s="7">
        <f t="shared" si="21"/>
        <v>0</v>
      </c>
      <c r="W41" s="2"/>
      <c r="X41" s="6">
        <f t="shared" si="22"/>
        <v>-24635.11</v>
      </c>
      <c r="Y41" s="2"/>
      <c r="Z41" s="7">
        <f t="shared" si="23"/>
        <v>-0.68430861111111108</v>
      </c>
    </row>
    <row r="42" spans="1:26" s="26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1380.92</v>
      </c>
      <c r="Q42" s="1"/>
      <c r="R42" s="5">
        <f t="shared" si="20"/>
        <v>0</v>
      </c>
      <c r="S42" s="1"/>
      <c r="T42" s="1">
        <f>SUM(OSRRefT22_3x_0)</f>
        <v>1380</v>
      </c>
      <c r="U42" s="1"/>
      <c r="V42" s="5">
        <f t="shared" si="21"/>
        <v>0</v>
      </c>
      <c r="W42" s="1"/>
      <c r="X42" s="1">
        <f t="shared" si="22"/>
        <v>0.92000000000007276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1380.92</v>
      </c>
      <c r="Q43" s="2"/>
      <c r="R43" s="7">
        <f t="shared" si="20"/>
        <v>0</v>
      </c>
      <c r="S43" s="2"/>
      <c r="T43" s="6">
        <v>1380</v>
      </c>
      <c r="U43" s="2"/>
      <c r="V43" s="7">
        <f t="shared" si="21"/>
        <v>0</v>
      </c>
      <c r="W43" s="2"/>
      <c r="X43" s="6">
        <f t="shared" si="22"/>
        <v>0.92000000000007276</v>
      </c>
      <c r="Y43" s="2"/>
      <c r="Z43" s="7">
        <f t="shared" si="23"/>
        <v>6.6666666666671945E-4</v>
      </c>
    </row>
    <row r="44" spans="1:26" s="26" customFormat="1" outlineLevel="1" collapsed="1" x14ac:dyDescent="0.25">
      <c r="A44" s="25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5133.6499999999996</v>
      </c>
      <c r="E44" s="1"/>
      <c r="F44" s="5">
        <f t="shared" si="16"/>
        <v>0</v>
      </c>
      <c r="G44" s="1"/>
      <c r="H44" s="1">
        <f>SUM(OSRRefH22_4x_0)</f>
        <v>12000</v>
      </c>
      <c r="I44" s="1"/>
      <c r="J44" s="5">
        <f t="shared" si="17"/>
        <v>0</v>
      </c>
      <c r="K44" s="1"/>
      <c r="L44" s="1">
        <f t="shared" si="18"/>
        <v>-6866.35</v>
      </c>
      <c r="M44" s="1"/>
      <c r="N44" s="5">
        <f t="shared" si="19"/>
        <v>-0.57219583333333335</v>
      </c>
      <c r="O44" s="13"/>
      <c r="P44" s="1">
        <f>SUM(OSRRefP22_4x_0)</f>
        <v>144377.25</v>
      </c>
      <c r="Q44" s="1"/>
      <c r="R44" s="5">
        <f t="shared" si="20"/>
        <v>0</v>
      </c>
      <c r="S44" s="1"/>
      <c r="T44" s="1">
        <f>SUM(OSRRefT22_4x_0)</f>
        <v>341800</v>
      </c>
      <c r="U44" s="1"/>
      <c r="V44" s="5">
        <f t="shared" si="21"/>
        <v>0</v>
      </c>
      <c r="W44" s="1"/>
      <c r="X44" s="1">
        <f t="shared" si="22"/>
        <v>-197422.75</v>
      </c>
      <c r="Y44" s="1"/>
      <c r="Z44" s="5">
        <f t="shared" si="23"/>
        <v>-0.577597279110591</v>
      </c>
    </row>
    <row r="45" spans="1:26" s="24" customFormat="1" hidden="1" outlineLevel="2" x14ac:dyDescent="0.25">
      <c r="A45" s="27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800</v>
      </c>
      <c r="U45" s="2"/>
      <c r="V45" s="7">
        <f t="shared" si="21"/>
        <v>0</v>
      </c>
      <c r="W45" s="2"/>
      <c r="X45" s="6">
        <f t="shared" si="22"/>
        <v>-800</v>
      </c>
      <c r="Y45" s="2"/>
      <c r="Z45" s="7">
        <f t="shared" si="23"/>
        <v>-1</v>
      </c>
    </row>
    <row r="46" spans="1:26" s="24" customFormat="1" hidden="1" outlineLevel="2" x14ac:dyDescent="0.25">
      <c r="A46" s="27"/>
      <c r="B46" s="11" t="str">
        <f>CONCATENATE("          ", "6399", " - ", "DONATION-ON CAMPUS")</f>
        <v xml:space="preserve">          6399 - DONATION-ON CAMPUS</v>
      </c>
      <c r="C46" s="11"/>
      <c r="D46" s="6">
        <v>5133.6499999999996</v>
      </c>
      <c r="E46" s="2"/>
      <c r="F46" s="7">
        <f t="shared" si="16"/>
        <v>0</v>
      </c>
      <c r="G46" s="2"/>
      <c r="H46" s="6">
        <v>12000</v>
      </c>
      <c r="I46" s="2"/>
      <c r="J46" s="7">
        <f t="shared" si="17"/>
        <v>0</v>
      </c>
      <c r="K46" s="2"/>
      <c r="L46" s="6">
        <f t="shared" si="18"/>
        <v>-6866.35</v>
      </c>
      <c r="M46" s="2"/>
      <c r="N46" s="7">
        <f t="shared" si="19"/>
        <v>-0.57219583333333335</v>
      </c>
      <c r="O46" s="11"/>
      <c r="P46" s="6">
        <v>144377.25</v>
      </c>
      <c r="Q46" s="2"/>
      <c r="R46" s="7">
        <f t="shared" si="20"/>
        <v>0</v>
      </c>
      <c r="S46" s="2"/>
      <c r="T46" s="6">
        <v>341000</v>
      </c>
      <c r="U46" s="2"/>
      <c r="V46" s="7">
        <f t="shared" si="21"/>
        <v>0</v>
      </c>
      <c r="W46" s="2"/>
      <c r="X46" s="6">
        <f t="shared" si="22"/>
        <v>-196622.75</v>
      </c>
      <c r="Y46" s="2"/>
      <c r="Z46" s="7">
        <f t="shared" si="23"/>
        <v>-0.57660630498533727</v>
      </c>
    </row>
    <row r="47" spans="1:26" s="26" customFormat="1" outlineLevel="1" collapsed="1" x14ac:dyDescent="0.25">
      <c r="A47" s="25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500</v>
      </c>
      <c r="U48" s="2"/>
      <c r="V48" s="7">
        <f t="shared" si="29"/>
        <v>0</v>
      </c>
      <c r="W48" s="2"/>
      <c r="X48" s="6">
        <f t="shared" si="30"/>
        <v>-500</v>
      </c>
      <c r="Y48" s="2"/>
      <c r="Z48" s="7">
        <f t="shared" si="31"/>
        <v>-1</v>
      </c>
    </row>
    <row r="49" spans="1:26" s="26" customFormat="1" outlineLevel="1" collapsed="1" x14ac:dyDescent="0.25">
      <c r="A49" s="25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235.44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117.44</v>
      </c>
      <c r="M49" s="1"/>
      <c r="N49" s="5">
        <f t="shared" si="27"/>
        <v>0.99525423728813556</v>
      </c>
      <c r="O49" s="13"/>
      <c r="P49" s="1">
        <f>SUM(OSRRefP22_6x_0)</f>
        <v>588.6</v>
      </c>
      <c r="Q49" s="1"/>
      <c r="R49" s="5">
        <f t="shared" si="28"/>
        <v>0</v>
      </c>
      <c r="S49" s="1"/>
      <c r="T49" s="1">
        <f>SUM(OSRRefT22_6x_0)</f>
        <v>472</v>
      </c>
      <c r="U49" s="1"/>
      <c r="V49" s="5">
        <f t="shared" si="29"/>
        <v>0</v>
      </c>
      <c r="W49" s="1"/>
      <c r="X49" s="1">
        <f t="shared" si="30"/>
        <v>116.60000000000002</v>
      </c>
      <c r="Y49" s="1"/>
      <c r="Z49" s="5">
        <f t="shared" si="31"/>
        <v>0.24703389830508479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>
        <v>235.44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117.44</v>
      </c>
      <c r="M50" s="2"/>
      <c r="N50" s="7">
        <f t="shared" si="27"/>
        <v>0.99525423728813556</v>
      </c>
      <c r="O50" s="11"/>
      <c r="P50" s="6">
        <v>588.6</v>
      </c>
      <c r="Q50" s="2"/>
      <c r="R50" s="7">
        <f t="shared" si="28"/>
        <v>0</v>
      </c>
      <c r="S50" s="2"/>
      <c r="T50" s="6">
        <v>472</v>
      </c>
      <c r="U50" s="2"/>
      <c r="V50" s="7">
        <f t="shared" si="29"/>
        <v>0</v>
      </c>
      <c r="W50" s="2"/>
      <c r="X50" s="6">
        <f t="shared" si="30"/>
        <v>116.60000000000002</v>
      </c>
      <c r="Y50" s="2"/>
      <c r="Z50" s="7">
        <f t="shared" si="31"/>
        <v>0.24703389830508479</v>
      </c>
    </row>
    <row r="51" spans="1:26" s="26" customFormat="1" outlineLevel="1" collapsed="1" x14ac:dyDescent="0.25">
      <c r="A51" s="25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8.1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8.1</v>
      </c>
      <c r="M51" s="1"/>
      <c r="N51" s="5">
        <f t="shared" si="27"/>
        <v>0</v>
      </c>
      <c r="O51" s="13"/>
      <c r="P51" s="1">
        <f>SUM(OSRRefP22_7x_0)</f>
        <v>8.75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8.75</v>
      </c>
      <c r="Y51" s="1"/>
      <c r="Z51" s="5">
        <f t="shared" si="31"/>
        <v>0</v>
      </c>
    </row>
    <row r="52" spans="1:26" s="24" customFormat="1" hidden="1" outlineLevel="2" x14ac:dyDescent="0.25">
      <c r="A52" s="27"/>
      <c r="B52" s="11" t="str">
        <f>CONCATENATE("          ", "6307", " - ", "POSTAGE")</f>
        <v xml:space="preserve">          6307 - POSTAGE</v>
      </c>
      <c r="C52" s="11"/>
      <c r="D52" s="6">
        <v>8.1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8.1</v>
      </c>
      <c r="M52" s="2"/>
      <c r="N52" s="7">
        <f t="shared" si="27"/>
        <v>0</v>
      </c>
      <c r="O52" s="11"/>
      <c r="P52" s="6">
        <v>8.75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8.75</v>
      </c>
      <c r="Y52" s="2"/>
      <c r="Z52" s="7">
        <f t="shared" si="31"/>
        <v>0</v>
      </c>
    </row>
    <row r="53" spans="1:26" s="26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6120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6120</v>
      </c>
      <c r="M53" s="1"/>
      <c r="N53" s="5">
        <f t="shared" si="27"/>
        <v>0</v>
      </c>
      <c r="O53" s="13"/>
      <c r="P53" s="1">
        <f>SUM(OSRRefP22_8x_0)</f>
        <v>11700.62</v>
      </c>
      <c r="Q53" s="1"/>
      <c r="R53" s="5">
        <f t="shared" si="28"/>
        <v>0</v>
      </c>
      <c r="S53" s="1"/>
      <c r="T53" s="1">
        <f>SUM(OSRRefT22_8x_0)</f>
        <v>2500</v>
      </c>
      <c r="U53" s="1"/>
      <c r="V53" s="5">
        <f t="shared" si="29"/>
        <v>0</v>
      </c>
      <c r="W53" s="1"/>
      <c r="X53" s="1">
        <f t="shared" si="30"/>
        <v>9200.6200000000008</v>
      </c>
      <c r="Y53" s="1"/>
      <c r="Z53" s="5">
        <f t="shared" si="31"/>
        <v>3.6802480000000002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>
        <v>6120</v>
      </c>
      <c r="E54" s="2"/>
      <c r="F54" s="7">
        <f t="shared" si="24"/>
        <v>0</v>
      </c>
      <c r="G54" s="2"/>
      <c r="H54" s="6">
        <v>0</v>
      </c>
      <c r="I54" s="2"/>
      <c r="J54" s="7">
        <f t="shared" si="25"/>
        <v>0</v>
      </c>
      <c r="K54" s="2"/>
      <c r="L54" s="6">
        <f t="shared" si="26"/>
        <v>6120</v>
      </c>
      <c r="M54" s="2"/>
      <c r="N54" s="7">
        <f t="shared" si="27"/>
        <v>0</v>
      </c>
      <c r="O54" s="11"/>
      <c r="P54" s="6">
        <v>11700.62</v>
      </c>
      <c r="Q54" s="2"/>
      <c r="R54" s="7">
        <f t="shared" si="28"/>
        <v>0</v>
      </c>
      <c r="S54" s="2"/>
      <c r="T54" s="6">
        <v>2500</v>
      </c>
      <c r="U54" s="2"/>
      <c r="V54" s="7">
        <f t="shared" si="29"/>
        <v>0</v>
      </c>
      <c r="W54" s="2"/>
      <c r="X54" s="6">
        <f t="shared" si="30"/>
        <v>9200.6200000000008</v>
      </c>
      <c r="Y54" s="2"/>
      <c r="Z54" s="7">
        <f t="shared" si="31"/>
        <v>3.6802480000000002</v>
      </c>
    </row>
    <row r="55" spans="1:26" s="26" customFormat="1" outlineLevel="1" collapsed="1" x14ac:dyDescent="0.25">
      <c r="A55" s="25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460.52</v>
      </c>
      <c r="Q55" s="1"/>
      <c r="R55" s="5">
        <f t="shared" si="28"/>
        <v>0</v>
      </c>
      <c r="S55" s="1"/>
      <c r="T55" s="1">
        <f>SUM(OSRRefT22_9x_0)</f>
        <v>440</v>
      </c>
      <c r="U55" s="1"/>
      <c r="V55" s="5">
        <f t="shared" si="29"/>
        <v>0</v>
      </c>
      <c r="W55" s="1"/>
      <c r="X55" s="1">
        <f t="shared" si="30"/>
        <v>20.519999999999982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7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460.52</v>
      </c>
      <c r="Q56" s="2"/>
      <c r="R56" s="7">
        <f t="shared" si="28"/>
        <v>0</v>
      </c>
      <c r="S56" s="2"/>
      <c r="T56" s="6">
        <v>440</v>
      </c>
      <c r="U56" s="2"/>
      <c r="V56" s="7">
        <f t="shared" si="29"/>
        <v>0</v>
      </c>
      <c r="W56" s="2"/>
      <c r="X56" s="6">
        <f t="shared" si="30"/>
        <v>20.519999999999982</v>
      </c>
      <c r="Y56" s="2"/>
      <c r="Z56" s="7">
        <f t="shared" si="31"/>
        <v>4.6636363636363594E-2</v>
      </c>
    </row>
    <row r="57" spans="1:26" s="26" customFormat="1" outlineLevel="1" collapsed="1" x14ac:dyDescent="0.25">
      <c r="A57" s="25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15020</v>
      </c>
      <c r="E57" s="1"/>
      <c r="F57" s="5">
        <f t="shared" si="24"/>
        <v>0</v>
      </c>
      <c r="G57" s="1"/>
      <c r="H57" s="1">
        <f>SUM(OSRRefH22_10x_0)</f>
        <v>20000</v>
      </c>
      <c r="I57" s="1"/>
      <c r="J57" s="5">
        <f t="shared" si="25"/>
        <v>0</v>
      </c>
      <c r="K57" s="1"/>
      <c r="L57" s="1">
        <f t="shared" si="26"/>
        <v>-4980</v>
      </c>
      <c r="M57" s="1"/>
      <c r="N57" s="5">
        <f t="shared" si="27"/>
        <v>-0.249</v>
      </c>
      <c r="O57" s="13"/>
      <c r="P57" s="1">
        <f>SUM(OSRRefP22_10x_0)</f>
        <v>32035</v>
      </c>
      <c r="Q57" s="1"/>
      <c r="R57" s="5">
        <f t="shared" si="28"/>
        <v>0</v>
      </c>
      <c r="S57" s="1"/>
      <c r="T57" s="1">
        <f>SUM(OSRRefT22_10x_0)</f>
        <v>26500</v>
      </c>
      <c r="U57" s="1"/>
      <c r="V57" s="5">
        <f t="shared" si="29"/>
        <v>0</v>
      </c>
      <c r="W57" s="1"/>
      <c r="X57" s="1">
        <f t="shared" si="30"/>
        <v>5535</v>
      </c>
      <c r="Y57" s="1"/>
      <c r="Z57" s="5">
        <f t="shared" si="31"/>
        <v>0.20886792452830188</v>
      </c>
    </row>
    <row r="58" spans="1:26" s="24" customFormat="1" hidden="1" outlineLevel="2" x14ac:dyDescent="0.25">
      <c r="A58" s="27"/>
      <c r="B58" s="11" t="str">
        <f>CONCATENATE("          ", "6331", " - ", "INDIRECT COSTS-AUXILIARY ORGAN")</f>
        <v xml:space="preserve">          6331 - INDIRECT COSTS-AUXILIARY ORGAN</v>
      </c>
      <c r="C58" s="11"/>
      <c r="D58" s="6">
        <v>15000</v>
      </c>
      <c r="E58" s="2"/>
      <c r="F58" s="7">
        <f t="shared" si="24"/>
        <v>0</v>
      </c>
      <c r="G58" s="2"/>
      <c r="H58" s="6">
        <v>20000</v>
      </c>
      <c r="I58" s="2"/>
      <c r="J58" s="7">
        <f t="shared" si="25"/>
        <v>0</v>
      </c>
      <c r="K58" s="2"/>
      <c r="L58" s="6">
        <f t="shared" si="26"/>
        <v>-5000</v>
      </c>
      <c r="M58" s="2"/>
      <c r="N58" s="7">
        <f t="shared" si="27"/>
        <v>-0.25</v>
      </c>
      <c r="O58" s="11"/>
      <c r="P58" s="6">
        <v>27000</v>
      </c>
      <c r="Q58" s="2"/>
      <c r="R58" s="7">
        <f t="shared" si="28"/>
        <v>0</v>
      </c>
      <c r="S58" s="2"/>
      <c r="T58" s="6">
        <v>20000</v>
      </c>
      <c r="U58" s="2"/>
      <c r="V58" s="7">
        <f t="shared" si="29"/>
        <v>0</v>
      </c>
      <c r="W58" s="2"/>
      <c r="X58" s="6">
        <f t="shared" si="30"/>
        <v>7000</v>
      </c>
      <c r="Y58" s="2"/>
      <c r="Z58" s="7">
        <f t="shared" si="31"/>
        <v>0.35</v>
      </c>
    </row>
    <row r="59" spans="1:26" s="24" customFormat="1" hidden="1" outlineLevel="2" x14ac:dyDescent="0.25">
      <c r="A59" s="27"/>
      <c r="B59" s="11" t="str">
        <f>CONCATENATE("          ", "6334", " - ", "LEGAL COUNCIL EXPENSE")</f>
        <v xml:space="preserve">          6334 - LEGAL COUNCIL EXPENSE</v>
      </c>
      <c r="C59" s="11"/>
      <c r="D59" s="6"/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15</v>
      </c>
      <c r="Q59" s="2"/>
      <c r="R59" s="7">
        <f t="shared" si="28"/>
        <v>0</v>
      </c>
      <c r="S59" s="2"/>
      <c r="T59" s="6">
        <v>1500</v>
      </c>
      <c r="U59" s="2"/>
      <c r="V59" s="7">
        <f t="shared" si="29"/>
        <v>0</v>
      </c>
      <c r="W59" s="2"/>
      <c r="X59" s="6">
        <f t="shared" si="30"/>
        <v>-1485</v>
      </c>
      <c r="Y59" s="2"/>
      <c r="Z59" s="7">
        <f t="shared" si="31"/>
        <v>-0.99</v>
      </c>
    </row>
    <row r="60" spans="1:26" s="24" customFormat="1" hidden="1" outlineLevel="2" x14ac:dyDescent="0.25">
      <c r="A60" s="27"/>
      <c r="B60" s="11" t="str">
        <f>CONCATENATE("          ", "6336", " - ", "PROFESSIONAL SERVICES")</f>
        <v xml:space="preserve">          6336 - PROFESSIONAL SERVICES</v>
      </c>
      <c r="C60" s="11"/>
      <c r="D60" s="6">
        <v>20</v>
      </c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20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6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3104.1099999999997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129.10999999999967</v>
      </c>
      <c r="M61" s="1"/>
      <c r="N61" s="5">
        <f t="shared" ref="N61:N64" si="35">IF(H61=0,0,L61/H61)</f>
        <v>4.3398319327730979E-2</v>
      </c>
      <c r="O61" s="13"/>
      <c r="P61" s="1">
        <f>SUM(OSRRefP22_11x_0)</f>
        <v>14964.68</v>
      </c>
      <c r="Q61" s="1"/>
      <c r="R61" s="5">
        <f t="shared" ref="R61:R64" si="36">IF(P$12=0,0,P61/P$12)</f>
        <v>0</v>
      </c>
      <c r="S61" s="1"/>
      <c r="T61" s="1">
        <f>SUM(OSRRefT22_11x_0)</f>
        <v>11900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3064.6800000000003</v>
      </c>
      <c r="Y61" s="1"/>
      <c r="Z61" s="5">
        <f t="shared" ref="Z61:Z64" si="39">IF(T61=0,0,X61/T61)</f>
        <v>0.25753613445378154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2666.87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-308.13000000000011</v>
      </c>
      <c r="M63" s="2"/>
      <c r="N63" s="7">
        <f t="shared" si="35"/>
        <v>-0.10357310924369752</v>
      </c>
      <c r="O63" s="11"/>
      <c r="P63" s="6">
        <v>14408.11</v>
      </c>
      <c r="Q63" s="2"/>
      <c r="R63" s="7">
        <f t="shared" si="36"/>
        <v>0</v>
      </c>
      <c r="S63" s="2"/>
      <c r="T63" s="6">
        <v>11900</v>
      </c>
      <c r="U63" s="2"/>
      <c r="V63" s="7">
        <f t="shared" si="37"/>
        <v>0</v>
      </c>
      <c r="W63" s="2"/>
      <c r="X63" s="6">
        <f t="shared" si="38"/>
        <v>2508.1100000000006</v>
      </c>
      <c r="Y63" s="2"/>
      <c r="Z63" s="7">
        <f t="shared" si="39"/>
        <v>0.21076554621848745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437.24</v>
      </c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437.24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6" customFormat="1" outlineLevel="1" collapsed="1" x14ac:dyDescent="0.25">
      <c r="A65" s="25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0</v>
      </c>
      <c r="M65" s="1"/>
      <c r="N65" s="5">
        <f t="shared" ref="N65:N70" si="43">IF(H65=0,0,L65/H65)</f>
        <v>0</v>
      </c>
      <c r="O65" s="13"/>
      <c r="P65" s="1">
        <f>SUM(OSRRefP22_12x_0)</f>
        <v>1000</v>
      </c>
      <c r="Q65" s="1"/>
      <c r="R65" s="5">
        <f t="shared" ref="R65:R70" si="44">IF(P$12=0,0,P65/P$12)</f>
        <v>0</v>
      </c>
      <c r="S65" s="1"/>
      <c r="T65" s="1">
        <f>SUM(OSRRefT22_12x_0)</f>
        <v>1230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-230</v>
      </c>
      <c r="Y65" s="1"/>
      <c r="Z65" s="5">
        <f t="shared" ref="Z65:Z70" si="47">IF(T65=0,0,X65/T65)</f>
        <v>-0.18699186991869918</v>
      </c>
    </row>
    <row r="66" spans="1:26" s="24" customFormat="1" hidden="1" outlineLevel="2" x14ac:dyDescent="0.25">
      <c r="A66" s="27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1000</v>
      </c>
      <c r="Q66" s="2"/>
      <c r="R66" s="7">
        <f t="shared" si="44"/>
        <v>0</v>
      </c>
      <c r="S66" s="2"/>
      <c r="T66" s="6">
        <v>1230</v>
      </c>
      <c r="U66" s="2"/>
      <c r="V66" s="7">
        <f t="shared" si="45"/>
        <v>0</v>
      </c>
      <c r="W66" s="2"/>
      <c r="X66" s="6">
        <f t="shared" si="46"/>
        <v>-230</v>
      </c>
      <c r="Y66" s="2"/>
      <c r="Z66" s="7">
        <f t="shared" si="47"/>
        <v>-0.18699186991869918</v>
      </c>
    </row>
    <row r="67" spans="1:26" s="26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72.650000000000006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-427.35</v>
      </c>
      <c r="M67" s="1"/>
      <c r="N67" s="5">
        <f t="shared" si="43"/>
        <v>-0.85470000000000002</v>
      </c>
      <c r="O67" s="13"/>
      <c r="P67" s="1">
        <f>SUM(OSRRefP22_13x_0)</f>
        <v>1876.3</v>
      </c>
      <c r="Q67" s="1"/>
      <c r="R67" s="5">
        <f t="shared" si="44"/>
        <v>0</v>
      </c>
      <c r="S67" s="1"/>
      <c r="T67" s="1">
        <f>SUM(OSRRefT22_13x_0)</f>
        <v>2500</v>
      </c>
      <c r="U67" s="1"/>
      <c r="V67" s="5">
        <f t="shared" si="45"/>
        <v>0</v>
      </c>
      <c r="W67" s="1"/>
      <c r="X67" s="1">
        <f t="shared" si="46"/>
        <v>-623.70000000000005</v>
      </c>
      <c r="Y67" s="1"/>
      <c r="Z67" s="5">
        <f t="shared" si="47"/>
        <v>-0.24948000000000001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-500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2500</v>
      </c>
      <c r="U68" s="2"/>
      <c r="V68" s="7">
        <f t="shared" si="45"/>
        <v>0</v>
      </c>
      <c r="W68" s="2"/>
      <c r="X68" s="6">
        <f t="shared" si="46"/>
        <v>-2282.98</v>
      </c>
      <c r="Y68" s="2"/>
      <c r="Z68" s="7">
        <f t="shared" si="47"/>
        <v>-0.913192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>
        <v>72.650000000000006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72.650000000000006</v>
      </c>
      <c r="M69" s="2"/>
      <c r="N69" s="7">
        <f t="shared" si="43"/>
        <v>0</v>
      </c>
      <c r="O69" s="11"/>
      <c r="P69" s="6">
        <v>1627.42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1627.42</v>
      </c>
      <c r="Y69" s="2"/>
      <c r="Z69" s="7">
        <f t="shared" si="47"/>
        <v>0</v>
      </c>
    </row>
    <row r="70" spans="1:26" s="24" customFormat="1" hidden="1" outlineLevel="2" x14ac:dyDescent="0.25">
      <c r="A70" s="27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31.86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31.86</v>
      </c>
      <c r="Y70" s="2"/>
      <c r="Z70" s="7">
        <f t="shared" si="47"/>
        <v>0</v>
      </c>
    </row>
    <row r="71" spans="1:26" s="26" customFormat="1" outlineLevel="1" collapsed="1" x14ac:dyDescent="0.25">
      <c r="A71" s="25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252.75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-97.25</v>
      </c>
      <c r="M71" s="1"/>
      <c r="N71" s="5">
        <f t="shared" ref="N71:N77" si="51">IF(H71=0,0,L71/H71)</f>
        <v>-0.27785714285714286</v>
      </c>
      <c r="O71" s="13"/>
      <c r="P71" s="1">
        <f>SUM(OSRRefP22_14x_0)</f>
        <v>1162.3800000000001</v>
      </c>
      <c r="Q71" s="1"/>
      <c r="R71" s="5">
        <f t="shared" ref="R71:R77" si="52">IF(P$12=0,0,P71/P$12)</f>
        <v>0</v>
      </c>
      <c r="S71" s="1"/>
      <c r="T71" s="1">
        <f>SUM(OSRRefT22_14x_0)</f>
        <v>1400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-237.61999999999989</v>
      </c>
      <c r="Y71" s="1"/>
      <c r="Z71" s="5">
        <f t="shared" ref="Z71:Z77" si="55">IF(T71=0,0,X71/T71)</f>
        <v>-0.16972857142857134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252.75</v>
      </c>
      <c r="E72" s="2"/>
      <c r="F72" s="7">
        <f t="shared" si="48"/>
        <v>0</v>
      </c>
      <c r="G72" s="2"/>
      <c r="H72" s="6">
        <v>350</v>
      </c>
      <c r="I72" s="2"/>
      <c r="J72" s="7">
        <f t="shared" si="49"/>
        <v>0</v>
      </c>
      <c r="K72" s="2"/>
      <c r="L72" s="6">
        <f t="shared" si="50"/>
        <v>-97.25</v>
      </c>
      <c r="M72" s="2"/>
      <c r="N72" s="7">
        <f t="shared" si="51"/>
        <v>-0.27785714285714286</v>
      </c>
      <c r="O72" s="11"/>
      <c r="P72" s="6">
        <v>1162.3800000000001</v>
      </c>
      <c r="Q72" s="2"/>
      <c r="R72" s="7">
        <f t="shared" si="52"/>
        <v>0</v>
      </c>
      <c r="S72" s="2"/>
      <c r="T72" s="6">
        <v>1400</v>
      </c>
      <c r="U72" s="2"/>
      <c r="V72" s="7">
        <f t="shared" si="53"/>
        <v>0</v>
      </c>
      <c r="W72" s="2"/>
      <c r="X72" s="6">
        <f t="shared" si="54"/>
        <v>-237.61999999999989</v>
      </c>
      <c r="Y72" s="2"/>
      <c r="Z72" s="7">
        <f t="shared" si="55"/>
        <v>-0.16972857142857134</v>
      </c>
    </row>
    <row r="73" spans="1:26" s="26" customFormat="1" outlineLevel="1" collapsed="1" x14ac:dyDescent="0.25">
      <c r="A73" s="25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1914</v>
      </c>
      <c r="E73" s="1"/>
      <c r="F73" s="5">
        <f t="shared" si="48"/>
        <v>0</v>
      </c>
      <c r="G73" s="1"/>
      <c r="H73" s="1">
        <f>SUM(OSRRefH22_15x_0)</f>
        <v>0</v>
      </c>
      <c r="I73" s="1"/>
      <c r="J73" s="5">
        <f t="shared" si="49"/>
        <v>0</v>
      </c>
      <c r="K73" s="1"/>
      <c r="L73" s="1">
        <f t="shared" si="50"/>
        <v>1914</v>
      </c>
      <c r="M73" s="1"/>
      <c r="N73" s="5">
        <f t="shared" si="51"/>
        <v>0</v>
      </c>
      <c r="O73" s="13"/>
      <c r="P73" s="1">
        <f>SUM(OSRRefP22_15x_0)</f>
        <v>1914</v>
      </c>
      <c r="Q73" s="1"/>
      <c r="R73" s="5">
        <f t="shared" si="52"/>
        <v>0</v>
      </c>
      <c r="S73" s="1"/>
      <c r="T73" s="1">
        <f>SUM(OSRRefT22_15x_0)</f>
        <v>1700</v>
      </c>
      <c r="U73" s="1"/>
      <c r="V73" s="5">
        <f t="shared" si="53"/>
        <v>0</v>
      </c>
      <c r="W73" s="1"/>
      <c r="X73" s="1">
        <f t="shared" si="54"/>
        <v>214</v>
      </c>
      <c r="Y73" s="1"/>
      <c r="Z73" s="5">
        <f t="shared" si="55"/>
        <v>0.12588235294117647</v>
      </c>
    </row>
    <row r="74" spans="1:26" s="24" customFormat="1" hidden="1" outlineLevel="2" x14ac:dyDescent="0.25">
      <c r="A74" s="27"/>
      <c r="B74" s="11" t="str">
        <f>CONCATENATE("          ", "6376", " - ", "TRAINING")</f>
        <v xml:space="preserve">          6376 - TRAINING</v>
      </c>
      <c r="C74" s="11"/>
      <c r="D74" s="6">
        <v>1914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1914</v>
      </c>
      <c r="M74" s="2"/>
      <c r="N74" s="7">
        <f t="shared" si="51"/>
        <v>0</v>
      </c>
      <c r="O74" s="11"/>
      <c r="P74" s="6">
        <v>1914</v>
      </c>
      <c r="Q74" s="2"/>
      <c r="R74" s="7">
        <f t="shared" si="52"/>
        <v>0</v>
      </c>
      <c r="S74" s="2"/>
      <c r="T74" s="6">
        <v>1700</v>
      </c>
      <c r="U74" s="2"/>
      <c r="V74" s="7">
        <f t="shared" si="53"/>
        <v>0</v>
      </c>
      <c r="W74" s="2"/>
      <c r="X74" s="6">
        <f t="shared" si="54"/>
        <v>214</v>
      </c>
      <c r="Y74" s="2"/>
      <c r="Z74" s="7">
        <f t="shared" si="55"/>
        <v>0.12588235294117647</v>
      </c>
    </row>
    <row r="75" spans="1:26" s="26" customFormat="1" outlineLevel="1" collapsed="1" x14ac:dyDescent="0.25">
      <c r="A75" s="25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216.3</v>
      </c>
      <c r="E75" s="1"/>
      <c r="F75" s="5">
        <f t="shared" si="48"/>
        <v>0</v>
      </c>
      <c r="G75" s="1"/>
      <c r="H75" s="1">
        <f>SUM(OSRRefH22_16x_0)</f>
        <v>5250</v>
      </c>
      <c r="I75" s="1"/>
      <c r="J75" s="5">
        <f t="shared" si="49"/>
        <v>0</v>
      </c>
      <c r="K75" s="1"/>
      <c r="L75" s="1">
        <f t="shared" si="50"/>
        <v>-5033.7</v>
      </c>
      <c r="M75" s="1"/>
      <c r="N75" s="5">
        <f t="shared" si="51"/>
        <v>-0.95879999999999999</v>
      </c>
      <c r="O75" s="13"/>
      <c r="P75" s="1">
        <f>SUM(OSRRefP22_16x_0)</f>
        <v>3197.42</v>
      </c>
      <c r="Q75" s="1"/>
      <c r="R75" s="5">
        <f t="shared" si="52"/>
        <v>0</v>
      </c>
      <c r="S75" s="1"/>
      <c r="T75" s="1">
        <f>SUM(OSRRefT22_16x_0)</f>
        <v>7750</v>
      </c>
      <c r="U75" s="1"/>
      <c r="V75" s="5">
        <f t="shared" si="53"/>
        <v>0</v>
      </c>
      <c r="W75" s="1"/>
      <c r="X75" s="1">
        <f t="shared" si="54"/>
        <v>-4552.58</v>
      </c>
      <c r="Y75" s="1"/>
      <c r="Z75" s="5">
        <f t="shared" si="55"/>
        <v>-0.58742967741935481</v>
      </c>
    </row>
    <row r="76" spans="1:26" s="24" customFormat="1" hidden="1" outlineLevel="2" x14ac:dyDescent="0.25">
      <c r="A76" s="27"/>
      <c r="B76" s="11" t="str">
        <f>CONCATENATE("          ", "6292", " - ", "TRAVEL/CONFERENCE")</f>
        <v xml:space="preserve">          6292 - TRAVEL/CONFERENCE</v>
      </c>
      <c r="C76" s="11"/>
      <c r="D76" s="6">
        <v>216.3</v>
      </c>
      <c r="E76" s="2"/>
      <c r="F76" s="7">
        <f t="shared" si="48"/>
        <v>0</v>
      </c>
      <c r="G76" s="2"/>
      <c r="H76" s="6">
        <v>4000</v>
      </c>
      <c r="I76" s="2"/>
      <c r="J76" s="7">
        <f t="shared" si="49"/>
        <v>0</v>
      </c>
      <c r="K76" s="2"/>
      <c r="L76" s="6">
        <f t="shared" si="50"/>
        <v>-3783.7</v>
      </c>
      <c r="M76" s="2"/>
      <c r="N76" s="7">
        <f t="shared" si="51"/>
        <v>-0.9459249999999999</v>
      </c>
      <c r="O76" s="11"/>
      <c r="P76" s="6">
        <v>3197.42</v>
      </c>
      <c r="Q76" s="2"/>
      <c r="R76" s="7">
        <f t="shared" si="52"/>
        <v>0</v>
      </c>
      <c r="S76" s="2"/>
      <c r="T76" s="6">
        <v>6500</v>
      </c>
      <c r="U76" s="2"/>
      <c r="V76" s="7">
        <f t="shared" si="53"/>
        <v>0</v>
      </c>
      <c r="W76" s="2"/>
      <c r="X76" s="6">
        <f t="shared" si="54"/>
        <v>-3302.58</v>
      </c>
      <c r="Y76" s="2"/>
      <c r="Z76" s="7">
        <f t="shared" si="55"/>
        <v>-0.50808923076923074</v>
      </c>
    </row>
    <row r="77" spans="1:26" s="24" customFormat="1" hidden="1" outlineLevel="2" x14ac:dyDescent="0.25">
      <c r="A77" s="27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8"/>
        <v>0</v>
      </c>
      <c r="G77" s="2"/>
      <c r="H77" s="6">
        <v>1250</v>
      </c>
      <c r="I77" s="2"/>
      <c r="J77" s="7">
        <f t="shared" si="49"/>
        <v>0</v>
      </c>
      <c r="K77" s="2"/>
      <c r="L77" s="6">
        <f t="shared" si="50"/>
        <v>-1250</v>
      </c>
      <c r="M77" s="2"/>
      <c r="N77" s="7">
        <f t="shared" si="51"/>
        <v>-1</v>
      </c>
      <c r="O77" s="11"/>
      <c r="P77" s="6"/>
      <c r="Q77" s="2"/>
      <c r="R77" s="7">
        <f t="shared" si="52"/>
        <v>0</v>
      </c>
      <c r="S77" s="2"/>
      <c r="T77" s="6">
        <v>1250</v>
      </c>
      <c r="U77" s="2"/>
      <c r="V77" s="7">
        <f t="shared" si="53"/>
        <v>0</v>
      </c>
      <c r="W77" s="2"/>
      <c r="X77" s="6">
        <f t="shared" si="54"/>
        <v>-1250</v>
      </c>
      <c r="Y77" s="2"/>
      <c r="Z77" s="7">
        <f t="shared" si="55"/>
        <v>-1</v>
      </c>
    </row>
    <row r="78" spans="1:26" s="61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2">
        <f>+D16-D18+D79</f>
        <v>-13420.950000000003</v>
      </c>
      <c r="E81" s="14"/>
      <c r="F81" s="20">
        <f>IF(D$12=0,0,D81/D$12)</f>
        <v>0</v>
      </c>
      <c r="G81" s="14"/>
      <c r="H81" s="22">
        <f>+H16-H18+H79</f>
        <v>-100961.24302115384</v>
      </c>
      <c r="I81" s="14"/>
      <c r="J81" s="20">
        <f>IF(H$12=0,0,H81/H$12)</f>
        <v>0</v>
      </c>
      <c r="K81" s="16"/>
      <c r="L81" s="22">
        <f>+D81-H81</f>
        <v>87540.293021153848</v>
      </c>
      <c r="M81" s="16"/>
      <c r="N81" s="20">
        <f>IF(H81=0,0,L81/H81)</f>
        <v>-0.86706829672067354</v>
      </c>
      <c r="O81" s="29"/>
      <c r="P81" s="22">
        <f>+P16-P18+P79</f>
        <v>-345009.05</v>
      </c>
      <c r="Q81" s="14"/>
      <c r="R81" s="20">
        <f>IF(P$12=0,0,P81/P$12)</f>
        <v>0</v>
      </c>
      <c r="S81" s="14"/>
      <c r="T81" s="22">
        <f>+T16-T18+T79</f>
        <v>-619095.2748761538</v>
      </c>
      <c r="U81" s="14"/>
      <c r="V81" s="20">
        <f>IF(T$12=0,0,T81/T$12)</f>
        <v>0</v>
      </c>
      <c r="W81" s="16"/>
      <c r="X81" s="22">
        <f>+P81-T81</f>
        <v>274086.22487615381</v>
      </c>
      <c r="Y81" s="16"/>
      <c r="Z81" s="20">
        <f>IF(T81=0,0,X81/T81)</f>
        <v>-0.44272058921945912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-13420.950000000003</v>
      </c>
      <c r="E85" s="14"/>
      <c r="F85" s="33">
        <f>IF(D$12=0,0,D85/D$12)</f>
        <v>0</v>
      </c>
      <c r="G85" s="14"/>
      <c r="H85" s="31">
        <f>+H81-H83</f>
        <v>-100961.24302115384</v>
      </c>
      <c r="I85" s="14"/>
      <c r="J85" s="33">
        <f>IF(H$12=0,0,H85/H$12)</f>
        <v>0</v>
      </c>
      <c r="K85" s="16"/>
      <c r="L85" s="31">
        <f>D85-H85</f>
        <v>87540.293021153848</v>
      </c>
      <c r="M85" s="16"/>
      <c r="N85" s="33">
        <f>IF(H85=0,0,L85/H85)</f>
        <v>-0.86706829672067354</v>
      </c>
      <c r="O85" s="29"/>
      <c r="P85" s="31">
        <f>+P81-P83</f>
        <v>-345009.05</v>
      </c>
      <c r="Q85" s="14"/>
      <c r="R85" s="33">
        <f>IF(P$12=0,0,P85/P$12)</f>
        <v>0</v>
      </c>
      <c r="S85" s="14"/>
      <c r="T85" s="31">
        <f>+T81-T83</f>
        <v>-619095.2748761538</v>
      </c>
      <c r="U85" s="14"/>
      <c r="V85" s="33">
        <f>IF(T$12=0,0,T85/T$12)</f>
        <v>0</v>
      </c>
      <c r="W85" s="16"/>
      <c r="X85" s="31">
        <f>P85-T85</f>
        <v>274086.22487615381</v>
      </c>
      <c r="Y85" s="16"/>
      <c r="Z85" s="33">
        <f>IF(T85=0,0,X85/T85)</f>
        <v>-0.44272058921945912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2">
        <f>SUM(D85:D87)</f>
        <v>-13420.950000000003</v>
      </c>
      <c r="E88" s="14"/>
      <c r="F88" s="34">
        <f>IF(D$12=0,0,D88/D$12)</f>
        <v>0</v>
      </c>
      <c r="G88" s="14"/>
      <c r="H88" s="32">
        <f>SUM(H85:H87)</f>
        <v>-100961.24302115384</v>
      </c>
      <c r="I88" s="14"/>
      <c r="J88" s="34">
        <f>IF(H$12=0,0,H88/H$12)</f>
        <v>0</v>
      </c>
      <c r="K88" s="16"/>
      <c r="L88" s="32">
        <f>+D88-H88</f>
        <v>87540.293021153848</v>
      </c>
      <c r="M88" s="16"/>
      <c r="N88" s="34">
        <f>IF(H88=0,0,L88/H88)</f>
        <v>-0.86706829672067354</v>
      </c>
      <c r="O88" s="29"/>
      <c r="P88" s="32">
        <f>SUM(P85:P87)</f>
        <v>-345009.05</v>
      </c>
      <c r="Q88" s="14"/>
      <c r="R88" s="34">
        <f>IF(P$12=0,0,P88/P$12)</f>
        <v>0</v>
      </c>
      <c r="S88" s="14"/>
      <c r="T88" s="32">
        <f>SUM(T85:T87)</f>
        <v>-619095.2748761538</v>
      </c>
      <c r="U88" s="14"/>
      <c r="V88" s="34">
        <f>IF(T$12=0,0,T88/T$12)</f>
        <v>0</v>
      </c>
      <c r="W88" s="16"/>
      <c r="X88" s="32">
        <f>+P88-T88</f>
        <v>274086.22487615381</v>
      </c>
      <c r="Y88" s="16"/>
      <c r="Z88" s="34">
        <f>IF(T88=0,0,X88/T88)</f>
        <v>-0.44272058921945912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0">
        <v>43791.347918287036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4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5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64025.77</v>
      </c>
      <c r="E18" s="21"/>
      <c r="F18" s="35">
        <f t="shared" ref="F18:F28" si="0">IF(D$12=0,0,D18/D$12)</f>
        <v>0</v>
      </c>
      <c r="G18" s="21"/>
      <c r="H18" s="21">
        <f>SUM(OSRRefH22x_0)</f>
        <v>59045.81676730769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4979.9532326923072</v>
      </c>
      <c r="M18" s="4"/>
      <c r="N18" s="35">
        <f t="shared" ref="N18:N28" si="3">IF(H18=0,0,L18/H18)</f>
        <v>8.4340491932183626E-2</v>
      </c>
      <c r="O18" s="10"/>
      <c r="P18" s="21">
        <f>SUM(OSRRefP22x_0)</f>
        <v>214294.67999999996</v>
      </c>
      <c r="Q18" s="21"/>
      <c r="R18" s="35">
        <f t="shared" ref="R18:R28" si="4">IF(P$12=0,0,P18/P$12)</f>
        <v>0</v>
      </c>
      <c r="S18" s="21"/>
      <c r="T18" s="21">
        <f>SUM(OSRRefT22x_0)</f>
        <v>217404.33368730758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-3109.6536873076111</v>
      </c>
      <c r="Y18" s="4"/>
      <c r="Z18" s="35">
        <f t="shared" ref="Z18:Z28" si="7">IF(T18=0,0,X18/T18)</f>
        <v>-1.4303549678914049E-2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20078.59</v>
      </c>
      <c r="E19" s="1"/>
      <c r="F19" s="5">
        <f t="shared" si="0"/>
        <v>0</v>
      </c>
      <c r="G19" s="1"/>
      <c r="H19" s="1">
        <f>SUM(OSRRefH22_0x_0)</f>
        <v>15873.618690384625</v>
      </c>
      <c r="I19" s="1"/>
      <c r="J19" s="5">
        <f t="shared" si="1"/>
        <v>0</v>
      </c>
      <c r="K19" s="1"/>
      <c r="L19" s="1">
        <f t="shared" si="2"/>
        <v>4204.9713096153755</v>
      </c>
      <c r="M19" s="1"/>
      <c r="N19" s="5">
        <f t="shared" si="3"/>
        <v>0.26490313214859562</v>
      </c>
      <c r="O19" s="13"/>
      <c r="P19" s="1">
        <f>SUM(OSRRefP22_0x_0)</f>
        <v>66220.02</v>
      </c>
      <c r="Q19" s="1"/>
      <c r="R19" s="5">
        <f t="shared" si="4"/>
        <v>0</v>
      </c>
      <c r="S19" s="1"/>
      <c r="T19" s="1">
        <f>SUM(OSRRefT22_0x_0)</f>
        <v>60705.395610384614</v>
      </c>
      <c r="U19" s="1"/>
      <c r="V19" s="5">
        <f t="shared" si="5"/>
        <v>0</v>
      </c>
      <c r="W19" s="1"/>
      <c r="X19" s="1">
        <f t="shared" si="6"/>
        <v>5514.6243896153901</v>
      </c>
      <c r="Y19" s="1"/>
      <c r="Z19" s="5">
        <f t="shared" si="7"/>
        <v>9.0842409215302553E-2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5148.4799999999996</v>
      </c>
      <c r="E20" s="2"/>
      <c r="F20" s="7">
        <f t="shared" si="0"/>
        <v>0</v>
      </c>
      <c r="G20" s="2"/>
      <c r="H20" s="6">
        <v>2639.1517673076901</v>
      </c>
      <c r="I20" s="2"/>
      <c r="J20" s="7">
        <f t="shared" si="1"/>
        <v>0</v>
      </c>
      <c r="K20" s="2"/>
      <c r="L20" s="6">
        <f t="shared" si="2"/>
        <v>2509.3282326923095</v>
      </c>
      <c r="M20" s="2"/>
      <c r="N20" s="7">
        <f t="shared" si="3"/>
        <v>0.95080861350091317</v>
      </c>
      <c r="O20" s="11"/>
      <c r="P20" s="6">
        <v>11340.31</v>
      </c>
      <c r="Q20" s="2"/>
      <c r="R20" s="7">
        <f t="shared" si="4"/>
        <v>0</v>
      </c>
      <c r="S20" s="2"/>
      <c r="T20" s="6">
        <v>10335.314687307678</v>
      </c>
      <c r="U20" s="2"/>
      <c r="V20" s="7">
        <f t="shared" si="5"/>
        <v>0</v>
      </c>
      <c r="W20" s="2"/>
      <c r="X20" s="6">
        <f t="shared" si="6"/>
        <v>1004.995312692321</v>
      </c>
      <c r="Y20" s="2"/>
      <c r="Z20" s="7">
        <f t="shared" si="7"/>
        <v>9.7238965923941267E-2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13.32</v>
      </c>
      <c r="E21" s="2"/>
      <c r="F21" s="7">
        <f t="shared" si="0"/>
        <v>0</v>
      </c>
      <c r="G21" s="2"/>
      <c r="H21" s="6">
        <v>143.72715384615401</v>
      </c>
      <c r="I21" s="2"/>
      <c r="J21" s="7">
        <f t="shared" si="1"/>
        <v>0</v>
      </c>
      <c r="K21" s="2"/>
      <c r="L21" s="6">
        <f t="shared" si="2"/>
        <v>-130.40715384615402</v>
      </c>
      <c r="M21" s="2"/>
      <c r="N21" s="7">
        <f t="shared" si="3"/>
        <v>-0.90732440152361349</v>
      </c>
      <c r="O21" s="11"/>
      <c r="P21" s="6">
        <v>315.63</v>
      </c>
      <c r="Q21" s="2"/>
      <c r="R21" s="7">
        <f t="shared" si="4"/>
        <v>0</v>
      </c>
      <c r="S21" s="2"/>
      <c r="T21" s="6">
        <v>517.41775384615403</v>
      </c>
      <c r="U21" s="2"/>
      <c r="V21" s="7">
        <f t="shared" si="5"/>
        <v>0</v>
      </c>
      <c r="W21" s="2"/>
      <c r="X21" s="6">
        <f t="shared" si="6"/>
        <v>-201.78775384615403</v>
      </c>
      <c r="Y21" s="2"/>
      <c r="Z21" s="7">
        <f t="shared" si="7"/>
        <v>-0.38999000777648696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-122.97999999999956</v>
      </c>
      <c r="M22" s="2"/>
      <c r="N22" s="7">
        <f t="shared" si="3"/>
        <v>-2.027699917559762E-2</v>
      </c>
      <c r="O22" s="11"/>
      <c r="P22" s="6">
        <v>23768.080000000002</v>
      </c>
      <c r="Q22" s="2"/>
      <c r="R22" s="7">
        <f t="shared" si="4"/>
        <v>0</v>
      </c>
      <c r="S22" s="2"/>
      <c r="T22" s="6">
        <v>24260</v>
      </c>
      <c r="U22" s="2"/>
      <c r="V22" s="7">
        <f t="shared" si="5"/>
        <v>0</v>
      </c>
      <c r="W22" s="2"/>
      <c r="X22" s="6">
        <f t="shared" si="6"/>
        <v>-491.91999999999825</v>
      </c>
      <c r="Y22" s="2"/>
      <c r="Z22" s="7">
        <f t="shared" si="7"/>
        <v>-2.027699917559762E-2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150.94999999999999</v>
      </c>
      <c r="E23" s="2"/>
      <c r="F23" s="7">
        <f t="shared" si="0"/>
        <v>0</v>
      </c>
      <c r="G23" s="2"/>
      <c r="H23" s="6">
        <v>109.90900000000001</v>
      </c>
      <c r="I23" s="2"/>
      <c r="J23" s="7">
        <f t="shared" si="1"/>
        <v>0</v>
      </c>
      <c r="K23" s="2"/>
      <c r="L23" s="6">
        <f t="shared" si="2"/>
        <v>41.040999999999983</v>
      </c>
      <c r="M23" s="2"/>
      <c r="N23" s="7">
        <f t="shared" si="3"/>
        <v>0.37340891100819751</v>
      </c>
      <c r="O23" s="11"/>
      <c r="P23" s="6">
        <v>382.12</v>
      </c>
      <c r="Q23" s="2"/>
      <c r="R23" s="7">
        <f t="shared" si="4"/>
        <v>0</v>
      </c>
      <c r="S23" s="2"/>
      <c r="T23" s="6">
        <v>395.67239999999998</v>
      </c>
      <c r="U23" s="2"/>
      <c r="V23" s="7">
        <f t="shared" si="5"/>
        <v>0</v>
      </c>
      <c r="W23" s="2"/>
      <c r="X23" s="6">
        <f t="shared" si="6"/>
        <v>-13.552399999999977</v>
      </c>
      <c r="Y23" s="2"/>
      <c r="Z23" s="7">
        <f t="shared" si="7"/>
        <v>-3.4251567711065967E-2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3424.58</v>
      </c>
      <c r="E24" s="2"/>
      <c r="F24" s="7">
        <f t="shared" si="0"/>
        <v>0</v>
      </c>
      <c r="G24" s="2"/>
      <c r="H24" s="6">
        <v>2699.98653846154</v>
      </c>
      <c r="I24" s="2"/>
      <c r="J24" s="7">
        <f t="shared" si="1"/>
        <v>0</v>
      </c>
      <c r="K24" s="2"/>
      <c r="L24" s="6">
        <f t="shared" si="2"/>
        <v>724.59346153845991</v>
      </c>
      <c r="M24" s="2"/>
      <c r="N24" s="7">
        <f t="shared" si="3"/>
        <v>0.26836928674145738</v>
      </c>
      <c r="O24" s="11"/>
      <c r="P24" s="6">
        <v>10014.950000000001</v>
      </c>
      <c r="Q24" s="2"/>
      <c r="R24" s="7">
        <f t="shared" si="4"/>
        <v>0</v>
      </c>
      <c r="S24" s="2"/>
      <c r="T24" s="6">
        <v>9719.9515384615406</v>
      </c>
      <c r="U24" s="2"/>
      <c r="V24" s="7">
        <f t="shared" si="5"/>
        <v>0</v>
      </c>
      <c r="W24" s="2"/>
      <c r="X24" s="6">
        <f t="shared" si="6"/>
        <v>294.99846153846011</v>
      </c>
      <c r="Y24" s="2"/>
      <c r="Z24" s="7">
        <f t="shared" si="7"/>
        <v>3.0349787277350153E-2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2800.14</v>
      </c>
      <c r="E26" s="2"/>
      <c r="F26" s="7">
        <f t="shared" si="0"/>
        <v>0</v>
      </c>
      <c r="G26" s="2"/>
      <c r="H26" s="6">
        <v>1569.75961538462</v>
      </c>
      <c r="I26" s="2"/>
      <c r="J26" s="7">
        <f t="shared" si="1"/>
        <v>0</v>
      </c>
      <c r="K26" s="2"/>
      <c r="L26" s="6">
        <f t="shared" si="2"/>
        <v>1230.3803846153799</v>
      </c>
      <c r="M26" s="2"/>
      <c r="N26" s="7">
        <f t="shared" si="3"/>
        <v>0.7838017824875142</v>
      </c>
      <c r="O26" s="11"/>
      <c r="P26" s="6">
        <v>9274.84</v>
      </c>
      <c r="Q26" s="2"/>
      <c r="R26" s="7">
        <f t="shared" si="4"/>
        <v>0</v>
      </c>
      <c r="S26" s="2"/>
      <c r="T26" s="6">
        <v>5651.1346153846198</v>
      </c>
      <c r="U26" s="2"/>
      <c r="V26" s="7">
        <f t="shared" si="5"/>
        <v>0</v>
      </c>
      <c r="W26" s="2"/>
      <c r="X26" s="6">
        <f t="shared" si="6"/>
        <v>3623.7053846153804</v>
      </c>
      <c r="Y26" s="2"/>
      <c r="Z26" s="7">
        <f t="shared" si="7"/>
        <v>0.64123501407137307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1728.3</v>
      </c>
      <c r="E27" s="2"/>
      <c r="F27" s="7">
        <f t="shared" si="0"/>
        <v>0</v>
      </c>
      <c r="G27" s="2"/>
      <c r="H27" s="6">
        <v>1896.0846153846198</v>
      </c>
      <c r="I27" s="2"/>
      <c r="J27" s="7">
        <f t="shared" si="1"/>
        <v>0</v>
      </c>
      <c r="K27" s="2"/>
      <c r="L27" s="6">
        <f t="shared" si="2"/>
        <v>-167.78461538461988</v>
      </c>
      <c r="M27" s="2"/>
      <c r="N27" s="7">
        <f t="shared" si="3"/>
        <v>-8.8490046289724705E-2</v>
      </c>
      <c r="O27" s="11"/>
      <c r="P27" s="6">
        <v>7967.61</v>
      </c>
      <c r="Q27" s="2"/>
      <c r="R27" s="7">
        <f t="shared" si="4"/>
        <v>0</v>
      </c>
      <c r="S27" s="2"/>
      <c r="T27" s="6">
        <v>6825.9046153846202</v>
      </c>
      <c r="U27" s="2"/>
      <c r="V27" s="7">
        <f t="shared" si="5"/>
        <v>0</v>
      </c>
      <c r="W27" s="2"/>
      <c r="X27" s="6">
        <f t="shared" si="6"/>
        <v>1141.7053846153794</v>
      </c>
      <c r="Y27" s="2"/>
      <c r="Z27" s="7">
        <f t="shared" si="7"/>
        <v>0.16726067077499698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870.8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120.79999999999995</v>
      </c>
      <c r="M28" s="2"/>
      <c r="N28" s="7">
        <f t="shared" si="3"/>
        <v>0.16106666666666661</v>
      </c>
      <c r="O28" s="11"/>
      <c r="P28" s="6">
        <v>3156.48</v>
      </c>
      <c r="Q28" s="2"/>
      <c r="R28" s="7">
        <f t="shared" si="4"/>
        <v>0</v>
      </c>
      <c r="S28" s="2"/>
      <c r="T28" s="6">
        <v>3000</v>
      </c>
      <c r="U28" s="2"/>
      <c r="V28" s="7">
        <f t="shared" si="5"/>
        <v>0</v>
      </c>
      <c r="W28" s="2"/>
      <c r="X28" s="6">
        <f t="shared" si="6"/>
        <v>156.48000000000002</v>
      </c>
      <c r="Y28" s="2"/>
      <c r="Z28" s="7">
        <f t="shared" si="7"/>
        <v>5.2160000000000005E-2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37140.97</v>
      </c>
      <c r="E29" s="1"/>
      <c r="F29" s="5">
        <f t="shared" ref="F29:F39" si="8">IF(D$12=0,0,D29/D$12)</f>
        <v>0</v>
      </c>
      <c r="G29" s="1"/>
      <c r="H29" s="1">
        <f>SUM(OSRRefH22_1x_0)</f>
        <v>39219.198076923065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-2078.2280769230638</v>
      </c>
      <c r="M29" s="1"/>
      <c r="N29" s="5">
        <f t="shared" ref="N29:N39" si="11">IF(H29=0,0,L29/H29)</f>
        <v>-5.2990070649759469E-2</v>
      </c>
      <c r="O29" s="13"/>
      <c r="P29" s="1">
        <f>SUM(OSRRefP22_1x_0)</f>
        <v>128283.28</v>
      </c>
      <c r="Q29" s="1"/>
      <c r="R29" s="5">
        <f t="shared" ref="R29:R39" si="12">IF(P$12=0,0,P29/P$12)</f>
        <v>0</v>
      </c>
      <c r="S29" s="1"/>
      <c r="T29" s="1">
        <f>SUM(OSRRefT22_1x_0)</f>
        <v>141111.93807692299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-12828.658076922991</v>
      </c>
      <c r="Y29" s="1"/>
      <c r="Z29" s="5">
        <f t="shared" ref="Z29:Z39" si="15">IF(T29=0,0,X29/T29)</f>
        <v>-9.0911217376447834E-2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6774.2307692307704</v>
      </c>
      <c r="I30" s="2"/>
      <c r="J30" s="7">
        <f t="shared" si="9"/>
        <v>0</v>
      </c>
      <c r="K30" s="2"/>
      <c r="L30" s="6">
        <f t="shared" si="10"/>
        <v>-6774.2307692307704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24387.23076923078</v>
      </c>
      <c r="U30" s="2"/>
      <c r="V30" s="7">
        <f t="shared" si="13"/>
        <v>0</v>
      </c>
      <c r="W30" s="2"/>
      <c r="X30" s="6">
        <f t="shared" si="14"/>
        <v>-24387.23076923078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28399.25</v>
      </c>
      <c r="E31" s="2"/>
      <c r="F31" s="7">
        <f t="shared" si="8"/>
        <v>0</v>
      </c>
      <c r="G31" s="2"/>
      <c r="H31" s="6">
        <v>21481.442307692298</v>
      </c>
      <c r="I31" s="2"/>
      <c r="J31" s="7">
        <f t="shared" si="9"/>
        <v>0</v>
      </c>
      <c r="K31" s="2"/>
      <c r="L31" s="6">
        <f t="shared" si="10"/>
        <v>6917.8076923077024</v>
      </c>
      <c r="M31" s="2"/>
      <c r="N31" s="7">
        <f t="shared" si="11"/>
        <v>0.32203646259965057</v>
      </c>
      <c r="O31" s="11"/>
      <c r="P31" s="6">
        <v>103457.35</v>
      </c>
      <c r="Q31" s="2"/>
      <c r="R31" s="7">
        <f t="shared" si="12"/>
        <v>0</v>
      </c>
      <c r="S31" s="2"/>
      <c r="T31" s="6">
        <v>77333.192307692196</v>
      </c>
      <c r="U31" s="2"/>
      <c r="V31" s="7">
        <f t="shared" si="13"/>
        <v>0</v>
      </c>
      <c r="W31" s="2"/>
      <c r="X31" s="6">
        <f t="shared" si="14"/>
        <v>26124.15769230781</v>
      </c>
      <c r="Y31" s="2"/>
      <c r="Z31" s="7">
        <f t="shared" si="15"/>
        <v>0.33781299999055237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3120.9</v>
      </c>
      <c r="I33" s="2"/>
      <c r="J33" s="7">
        <f t="shared" si="9"/>
        <v>0</v>
      </c>
      <c r="K33" s="2"/>
      <c r="L33" s="6">
        <f t="shared" si="10"/>
        <v>-3120.9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11235.24</v>
      </c>
      <c r="U33" s="2"/>
      <c r="V33" s="7">
        <f t="shared" si="13"/>
        <v>0</v>
      </c>
      <c r="W33" s="2"/>
      <c r="X33" s="6">
        <f t="shared" si="14"/>
        <v>-11235.24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3564.97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3564.97</v>
      </c>
      <c r="M34" s="2"/>
      <c r="N34" s="7">
        <f t="shared" si="11"/>
        <v>0</v>
      </c>
      <c r="O34" s="11"/>
      <c r="P34" s="6">
        <v>10238.68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10238.68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4351.75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4351.75</v>
      </c>
      <c r="M36" s="2"/>
      <c r="N36" s="7">
        <f t="shared" si="11"/>
        <v>0</v>
      </c>
      <c r="O36" s="11"/>
      <c r="P36" s="6">
        <v>12562.25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1659.75</v>
      </c>
      <c r="Y36" s="2"/>
      <c r="Z36" s="7">
        <f t="shared" si="15"/>
        <v>0.15223572575097455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825</v>
      </c>
      <c r="E37" s="2"/>
      <c r="F37" s="7">
        <f t="shared" si="8"/>
        <v>0</v>
      </c>
      <c r="G37" s="2"/>
      <c r="H37" s="6">
        <v>7842.6249999999991</v>
      </c>
      <c r="I37" s="2"/>
      <c r="J37" s="7">
        <f t="shared" si="9"/>
        <v>0</v>
      </c>
      <c r="K37" s="2"/>
      <c r="L37" s="6">
        <f t="shared" si="10"/>
        <v>-7017.6249999999991</v>
      </c>
      <c r="M37" s="2"/>
      <c r="N37" s="7">
        <f t="shared" si="11"/>
        <v>-0.89480562949267628</v>
      </c>
      <c r="O37" s="11"/>
      <c r="P37" s="6">
        <v>2025</v>
      </c>
      <c r="Q37" s="2"/>
      <c r="R37" s="7">
        <f t="shared" si="12"/>
        <v>0</v>
      </c>
      <c r="S37" s="2"/>
      <c r="T37" s="6">
        <v>17253.775000000001</v>
      </c>
      <c r="U37" s="2"/>
      <c r="V37" s="7">
        <f t="shared" si="13"/>
        <v>0</v>
      </c>
      <c r="W37" s="2"/>
      <c r="X37" s="6">
        <f t="shared" si="14"/>
        <v>-15228.775000000001</v>
      </c>
      <c r="Y37" s="2"/>
      <c r="Z37" s="7">
        <f t="shared" si="15"/>
        <v>-0.88263438001249006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3"/>
      <c r="P40" s="1">
        <f>SUM(OSRRefP22_2x_0)</f>
        <v>0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-25</v>
      </c>
      <c r="Y40" s="1"/>
      <c r="Z40" s="5">
        <f t="shared" ref="Z40:Z57" si="23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-25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6235.52</v>
      </c>
      <c r="Q42" s="1"/>
      <c r="R42" s="5">
        <f t="shared" si="20"/>
        <v>0</v>
      </c>
      <c r="S42" s="1"/>
      <c r="T42" s="1">
        <f>SUM(OSRRefT22_3x_0)</f>
        <v>6236</v>
      </c>
      <c r="U42" s="1"/>
      <c r="V42" s="5">
        <f t="shared" si="21"/>
        <v>0</v>
      </c>
      <c r="W42" s="1"/>
      <c r="X42" s="1">
        <f t="shared" si="22"/>
        <v>-0.47999999999956344</v>
      </c>
      <c r="Y42" s="1"/>
      <c r="Z42" s="5">
        <f t="shared" si="23"/>
        <v>-7.6972418216735637E-5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6235.52</v>
      </c>
      <c r="Q43" s="2"/>
      <c r="R43" s="7">
        <f t="shared" si="20"/>
        <v>0</v>
      </c>
      <c r="S43" s="2"/>
      <c r="T43" s="6">
        <v>6236</v>
      </c>
      <c r="U43" s="2"/>
      <c r="V43" s="7">
        <f t="shared" si="21"/>
        <v>0</v>
      </c>
      <c r="W43" s="2"/>
      <c r="X43" s="6">
        <f t="shared" si="22"/>
        <v>-0.47999999999956344</v>
      </c>
      <c r="Y43" s="2"/>
      <c r="Z43" s="7">
        <f t="shared" si="23"/>
        <v>-7.6972418216735637E-5</v>
      </c>
    </row>
    <row r="44" spans="1:26" s="26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100</v>
      </c>
      <c r="U44" s="1"/>
      <c r="V44" s="5">
        <f t="shared" si="21"/>
        <v>0</v>
      </c>
      <c r="W44" s="1"/>
      <c r="X44" s="1">
        <f t="shared" si="22"/>
        <v>-100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100</v>
      </c>
      <c r="U45" s="2"/>
      <c r="V45" s="7">
        <f t="shared" si="21"/>
        <v>0</v>
      </c>
      <c r="W45" s="2"/>
      <c r="X45" s="6">
        <f t="shared" si="22"/>
        <v>-100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182.52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91.52000000000001</v>
      </c>
      <c r="M46" s="1"/>
      <c r="N46" s="5">
        <f t="shared" si="19"/>
        <v>1.0057142857142858</v>
      </c>
      <c r="O46" s="13"/>
      <c r="P46" s="1">
        <f>SUM(OSRRefP22_5x_0)</f>
        <v>456.3</v>
      </c>
      <c r="Q46" s="1"/>
      <c r="R46" s="5">
        <f t="shared" si="20"/>
        <v>0</v>
      </c>
      <c r="S46" s="1"/>
      <c r="T46" s="1">
        <f>SUM(OSRRefT22_5x_0)</f>
        <v>364</v>
      </c>
      <c r="U46" s="1"/>
      <c r="V46" s="5">
        <f t="shared" si="21"/>
        <v>0</v>
      </c>
      <c r="W46" s="1"/>
      <c r="X46" s="1">
        <f t="shared" si="22"/>
        <v>92.300000000000011</v>
      </c>
      <c r="Y46" s="1"/>
      <c r="Z46" s="5">
        <f t="shared" si="23"/>
        <v>0.25357142857142861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182.52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91.52000000000001</v>
      </c>
      <c r="M47" s="2"/>
      <c r="N47" s="7">
        <f t="shared" si="19"/>
        <v>1.0057142857142858</v>
      </c>
      <c r="O47" s="11"/>
      <c r="P47" s="6">
        <v>456.3</v>
      </c>
      <c r="Q47" s="2"/>
      <c r="R47" s="7">
        <f t="shared" si="20"/>
        <v>0</v>
      </c>
      <c r="S47" s="2"/>
      <c r="T47" s="6">
        <v>364</v>
      </c>
      <c r="U47" s="2"/>
      <c r="V47" s="7">
        <f t="shared" si="21"/>
        <v>0</v>
      </c>
      <c r="W47" s="2"/>
      <c r="X47" s="6">
        <f t="shared" si="22"/>
        <v>92.300000000000011</v>
      </c>
      <c r="Y47" s="2"/>
      <c r="Z47" s="7">
        <f t="shared" si="23"/>
        <v>0.25357142857142861</v>
      </c>
    </row>
    <row r="48" spans="1:26" s="26" customFormat="1" outlineLevel="1" collapsed="1" x14ac:dyDescent="0.25">
      <c r="A48" s="25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141.15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-8.8499999999999943</v>
      </c>
      <c r="M48" s="1"/>
      <c r="N48" s="5">
        <f t="shared" si="19"/>
        <v>-5.8999999999999962E-2</v>
      </c>
      <c r="O48" s="13"/>
      <c r="P48" s="1">
        <f>SUM(OSRRefP22_6x_0)</f>
        <v>539.15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-60.850000000000023</v>
      </c>
      <c r="Y48" s="1"/>
      <c r="Z48" s="5">
        <f t="shared" si="23"/>
        <v>-0.10141666666666671</v>
      </c>
    </row>
    <row r="49" spans="1:26" s="24" customFormat="1" hidden="1" outlineLevel="2" x14ac:dyDescent="0.25">
      <c r="A49" s="27"/>
      <c r="B49" s="11" t="str">
        <f>CONCATENATE("          ", "6307", " - ", "POSTAGE")</f>
        <v xml:space="preserve">          6307 - POSTAGE</v>
      </c>
      <c r="C49" s="11"/>
      <c r="D49" s="6">
        <v>141.15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-8.8499999999999943</v>
      </c>
      <c r="M49" s="2"/>
      <c r="N49" s="7">
        <f t="shared" si="19"/>
        <v>-5.8999999999999962E-2</v>
      </c>
      <c r="O49" s="11"/>
      <c r="P49" s="6">
        <v>539.15</v>
      </c>
      <c r="Q49" s="2"/>
      <c r="R49" s="7">
        <f t="shared" si="20"/>
        <v>0</v>
      </c>
      <c r="S49" s="2"/>
      <c r="T49" s="6">
        <v>600</v>
      </c>
      <c r="U49" s="2"/>
      <c r="V49" s="7">
        <f t="shared" si="21"/>
        <v>0</v>
      </c>
      <c r="W49" s="2"/>
      <c r="X49" s="6">
        <f t="shared" si="22"/>
        <v>-60.850000000000023</v>
      </c>
      <c r="Y49" s="2"/>
      <c r="Z49" s="7">
        <f t="shared" si="23"/>
        <v>-0.10141666666666671</v>
      </c>
    </row>
    <row r="50" spans="1:26" s="26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100</v>
      </c>
      <c r="U50" s="1"/>
      <c r="V50" s="5">
        <f t="shared" si="21"/>
        <v>0</v>
      </c>
      <c r="W50" s="1"/>
      <c r="X50" s="1">
        <f t="shared" si="22"/>
        <v>-100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100</v>
      </c>
      <c r="U51" s="2"/>
      <c r="V51" s="7">
        <f t="shared" si="21"/>
        <v>0</v>
      </c>
      <c r="W51" s="2"/>
      <c r="X51" s="6">
        <f t="shared" si="22"/>
        <v>-100</v>
      </c>
      <c r="Y51" s="2"/>
      <c r="Z51" s="7">
        <f t="shared" si="23"/>
        <v>-1</v>
      </c>
    </row>
    <row r="52" spans="1:26" s="26" customFormat="1" outlineLevel="1" collapsed="1" x14ac:dyDescent="0.25">
      <c r="A52" s="25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528.67999999999995</v>
      </c>
      <c r="Q52" s="1"/>
      <c r="R52" s="5">
        <f t="shared" si="20"/>
        <v>0</v>
      </c>
      <c r="S52" s="1"/>
      <c r="T52" s="1">
        <f>SUM(OSRRefT22_8x_0)</f>
        <v>500</v>
      </c>
      <c r="U52" s="1"/>
      <c r="V52" s="5">
        <f t="shared" si="21"/>
        <v>0</v>
      </c>
      <c r="W52" s="1"/>
      <c r="X52" s="1">
        <f t="shared" si="22"/>
        <v>28.67999999999995</v>
      </c>
      <c r="Y52" s="1"/>
      <c r="Z52" s="5">
        <f t="shared" si="23"/>
        <v>5.7359999999999897E-2</v>
      </c>
    </row>
    <row r="53" spans="1:26" s="24" customFormat="1" hidden="1" outlineLevel="2" x14ac:dyDescent="0.25">
      <c r="A53" s="27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528.67999999999995</v>
      </c>
      <c r="Q53" s="2"/>
      <c r="R53" s="7">
        <f t="shared" si="20"/>
        <v>0</v>
      </c>
      <c r="S53" s="2"/>
      <c r="T53" s="6">
        <v>500</v>
      </c>
      <c r="U53" s="2"/>
      <c r="V53" s="7">
        <f t="shared" si="21"/>
        <v>0</v>
      </c>
      <c r="W53" s="2"/>
      <c r="X53" s="6">
        <f t="shared" si="22"/>
        <v>28.67999999999995</v>
      </c>
      <c r="Y53" s="2"/>
      <c r="Z53" s="7">
        <f t="shared" si="23"/>
        <v>5.7359999999999897E-2</v>
      </c>
    </row>
    <row r="54" spans="1:26" s="26" customFormat="1" outlineLevel="1" collapsed="1" x14ac:dyDescent="0.25">
      <c r="A54" s="25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7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7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7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6" customFormat="1" outlineLevel="1" collapsed="1" x14ac:dyDescent="0.25">
      <c r="A58" s="25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2" si="24">IF(D$12=0,0,D58/D$12)</f>
        <v>0</v>
      </c>
      <c r="G58" s="1"/>
      <c r="H58" s="1">
        <f>SUM(OSRRefH22_10x_0)</f>
        <v>100</v>
      </c>
      <c r="I58" s="1"/>
      <c r="J58" s="5">
        <f t="shared" ref="J58:J62" si="25">IF(H$12=0,0,H58/H$12)</f>
        <v>0</v>
      </c>
      <c r="K58" s="1"/>
      <c r="L58" s="1">
        <f t="shared" ref="L58:L62" si="26">+D58-H58</f>
        <v>-100</v>
      </c>
      <c r="M58" s="1"/>
      <c r="N58" s="5">
        <f t="shared" ref="N58:N62" si="27">IF(H58=0,0,L58/H58)</f>
        <v>-1</v>
      </c>
      <c r="O58" s="13"/>
      <c r="P58" s="1">
        <f>SUM(OSRRefP22_10x_0)</f>
        <v>82.5</v>
      </c>
      <c r="Q58" s="1"/>
      <c r="R58" s="5">
        <f t="shared" ref="R58:R62" si="28">IF(P$12=0,0,P58/P$12)</f>
        <v>0</v>
      </c>
      <c r="S58" s="1"/>
      <c r="T58" s="1">
        <f>SUM(OSRRefT22_10x_0)</f>
        <v>400</v>
      </c>
      <c r="U58" s="1"/>
      <c r="V58" s="5">
        <f t="shared" ref="V58:V62" si="29">IF(T$12=0,0,T58/T$12)</f>
        <v>0</v>
      </c>
      <c r="W58" s="1"/>
      <c r="X58" s="1">
        <f t="shared" ref="X58:X62" si="30">+P58-T58</f>
        <v>-317.5</v>
      </c>
      <c r="Y58" s="1"/>
      <c r="Z58" s="5">
        <f t="shared" ref="Z58:Z62" si="31">IF(T58=0,0,X58/T58)</f>
        <v>-0.79374999999999996</v>
      </c>
    </row>
    <row r="59" spans="1:26" s="24" customFormat="1" hidden="1" outlineLevel="2" x14ac:dyDescent="0.25">
      <c r="A59" s="27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400</v>
      </c>
      <c r="U59" s="2"/>
      <c r="V59" s="7">
        <f t="shared" si="29"/>
        <v>0</v>
      </c>
      <c r="W59" s="2"/>
      <c r="X59" s="6">
        <f t="shared" si="30"/>
        <v>-317.5</v>
      </c>
      <c r="Y59" s="2"/>
      <c r="Z59" s="7">
        <f t="shared" si="31"/>
        <v>-0.79374999999999996</v>
      </c>
    </row>
    <row r="60" spans="1:26" s="26" customFormat="1" outlineLevel="1" collapsed="1" x14ac:dyDescent="0.25">
      <c r="A60" s="25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485.46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465.46</v>
      </c>
      <c r="M60" s="1"/>
      <c r="N60" s="5">
        <f t="shared" si="27"/>
        <v>23.273</v>
      </c>
      <c r="O60" s="13"/>
      <c r="P60" s="1">
        <f>SUM(OSRRefP22_11x_0)</f>
        <v>554.51</v>
      </c>
      <c r="Q60" s="1"/>
      <c r="R60" s="5">
        <f t="shared" si="28"/>
        <v>0</v>
      </c>
      <c r="S60" s="1"/>
      <c r="T60" s="1">
        <f>SUM(OSRRefT22_11x_0)</f>
        <v>80</v>
      </c>
      <c r="U60" s="1"/>
      <c r="V60" s="5">
        <f t="shared" si="29"/>
        <v>0</v>
      </c>
      <c r="W60" s="1"/>
      <c r="X60" s="1">
        <f t="shared" si="30"/>
        <v>474.51</v>
      </c>
      <c r="Y60" s="1"/>
      <c r="Z60" s="5">
        <f t="shared" si="31"/>
        <v>5.9313750000000001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20.88</v>
      </c>
      <c r="E61" s="2"/>
      <c r="F61" s="7">
        <f t="shared" si="24"/>
        <v>0</v>
      </c>
      <c r="G61" s="2"/>
      <c r="H61" s="6">
        <v>20</v>
      </c>
      <c r="I61" s="2"/>
      <c r="J61" s="7">
        <f t="shared" si="25"/>
        <v>0</v>
      </c>
      <c r="K61" s="2"/>
      <c r="L61" s="6">
        <f t="shared" si="26"/>
        <v>0.87999999999999901</v>
      </c>
      <c r="M61" s="2"/>
      <c r="N61" s="7">
        <f t="shared" si="27"/>
        <v>4.3999999999999949E-2</v>
      </c>
      <c r="O61" s="11"/>
      <c r="P61" s="6">
        <v>89.93</v>
      </c>
      <c r="Q61" s="2"/>
      <c r="R61" s="7">
        <f t="shared" si="28"/>
        <v>0</v>
      </c>
      <c r="S61" s="2"/>
      <c r="T61" s="6">
        <v>80</v>
      </c>
      <c r="U61" s="2"/>
      <c r="V61" s="7">
        <f t="shared" si="29"/>
        <v>0</v>
      </c>
      <c r="W61" s="2"/>
      <c r="X61" s="6">
        <f t="shared" si="30"/>
        <v>9.9300000000000068</v>
      </c>
      <c r="Y61" s="2"/>
      <c r="Z61" s="7">
        <f t="shared" si="31"/>
        <v>0.12412500000000008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464.58</v>
      </c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464.58</v>
      </c>
      <c r="M62" s="2"/>
      <c r="N62" s="7">
        <f t="shared" si="27"/>
        <v>0</v>
      </c>
      <c r="O62" s="11"/>
      <c r="P62" s="6">
        <v>464.58</v>
      </c>
      <c r="Q62" s="2"/>
      <c r="R62" s="7">
        <f t="shared" si="28"/>
        <v>0</v>
      </c>
      <c r="S62" s="2"/>
      <c r="T62" s="6"/>
      <c r="U62" s="2"/>
      <c r="V62" s="7">
        <f t="shared" si="29"/>
        <v>0</v>
      </c>
      <c r="W62" s="2"/>
      <c r="X62" s="6">
        <f t="shared" si="30"/>
        <v>464.58</v>
      </c>
      <c r="Y62" s="2"/>
      <c r="Z62" s="7">
        <f t="shared" si="31"/>
        <v>0</v>
      </c>
    </row>
    <row r="63" spans="1:26" s="26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3453.76</v>
      </c>
      <c r="E63" s="1"/>
      <c r="F63" s="5">
        <f t="shared" ref="F63:F69" si="32">IF(D$12=0,0,D63/D$12)</f>
        <v>0</v>
      </c>
      <c r="G63" s="1"/>
      <c r="H63" s="1">
        <f>SUM(OSRRefH22_12x_0)</f>
        <v>600</v>
      </c>
      <c r="I63" s="1"/>
      <c r="J63" s="5">
        <f t="shared" ref="J63:J69" si="33">IF(H$12=0,0,H63/H$12)</f>
        <v>0</v>
      </c>
      <c r="K63" s="1"/>
      <c r="L63" s="1">
        <f t="shared" ref="L63:L69" si="34">+D63-H63</f>
        <v>2853.76</v>
      </c>
      <c r="M63" s="1"/>
      <c r="N63" s="5">
        <f t="shared" ref="N63:N69" si="35">IF(H63=0,0,L63/H63)</f>
        <v>4.7562666666666669</v>
      </c>
      <c r="O63" s="13"/>
      <c r="P63" s="1">
        <f>SUM(OSRRefP22_12x_0)</f>
        <v>7167.07</v>
      </c>
      <c r="Q63" s="1"/>
      <c r="R63" s="5">
        <f t="shared" ref="R63:R69" si="36">IF(P$12=0,0,P63/P$12)</f>
        <v>0</v>
      </c>
      <c r="S63" s="1"/>
      <c r="T63" s="1">
        <f>SUM(OSRRefT22_12x_0)</f>
        <v>2400</v>
      </c>
      <c r="U63" s="1"/>
      <c r="V63" s="5">
        <f t="shared" ref="V63:V69" si="37">IF(T$12=0,0,T63/T$12)</f>
        <v>0</v>
      </c>
      <c r="W63" s="1"/>
      <c r="X63" s="1">
        <f t="shared" ref="X63:X69" si="38">+P63-T63</f>
        <v>4767.07</v>
      </c>
      <c r="Y63" s="1"/>
      <c r="Z63" s="5">
        <f t="shared" ref="Z63:Z69" si="39">IF(T63=0,0,X63/T63)</f>
        <v>1.9862791666666666</v>
      </c>
    </row>
    <row r="64" spans="1:26" s="24" customFormat="1" hidden="1" outlineLevel="2" x14ac:dyDescent="0.25">
      <c r="A64" s="27"/>
      <c r="B64" s="11" t="str">
        <f>CONCATENATE("          ", "6281", " - ", "STORAGE FEE")</f>
        <v xml:space="preserve">          6281 - STORAGE FEE</v>
      </c>
      <c r="C64" s="11"/>
      <c r="D64" s="6">
        <v>3453.76</v>
      </c>
      <c r="E64" s="2"/>
      <c r="F64" s="7">
        <f t="shared" si="32"/>
        <v>0</v>
      </c>
      <c r="G64" s="2"/>
      <c r="H64" s="6">
        <v>600</v>
      </c>
      <c r="I64" s="2"/>
      <c r="J64" s="7">
        <f t="shared" si="33"/>
        <v>0</v>
      </c>
      <c r="K64" s="2"/>
      <c r="L64" s="6">
        <f t="shared" si="34"/>
        <v>2853.76</v>
      </c>
      <c r="M64" s="2"/>
      <c r="N64" s="7">
        <f t="shared" si="35"/>
        <v>4.7562666666666669</v>
      </c>
      <c r="O64" s="11"/>
      <c r="P64" s="6">
        <v>7167.07</v>
      </c>
      <c r="Q64" s="2"/>
      <c r="R64" s="7">
        <f t="shared" si="36"/>
        <v>0</v>
      </c>
      <c r="S64" s="2"/>
      <c r="T64" s="6">
        <v>2400</v>
      </c>
      <c r="U64" s="2"/>
      <c r="V64" s="7">
        <f t="shared" si="37"/>
        <v>0</v>
      </c>
      <c r="W64" s="2"/>
      <c r="X64" s="6">
        <f t="shared" si="38"/>
        <v>4767.07</v>
      </c>
      <c r="Y64" s="2"/>
      <c r="Z64" s="7">
        <f t="shared" si="39"/>
        <v>1.9862791666666666</v>
      </c>
    </row>
    <row r="65" spans="1:26" s="26" customFormat="1" outlineLevel="1" collapsed="1" x14ac:dyDescent="0.25">
      <c r="A65" s="25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si="32"/>
        <v>0</v>
      </c>
      <c r="G65" s="1"/>
      <c r="H65" s="1">
        <f>SUM(OSRRefH22_13x_0)</f>
        <v>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3"/>
      <c r="P65" s="1">
        <f>SUM(OSRRefP22_13x_0)</f>
        <v>39</v>
      </c>
      <c r="Q65" s="1"/>
      <c r="R65" s="5">
        <f t="shared" si="36"/>
        <v>0</v>
      </c>
      <c r="S65" s="1"/>
      <c r="T65" s="1">
        <f>SUM(OSRRefT22_13x_0)</f>
        <v>0</v>
      </c>
      <c r="U65" s="1"/>
      <c r="V65" s="5">
        <f t="shared" si="37"/>
        <v>0</v>
      </c>
      <c r="W65" s="1"/>
      <c r="X65" s="1">
        <f t="shared" si="38"/>
        <v>39</v>
      </c>
      <c r="Y65" s="1"/>
      <c r="Z65" s="5">
        <f t="shared" si="39"/>
        <v>0</v>
      </c>
    </row>
    <row r="66" spans="1:26" s="24" customFormat="1" hidden="1" outlineLevel="2" x14ac:dyDescent="0.25">
      <c r="A66" s="27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39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39</v>
      </c>
      <c r="Y66" s="2"/>
      <c r="Z66" s="7">
        <f t="shared" si="39"/>
        <v>0</v>
      </c>
    </row>
    <row r="67" spans="1:26" s="26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388.66</v>
      </c>
      <c r="E67" s="1"/>
      <c r="F67" s="5">
        <f t="shared" si="32"/>
        <v>0</v>
      </c>
      <c r="G67" s="1"/>
      <c r="H67" s="1">
        <f>SUM(OSRRefH22_14x_0)</f>
        <v>300</v>
      </c>
      <c r="I67" s="1"/>
      <c r="J67" s="5">
        <f t="shared" si="33"/>
        <v>0</v>
      </c>
      <c r="K67" s="1"/>
      <c r="L67" s="1">
        <f t="shared" si="34"/>
        <v>88.660000000000025</v>
      </c>
      <c r="M67" s="1"/>
      <c r="N67" s="5">
        <f t="shared" si="35"/>
        <v>0.29553333333333343</v>
      </c>
      <c r="O67" s="13"/>
      <c r="P67" s="1">
        <f>SUM(OSRRefP22_14x_0)</f>
        <v>2607.89</v>
      </c>
      <c r="Q67" s="1"/>
      <c r="R67" s="5">
        <f t="shared" si="36"/>
        <v>0</v>
      </c>
      <c r="S67" s="1"/>
      <c r="T67" s="1">
        <f>SUM(OSRRefT22_14x_0)</f>
        <v>950</v>
      </c>
      <c r="U67" s="1"/>
      <c r="V67" s="5">
        <f t="shared" si="37"/>
        <v>0</v>
      </c>
      <c r="W67" s="1"/>
      <c r="X67" s="1">
        <f t="shared" si="38"/>
        <v>1657.8899999999999</v>
      </c>
      <c r="Y67" s="1"/>
      <c r="Z67" s="5">
        <f t="shared" si="39"/>
        <v>1.7451473684210526</v>
      </c>
    </row>
    <row r="68" spans="1:26" s="24" customFormat="1" hidden="1" outlineLevel="2" x14ac:dyDescent="0.25">
      <c r="A68" s="27"/>
      <c r="B68" s="11" t="str">
        <f>CONCATENATE("          ", "6241", " - ", "OFFICE EXPENSE")</f>
        <v xml:space="preserve">          6241 - OFFICE EXPENSE</v>
      </c>
      <c r="C68" s="11"/>
      <c r="D68" s="6">
        <v>387.25</v>
      </c>
      <c r="E68" s="2"/>
      <c r="F68" s="7">
        <f t="shared" si="32"/>
        <v>0</v>
      </c>
      <c r="G68" s="2"/>
      <c r="H68" s="6">
        <v>300</v>
      </c>
      <c r="I68" s="2"/>
      <c r="J68" s="7">
        <f t="shared" si="33"/>
        <v>0</v>
      </c>
      <c r="K68" s="2"/>
      <c r="L68" s="6">
        <f t="shared" si="34"/>
        <v>87.25</v>
      </c>
      <c r="M68" s="2"/>
      <c r="N68" s="7">
        <f t="shared" si="35"/>
        <v>0.29083333333333333</v>
      </c>
      <c r="O68" s="11"/>
      <c r="P68" s="6">
        <v>1944.98</v>
      </c>
      <c r="Q68" s="2"/>
      <c r="R68" s="7">
        <f t="shared" si="36"/>
        <v>0</v>
      </c>
      <c r="S68" s="2"/>
      <c r="T68" s="6">
        <v>950</v>
      </c>
      <c r="U68" s="2"/>
      <c r="V68" s="7">
        <f t="shared" si="37"/>
        <v>0</v>
      </c>
      <c r="W68" s="2"/>
      <c r="X68" s="6">
        <f t="shared" si="38"/>
        <v>994.98</v>
      </c>
      <c r="Y68" s="2"/>
      <c r="Z68" s="7">
        <f t="shared" si="39"/>
        <v>1.0473473684210526</v>
      </c>
    </row>
    <row r="69" spans="1:26" s="24" customFormat="1" hidden="1" outlineLevel="2" x14ac:dyDescent="0.25">
      <c r="A69" s="27"/>
      <c r="B69" s="11" t="str">
        <f>CONCATENATE("          ", "6245", " - ", "PRINTING")</f>
        <v xml:space="preserve">          6245 - PRINTING</v>
      </c>
      <c r="C69" s="11"/>
      <c r="D69" s="6">
        <v>1.41</v>
      </c>
      <c r="E69" s="2"/>
      <c r="F69" s="7">
        <f t="shared" si="32"/>
        <v>0</v>
      </c>
      <c r="G69" s="2"/>
      <c r="H69" s="6"/>
      <c r="I69" s="2"/>
      <c r="J69" s="7">
        <f t="shared" si="33"/>
        <v>0</v>
      </c>
      <c r="K69" s="2"/>
      <c r="L69" s="6">
        <f t="shared" si="34"/>
        <v>1.41</v>
      </c>
      <c r="M69" s="2"/>
      <c r="N69" s="7">
        <f t="shared" si="35"/>
        <v>0</v>
      </c>
      <c r="O69" s="11"/>
      <c r="P69" s="6">
        <v>662.91</v>
      </c>
      <c r="Q69" s="2"/>
      <c r="R69" s="7">
        <f t="shared" si="36"/>
        <v>0</v>
      </c>
      <c r="S69" s="2"/>
      <c r="T69" s="6"/>
      <c r="U69" s="2"/>
      <c r="V69" s="7">
        <f t="shared" si="37"/>
        <v>0</v>
      </c>
      <c r="W69" s="2"/>
      <c r="X69" s="6">
        <f t="shared" si="38"/>
        <v>662.91</v>
      </c>
      <c r="Y69" s="2"/>
      <c r="Z69" s="7">
        <f t="shared" si="39"/>
        <v>0</v>
      </c>
    </row>
    <row r="70" spans="1:26" s="26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SUM(OSRRefD22_15x_0)</f>
        <v>443.08</v>
      </c>
      <c r="E70" s="1"/>
      <c r="F70" s="5">
        <f t="shared" ref="F70:F73" si="40">IF(D$12=0,0,D70/D$12)</f>
        <v>0</v>
      </c>
      <c r="G70" s="1"/>
      <c r="H70" s="1">
        <f>SUM(OSRRefH22_15x_0)</f>
        <v>375</v>
      </c>
      <c r="I70" s="1"/>
      <c r="J70" s="5">
        <f t="shared" ref="J70:J73" si="41">IF(H$12=0,0,H70/H$12)</f>
        <v>0</v>
      </c>
      <c r="K70" s="1"/>
      <c r="L70" s="1">
        <f t="shared" ref="L70:L73" si="42">+D70-H70</f>
        <v>68.079999999999984</v>
      </c>
      <c r="M70" s="1"/>
      <c r="N70" s="5">
        <f t="shared" ref="N70:N73" si="43">IF(H70=0,0,L70/H70)</f>
        <v>0.18154666666666663</v>
      </c>
      <c r="O70" s="13"/>
      <c r="P70" s="1">
        <f>SUM(OSRRefP22_15x_0)</f>
        <v>1560.23</v>
      </c>
      <c r="Q70" s="1"/>
      <c r="R70" s="5">
        <f t="shared" ref="R70:R73" si="44">IF(P$12=0,0,P70/P$12)</f>
        <v>0</v>
      </c>
      <c r="S70" s="1"/>
      <c r="T70" s="1">
        <f>SUM(OSRRefT22_15x_0)</f>
        <v>1500</v>
      </c>
      <c r="U70" s="1"/>
      <c r="V70" s="5">
        <f t="shared" ref="V70:V73" si="45">IF(T$12=0,0,T70/T$12)</f>
        <v>0</v>
      </c>
      <c r="W70" s="1"/>
      <c r="X70" s="1">
        <f t="shared" ref="X70:X73" si="46">+P70-T70</f>
        <v>60.230000000000018</v>
      </c>
      <c r="Y70" s="1"/>
      <c r="Z70" s="5">
        <f t="shared" ref="Z70:Z73" si="47">IF(T70=0,0,X70/T70)</f>
        <v>4.0153333333333346E-2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6">
        <v>443.08</v>
      </c>
      <c r="E71" s="2"/>
      <c r="F71" s="7">
        <f t="shared" si="40"/>
        <v>0</v>
      </c>
      <c r="G71" s="2"/>
      <c r="H71" s="6">
        <v>375</v>
      </c>
      <c r="I71" s="2"/>
      <c r="J71" s="7">
        <f t="shared" si="41"/>
        <v>0</v>
      </c>
      <c r="K71" s="2"/>
      <c r="L71" s="6">
        <f t="shared" si="42"/>
        <v>68.079999999999984</v>
      </c>
      <c r="M71" s="2"/>
      <c r="N71" s="7">
        <f t="shared" si="43"/>
        <v>0.18154666666666663</v>
      </c>
      <c r="O71" s="11"/>
      <c r="P71" s="6">
        <v>1560.23</v>
      </c>
      <c r="Q71" s="2"/>
      <c r="R71" s="7">
        <f t="shared" si="44"/>
        <v>0</v>
      </c>
      <c r="S71" s="2"/>
      <c r="T71" s="6">
        <v>1500</v>
      </c>
      <c r="U71" s="2"/>
      <c r="V71" s="7">
        <f t="shared" si="45"/>
        <v>0</v>
      </c>
      <c r="W71" s="2"/>
      <c r="X71" s="6">
        <f t="shared" si="46"/>
        <v>60.230000000000018</v>
      </c>
      <c r="Y71" s="2"/>
      <c r="Z71" s="7">
        <f t="shared" si="47"/>
        <v>4.0153333333333346E-2</v>
      </c>
    </row>
    <row r="72" spans="1:26" s="26" customFormat="1" outlineLevel="1" collapsed="1" x14ac:dyDescent="0.25">
      <c r="A72" s="25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SUM(OSRRefD22_16x_0)</f>
        <v>20.53</v>
      </c>
      <c r="E72" s="1"/>
      <c r="F72" s="5">
        <f t="shared" si="40"/>
        <v>0</v>
      </c>
      <c r="G72" s="1"/>
      <c r="H72" s="1">
        <f>SUM(OSRRefH22_16x_0)</f>
        <v>583</v>
      </c>
      <c r="I72" s="1"/>
      <c r="J72" s="5">
        <f t="shared" si="41"/>
        <v>0</v>
      </c>
      <c r="K72" s="1"/>
      <c r="L72" s="1">
        <f t="shared" si="42"/>
        <v>-562.47</v>
      </c>
      <c r="M72" s="1"/>
      <c r="N72" s="5">
        <f t="shared" si="43"/>
        <v>-0.96478559176672385</v>
      </c>
      <c r="O72" s="13"/>
      <c r="P72" s="1">
        <f>SUM(OSRRefP22_16x_0)</f>
        <v>20.53</v>
      </c>
      <c r="Q72" s="1"/>
      <c r="R72" s="5">
        <f t="shared" si="44"/>
        <v>0</v>
      </c>
      <c r="S72" s="1"/>
      <c r="T72" s="1">
        <f>SUM(OSRRefT22_16x_0)</f>
        <v>2332</v>
      </c>
      <c r="U72" s="1"/>
      <c r="V72" s="5">
        <f t="shared" si="45"/>
        <v>0</v>
      </c>
      <c r="W72" s="1"/>
      <c r="X72" s="1">
        <f t="shared" si="46"/>
        <v>-2311.4699999999998</v>
      </c>
      <c r="Y72" s="1"/>
      <c r="Z72" s="5">
        <f t="shared" si="47"/>
        <v>-0.99119639794168091</v>
      </c>
    </row>
    <row r="73" spans="1:26" s="24" customFormat="1" hidden="1" outlineLevel="2" x14ac:dyDescent="0.25">
      <c r="A73" s="27"/>
      <c r="B73" s="11" t="str">
        <f>CONCATENATE("          ", "6376", " - ", "TRAINING")</f>
        <v xml:space="preserve">          6376 - TRAINING</v>
      </c>
      <c r="C73" s="11"/>
      <c r="D73" s="6">
        <v>20.53</v>
      </c>
      <c r="E73" s="2"/>
      <c r="F73" s="7">
        <f t="shared" si="40"/>
        <v>0</v>
      </c>
      <c r="G73" s="2"/>
      <c r="H73" s="6">
        <v>583</v>
      </c>
      <c r="I73" s="2"/>
      <c r="J73" s="7">
        <f t="shared" si="41"/>
        <v>0</v>
      </c>
      <c r="K73" s="2"/>
      <c r="L73" s="6">
        <f t="shared" si="42"/>
        <v>-562.47</v>
      </c>
      <c r="M73" s="2"/>
      <c r="N73" s="7">
        <f t="shared" si="43"/>
        <v>-0.96478559176672385</v>
      </c>
      <c r="O73" s="11"/>
      <c r="P73" s="6">
        <v>20.53</v>
      </c>
      <c r="Q73" s="2"/>
      <c r="R73" s="7">
        <f t="shared" si="44"/>
        <v>0</v>
      </c>
      <c r="S73" s="2"/>
      <c r="T73" s="6">
        <v>2332</v>
      </c>
      <c r="U73" s="2"/>
      <c r="V73" s="7">
        <f t="shared" si="45"/>
        <v>0</v>
      </c>
      <c r="W73" s="2"/>
      <c r="X73" s="6">
        <f t="shared" si="46"/>
        <v>-2311.4699999999998</v>
      </c>
      <c r="Y73" s="2"/>
      <c r="Z73" s="7">
        <f t="shared" si="47"/>
        <v>-0.99119639794168091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2">
        <f>+D16-D18+D75</f>
        <v>-64025.77</v>
      </c>
      <c r="E77" s="14"/>
      <c r="F77" s="20">
        <f>IF(D$12=0,0,D77/D$12)</f>
        <v>0</v>
      </c>
      <c r="G77" s="14"/>
      <c r="H77" s="22">
        <f>+H16-H18+H75</f>
        <v>-59045.81676730769</v>
      </c>
      <c r="I77" s="14"/>
      <c r="J77" s="20">
        <f>IF(H$12=0,0,H77/H$12)</f>
        <v>0</v>
      </c>
      <c r="K77" s="16"/>
      <c r="L77" s="22">
        <f>+D77-H77</f>
        <v>-4979.9532326923072</v>
      </c>
      <c r="M77" s="16"/>
      <c r="N77" s="20">
        <f>IF(H77=0,0,L77/H77)</f>
        <v>8.4340491932183626E-2</v>
      </c>
      <c r="O77" s="29"/>
      <c r="P77" s="22">
        <f>+P16-P18+P75</f>
        <v>-214294.67999999996</v>
      </c>
      <c r="Q77" s="14"/>
      <c r="R77" s="20">
        <f>IF(P$12=0,0,P77/P$12)</f>
        <v>0</v>
      </c>
      <c r="S77" s="14"/>
      <c r="T77" s="22">
        <f>+T16-T18+T75</f>
        <v>-217404.33368730758</v>
      </c>
      <c r="U77" s="14"/>
      <c r="V77" s="20">
        <f>IF(T$12=0,0,T77/T$12)</f>
        <v>0</v>
      </c>
      <c r="W77" s="16"/>
      <c r="X77" s="22">
        <f>+P77-T77</f>
        <v>3109.6536873076111</v>
      </c>
      <c r="Y77" s="16"/>
      <c r="Z77" s="20">
        <f>IF(T77=0,0,X77/T77)</f>
        <v>-1.4303549678914049E-2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1">
        <f>+D77-D79</f>
        <v>-64025.77</v>
      </c>
      <c r="E81" s="14"/>
      <c r="F81" s="33">
        <f>IF(D$12=0,0,D81/D$12)</f>
        <v>0</v>
      </c>
      <c r="G81" s="14"/>
      <c r="H81" s="31">
        <f>+H77-H79</f>
        <v>-59045.81676730769</v>
      </c>
      <c r="I81" s="14"/>
      <c r="J81" s="33">
        <f>IF(H$12=0,0,H81/H$12)</f>
        <v>0</v>
      </c>
      <c r="K81" s="16"/>
      <c r="L81" s="31">
        <f>D81-H81</f>
        <v>-4979.9532326923072</v>
      </c>
      <c r="M81" s="16"/>
      <c r="N81" s="33">
        <f>IF(H81=0,0,L81/H81)</f>
        <v>8.4340491932183626E-2</v>
      </c>
      <c r="O81" s="29"/>
      <c r="P81" s="31">
        <f>+P77-P79</f>
        <v>-214294.67999999996</v>
      </c>
      <c r="Q81" s="14"/>
      <c r="R81" s="33">
        <f>IF(P$12=0,0,P81/P$12)</f>
        <v>0</v>
      </c>
      <c r="S81" s="14"/>
      <c r="T81" s="31">
        <f>+T77-T79</f>
        <v>-217404.33368730758</v>
      </c>
      <c r="U81" s="14"/>
      <c r="V81" s="33">
        <f>IF(T$12=0,0,T81/T$12)</f>
        <v>0</v>
      </c>
      <c r="W81" s="16"/>
      <c r="X81" s="31">
        <f>P81-T81</f>
        <v>3109.6536873076111</v>
      </c>
      <c r="Y81" s="16"/>
      <c r="Z81" s="33">
        <f>IF(T81=0,0,X81/T81)</f>
        <v>-1.4303549678914049E-2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2">
        <f>SUM(D81:D83)</f>
        <v>-64025.77</v>
      </c>
      <c r="E84" s="14"/>
      <c r="F84" s="34">
        <f>IF(D$12=0,0,D84/D$12)</f>
        <v>0</v>
      </c>
      <c r="G84" s="14"/>
      <c r="H84" s="32">
        <f>SUM(H81:H83)</f>
        <v>-59045.81676730769</v>
      </c>
      <c r="I84" s="14"/>
      <c r="J84" s="34">
        <f>IF(H$12=0,0,H84/H$12)</f>
        <v>0</v>
      </c>
      <c r="K84" s="16"/>
      <c r="L84" s="32">
        <f>+D84-H84</f>
        <v>-4979.9532326923072</v>
      </c>
      <c r="M84" s="16"/>
      <c r="N84" s="34">
        <f>IF(H84=0,0,L84/H84)</f>
        <v>8.4340491932183626E-2</v>
      </c>
      <c r="O84" s="29"/>
      <c r="P84" s="32">
        <f>SUM(P81:P83)</f>
        <v>-214294.67999999996</v>
      </c>
      <c r="Q84" s="14"/>
      <c r="R84" s="34">
        <f>IF(P$12=0,0,P84/P$12)</f>
        <v>0</v>
      </c>
      <c r="S84" s="14"/>
      <c r="T84" s="32">
        <f>SUM(T81:T83)</f>
        <v>-217404.33368730758</v>
      </c>
      <c r="U84" s="14"/>
      <c r="V84" s="34">
        <f>IF(T$12=0,0,T84/T$12)</f>
        <v>0</v>
      </c>
      <c r="W84" s="16"/>
      <c r="X84" s="32">
        <f>+P84-T84</f>
        <v>3109.6536873076111</v>
      </c>
      <c r="Y84" s="16"/>
      <c r="Z84" s="34">
        <f>IF(T84=0,0,X84/T84)</f>
        <v>-1.4303549678914049E-2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0">
        <v>43791.347933217592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4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5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87993.24</v>
      </c>
      <c r="E18" s="21"/>
      <c r="F18" s="35">
        <f t="shared" ref="F18:F29" si="0">IF(D$12=0,0,D18/D$12)</f>
        <v>0</v>
      </c>
      <c r="G18" s="21"/>
      <c r="H18" s="21">
        <f>SUM(OSRRefH22x_0)</f>
        <v>70115.587754592299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17877.652245407706</v>
      </c>
      <c r="M18" s="4"/>
      <c r="N18" s="35">
        <f t="shared" ref="N18:N29" si="3">IF(H18=0,0,L18/H18)</f>
        <v>0.25497400532361347</v>
      </c>
      <c r="O18" s="10"/>
      <c r="P18" s="21">
        <f>SUM(OSRRefP22x_0)</f>
        <v>289587.59000000003</v>
      </c>
      <c r="Q18" s="21"/>
      <c r="R18" s="35">
        <f t="shared" ref="R18:R29" si="4">IF(P$12=0,0,P18/P$12)</f>
        <v>0</v>
      </c>
      <c r="S18" s="21"/>
      <c r="T18" s="21">
        <f>SUM(OSRRefT22x_0)</f>
        <v>257485.71591653227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32101.874083467759</v>
      </c>
      <c r="Y18" s="4"/>
      <c r="Z18" s="35">
        <f t="shared" ref="Z18:Z29" si="7">IF(T18=0,0,X18/T18)</f>
        <v>0.12467438812751092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16253.940000000002</v>
      </c>
      <c r="E19" s="1"/>
      <c r="F19" s="5">
        <f t="shared" si="0"/>
        <v>0</v>
      </c>
      <c r="G19" s="1"/>
      <c r="H19" s="1">
        <f>SUM(OSRRefH22_0x_0)</f>
        <v>11811.610600746157</v>
      </c>
      <c r="I19" s="1"/>
      <c r="J19" s="5">
        <f t="shared" si="1"/>
        <v>0</v>
      </c>
      <c r="K19" s="1"/>
      <c r="L19" s="1">
        <f t="shared" si="2"/>
        <v>4442.3293992538456</v>
      </c>
      <c r="M19" s="1"/>
      <c r="N19" s="5">
        <f t="shared" si="3"/>
        <v>0.3760985313021763</v>
      </c>
      <c r="O19" s="13"/>
      <c r="P19" s="1">
        <f>SUM(OSRRefP22_0x_0)</f>
        <v>57380.279999999984</v>
      </c>
      <c r="Q19" s="1"/>
      <c r="R19" s="5">
        <f t="shared" si="4"/>
        <v>0</v>
      </c>
      <c r="S19" s="1"/>
      <c r="T19" s="1">
        <f>SUM(OSRRefT22_0x_0)</f>
        <v>43692.598162686139</v>
      </c>
      <c r="U19" s="1"/>
      <c r="V19" s="5">
        <f t="shared" si="5"/>
        <v>0</v>
      </c>
      <c r="W19" s="1"/>
      <c r="X19" s="1">
        <f t="shared" si="6"/>
        <v>13687.681837313845</v>
      </c>
      <c r="Y19" s="1"/>
      <c r="Z19" s="5">
        <f t="shared" si="7"/>
        <v>0.31327232558587564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3897.64</v>
      </c>
      <c r="E20" s="2"/>
      <c r="F20" s="7">
        <f t="shared" si="0"/>
        <v>0</v>
      </c>
      <c r="G20" s="2"/>
      <c r="H20" s="6">
        <v>1606.77378228462</v>
      </c>
      <c r="I20" s="2"/>
      <c r="J20" s="7">
        <f t="shared" si="1"/>
        <v>0</v>
      </c>
      <c r="K20" s="2"/>
      <c r="L20" s="6">
        <f t="shared" si="2"/>
        <v>2290.8662177153801</v>
      </c>
      <c r="M20" s="2"/>
      <c r="N20" s="7">
        <f t="shared" si="3"/>
        <v>1.4257552886244329</v>
      </c>
      <c r="O20" s="11"/>
      <c r="P20" s="6">
        <v>9118.1299999999992</v>
      </c>
      <c r="Q20" s="2"/>
      <c r="R20" s="7">
        <f t="shared" si="4"/>
        <v>0</v>
      </c>
      <c r="S20" s="2"/>
      <c r="T20" s="6">
        <v>5784.3856162246193</v>
      </c>
      <c r="U20" s="2"/>
      <c r="V20" s="7">
        <f t="shared" si="5"/>
        <v>0</v>
      </c>
      <c r="W20" s="2"/>
      <c r="X20" s="6">
        <f t="shared" si="6"/>
        <v>3333.7443837753799</v>
      </c>
      <c r="Y20" s="2"/>
      <c r="Z20" s="7">
        <f t="shared" si="7"/>
        <v>0.57633508637884767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3.57</v>
      </c>
      <c r="E21" s="2"/>
      <c r="F21" s="7">
        <f t="shared" si="0"/>
        <v>0</v>
      </c>
      <c r="G21" s="2"/>
      <c r="H21" s="6">
        <v>101.95017430769201</v>
      </c>
      <c r="I21" s="2"/>
      <c r="J21" s="7">
        <f t="shared" si="1"/>
        <v>0</v>
      </c>
      <c r="K21" s="2"/>
      <c r="L21" s="6">
        <f t="shared" si="2"/>
        <v>-98.380174307692016</v>
      </c>
      <c r="M21" s="2"/>
      <c r="N21" s="7">
        <f t="shared" si="3"/>
        <v>-0.96498289459294584</v>
      </c>
      <c r="O21" s="11"/>
      <c r="P21" s="6">
        <v>234.94</v>
      </c>
      <c r="Q21" s="2"/>
      <c r="R21" s="7">
        <f t="shared" si="4"/>
        <v>0</v>
      </c>
      <c r="S21" s="2"/>
      <c r="T21" s="6">
        <v>367.02062750769176</v>
      </c>
      <c r="U21" s="2"/>
      <c r="V21" s="7">
        <f t="shared" si="5"/>
        <v>0</v>
      </c>
      <c r="W21" s="2"/>
      <c r="X21" s="6">
        <f t="shared" si="6"/>
        <v>-132.08062750769176</v>
      </c>
      <c r="Y21" s="2"/>
      <c r="Z21" s="7">
        <f t="shared" si="7"/>
        <v>-0.35987249110385139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5861.63</v>
      </c>
      <c r="E22" s="2"/>
      <c r="F22" s="7">
        <f t="shared" si="0"/>
        <v>0</v>
      </c>
      <c r="G22" s="2"/>
      <c r="H22" s="6">
        <v>6539.3076923076906</v>
      </c>
      <c r="I22" s="2"/>
      <c r="J22" s="7">
        <f t="shared" si="1"/>
        <v>0</v>
      </c>
      <c r="K22" s="2"/>
      <c r="L22" s="6">
        <f t="shared" si="2"/>
        <v>-677.67769230769045</v>
      </c>
      <c r="M22" s="2"/>
      <c r="N22" s="7">
        <f t="shared" si="3"/>
        <v>-0.10363141240545315</v>
      </c>
      <c r="O22" s="11"/>
      <c r="P22" s="6">
        <v>23447.27</v>
      </c>
      <c r="Q22" s="2"/>
      <c r="R22" s="7">
        <f t="shared" si="4"/>
        <v>0</v>
      </c>
      <c r="S22" s="2"/>
      <c r="T22" s="6">
        <v>24332.307692307681</v>
      </c>
      <c r="U22" s="2"/>
      <c r="V22" s="7">
        <f t="shared" si="5"/>
        <v>0</v>
      </c>
      <c r="W22" s="2"/>
      <c r="X22" s="6">
        <f t="shared" si="6"/>
        <v>-885.03769230768012</v>
      </c>
      <c r="Y22" s="2"/>
      <c r="Z22" s="7">
        <f t="shared" si="7"/>
        <v>-3.637294511886649E-2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101.43</v>
      </c>
      <c r="E23" s="2"/>
      <c r="F23" s="7">
        <f t="shared" si="0"/>
        <v>0</v>
      </c>
      <c r="G23" s="2"/>
      <c r="H23" s="6">
        <v>77.961898000000005</v>
      </c>
      <c r="I23" s="2"/>
      <c r="J23" s="7">
        <f t="shared" si="1"/>
        <v>0</v>
      </c>
      <c r="K23" s="2"/>
      <c r="L23" s="6">
        <f t="shared" si="2"/>
        <v>23.468102000000002</v>
      </c>
      <c r="M23" s="2"/>
      <c r="N23" s="7">
        <f t="shared" si="3"/>
        <v>0.30102014704670221</v>
      </c>
      <c r="O23" s="11"/>
      <c r="P23" s="6">
        <v>278.36</v>
      </c>
      <c r="Q23" s="2"/>
      <c r="R23" s="7">
        <f t="shared" si="4"/>
        <v>0</v>
      </c>
      <c r="S23" s="2"/>
      <c r="T23" s="6">
        <v>280.66283279999999</v>
      </c>
      <c r="U23" s="2"/>
      <c r="V23" s="7">
        <f t="shared" si="5"/>
        <v>0</v>
      </c>
      <c r="W23" s="2"/>
      <c r="X23" s="6">
        <f t="shared" si="6"/>
        <v>-2.302832799999976</v>
      </c>
      <c r="Y23" s="2"/>
      <c r="Z23" s="7">
        <f t="shared" si="7"/>
        <v>-8.2049795372833422E-3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2443.29</v>
      </c>
      <c r="E24" s="2"/>
      <c r="F24" s="7">
        <f t="shared" si="0"/>
        <v>0</v>
      </c>
      <c r="G24" s="2"/>
      <c r="H24" s="6">
        <v>855.989423076923</v>
      </c>
      <c r="I24" s="2"/>
      <c r="J24" s="7">
        <f t="shared" si="1"/>
        <v>0</v>
      </c>
      <c r="K24" s="2"/>
      <c r="L24" s="6">
        <f t="shared" si="2"/>
        <v>1587.300576923077</v>
      </c>
      <c r="M24" s="2"/>
      <c r="N24" s="7">
        <f t="shared" si="3"/>
        <v>1.8543460165867436</v>
      </c>
      <c r="O24" s="11"/>
      <c r="P24" s="6">
        <v>5201.49</v>
      </c>
      <c r="Q24" s="2"/>
      <c r="R24" s="7">
        <f t="shared" si="4"/>
        <v>0</v>
      </c>
      <c r="S24" s="2"/>
      <c r="T24" s="6">
        <v>3081.5619230769216</v>
      </c>
      <c r="U24" s="2"/>
      <c r="V24" s="7">
        <f t="shared" si="5"/>
        <v>0</v>
      </c>
      <c r="W24" s="2"/>
      <c r="X24" s="6">
        <f t="shared" si="6"/>
        <v>2119.9280769230782</v>
      </c>
      <c r="Y24" s="2"/>
      <c r="Z24" s="7">
        <f t="shared" si="7"/>
        <v>0.68793947025615576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1971.94</v>
      </c>
      <c r="Q25" s="2"/>
      <c r="R25" s="7">
        <f t="shared" si="4"/>
        <v>0</v>
      </c>
      <c r="S25" s="2"/>
      <c r="T25" s="6">
        <v>2000</v>
      </c>
      <c r="U25" s="2"/>
      <c r="V25" s="7">
        <f t="shared" si="5"/>
        <v>0</v>
      </c>
      <c r="W25" s="2"/>
      <c r="X25" s="6">
        <f t="shared" si="6"/>
        <v>-28.059999999999945</v>
      </c>
      <c r="Y25" s="2"/>
      <c r="Z25" s="7">
        <f t="shared" si="7"/>
        <v>-1.4029999999999973E-2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480.59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480.59</v>
      </c>
      <c r="M26" s="2"/>
      <c r="N26" s="7">
        <f t="shared" si="3"/>
        <v>0</v>
      </c>
      <c r="O26" s="11"/>
      <c r="P26" s="6">
        <v>1979.52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1979.52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1802.73</v>
      </c>
      <c r="E27" s="2"/>
      <c r="F27" s="7">
        <f t="shared" si="0"/>
        <v>0</v>
      </c>
      <c r="G27" s="2"/>
      <c r="H27" s="6">
        <v>1049.7672692307699</v>
      </c>
      <c r="I27" s="2"/>
      <c r="J27" s="7">
        <f t="shared" si="1"/>
        <v>0</v>
      </c>
      <c r="K27" s="2"/>
      <c r="L27" s="6">
        <f t="shared" si="2"/>
        <v>752.96273076923012</v>
      </c>
      <c r="M27" s="2"/>
      <c r="N27" s="7">
        <f t="shared" si="3"/>
        <v>0.7172663435401001</v>
      </c>
      <c r="O27" s="11"/>
      <c r="P27" s="6">
        <v>8606.2000000000007</v>
      </c>
      <c r="Q27" s="2"/>
      <c r="R27" s="7">
        <f t="shared" si="4"/>
        <v>0</v>
      </c>
      <c r="S27" s="2"/>
      <c r="T27" s="6">
        <v>3779.1621692307704</v>
      </c>
      <c r="U27" s="2"/>
      <c r="V27" s="7">
        <f t="shared" si="5"/>
        <v>0</v>
      </c>
      <c r="W27" s="2"/>
      <c r="X27" s="6">
        <f t="shared" si="6"/>
        <v>4827.0378307692299</v>
      </c>
      <c r="Y27" s="2"/>
      <c r="Z27" s="7">
        <f t="shared" si="7"/>
        <v>1.2772772415193152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1288.8599999999999</v>
      </c>
      <c r="E28" s="2"/>
      <c r="F28" s="7">
        <f t="shared" si="0"/>
        <v>0</v>
      </c>
      <c r="G28" s="2"/>
      <c r="H28" s="6">
        <v>629.86036153846203</v>
      </c>
      <c r="I28" s="2"/>
      <c r="J28" s="7">
        <f t="shared" si="1"/>
        <v>0</v>
      </c>
      <c r="K28" s="2"/>
      <c r="L28" s="6">
        <f t="shared" si="2"/>
        <v>658.99963846153787</v>
      </c>
      <c r="M28" s="2"/>
      <c r="N28" s="7">
        <f t="shared" si="3"/>
        <v>1.0462630746470565</v>
      </c>
      <c r="O28" s="11"/>
      <c r="P28" s="6">
        <v>5036.2299999999996</v>
      </c>
      <c r="Q28" s="2"/>
      <c r="R28" s="7">
        <f t="shared" si="4"/>
        <v>0</v>
      </c>
      <c r="S28" s="2"/>
      <c r="T28" s="6">
        <v>2267.4973015384621</v>
      </c>
      <c r="U28" s="2"/>
      <c r="V28" s="7">
        <f t="shared" si="5"/>
        <v>0</v>
      </c>
      <c r="W28" s="2"/>
      <c r="X28" s="6">
        <f t="shared" si="6"/>
        <v>2768.7326984615374</v>
      </c>
      <c r="Y28" s="2"/>
      <c r="Z28" s="7">
        <f t="shared" si="7"/>
        <v>1.2210522572983857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374.2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-75.800000000000011</v>
      </c>
      <c r="M29" s="2"/>
      <c r="N29" s="7">
        <f t="shared" si="3"/>
        <v>-0.16844444444444448</v>
      </c>
      <c r="O29" s="11"/>
      <c r="P29" s="6">
        <v>1506.2</v>
      </c>
      <c r="Q29" s="2"/>
      <c r="R29" s="7">
        <f t="shared" si="4"/>
        <v>0</v>
      </c>
      <c r="S29" s="2"/>
      <c r="T29" s="6">
        <v>1800</v>
      </c>
      <c r="U29" s="2"/>
      <c r="V29" s="7">
        <f t="shared" si="5"/>
        <v>0</v>
      </c>
      <c r="W29" s="2"/>
      <c r="X29" s="6">
        <f t="shared" si="6"/>
        <v>-293.79999999999995</v>
      </c>
      <c r="Y29" s="2"/>
      <c r="Z29" s="7">
        <f t="shared" si="7"/>
        <v>-0.16322222222222219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27948.199999999997</v>
      </c>
      <c r="E30" s="1"/>
      <c r="F30" s="5">
        <f t="shared" ref="F30:F40" si="8">IF(D$12=0,0,D30/D$12)</f>
        <v>0</v>
      </c>
      <c r="G30" s="1"/>
      <c r="H30" s="1">
        <f>SUM(OSRRefH22_1x_0)</f>
        <v>28636.97715384615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-688.77715384615294</v>
      </c>
      <c r="M30" s="1"/>
      <c r="N30" s="5">
        <f t="shared" ref="N30:N40" si="11">IF(H30=0,0,L30/H30)</f>
        <v>-2.4052020230551648E-2</v>
      </c>
      <c r="O30" s="13"/>
      <c r="P30" s="1">
        <f>SUM(OSRRefP22_1x_0)</f>
        <v>97909.51999999999</v>
      </c>
      <c r="Q30" s="1"/>
      <c r="R30" s="5">
        <f t="shared" ref="R30:R40" si="12">IF(P$12=0,0,P30/P$12)</f>
        <v>0</v>
      </c>
      <c r="S30" s="1"/>
      <c r="T30" s="1">
        <f>SUM(OSRRefT22_1x_0)</f>
        <v>103093.11775384613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-5183.5977538461448</v>
      </c>
      <c r="Y30" s="1"/>
      <c r="Z30" s="5">
        <f t="shared" ref="Z30:Z40" si="15">IF(T30=0,0,X30/T30)</f>
        <v>-5.0280735191489137E-2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9894.4599999999991</v>
      </c>
      <c r="E31" s="2"/>
      <c r="F31" s="7">
        <f t="shared" si="8"/>
        <v>0</v>
      </c>
      <c r="G31" s="2"/>
      <c r="H31" s="6">
        <v>9157.0961538461506</v>
      </c>
      <c r="I31" s="2"/>
      <c r="J31" s="7">
        <f t="shared" si="9"/>
        <v>0</v>
      </c>
      <c r="K31" s="2"/>
      <c r="L31" s="6">
        <f t="shared" si="10"/>
        <v>737.3638461538485</v>
      </c>
      <c r="M31" s="2"/>
      <c r="N31" s="7">
        <f t="shared" si="11"/>
        <v>8.052376362173963E-2</v>
      </c>
      <c r="O31" s="11"/>
      <c r="P31" s="6">
        <v>35980.639999999999</v>
      </c>
      <c r="Q31" s="2"/>
      <c r="R31" s="7">
        <f t="shared" si="12"/>
        <v>0</v>
      </c>
      <c r="S31" s="2"/>
      <c r="T31" s="6">
        <v>32965.546153846139</v>
      </c>
      <c r="U31" s="2"/>
      <c r="V31" s="7">
        <f t="shared" si="13"/>
        <v>0</v>
      </c>
      <c r="W31" s="2"/>
      <c r="X31" s="6">
        <f t="shared" si="14"/>
        <v>3015.0938461538608</v>
      </c>
      <c r="Y31" s="2"/>
      <c r="Z31" s="7">
        <f t="shared" si="15"/>
        <v>9.1461971601586381E-2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14041.64</v>
      </c>
      <c r="E34" s="2"/>
      <c r="F34" s="7">
        <f t="shared" si="8"/>
        <v>0</v>
      </c>
      <c r="G34" s="2"/>
      <c r="H34" s="6">
        <v>10489.880999999999</v>
      </c>
      <c r="I34" s="2"/>
      <c r="J34" s="7">
        <f t="shared" si="9"/>
        <v>0</v>
      </c>
      <c r="K34" s="2"/>
      <c r="L34" s="6">
        <f t="shared" si="10"/>
        <v>3551.759</v>
      </c>
      <c r="M34" s="2"/>
      <c r="N34" s="7">
        <f t="shared" si="11"/>
        <v>0.33858906502371194</v>
      </c>
      <c r="O34" s="11"/>
      <c r="P34" s="6">
        <v>39560.559999999998</v>
      </c>
      <c r="Q34" s="2"/>
      <c r="R34" s="7">
        <f t="shared" si="12"/>
        <v>0</v>
      </c>
      <c r="S34" s="2"/>
      <c r="T34" s="6">
        <v>37763.571599999996</v>
      </c>
      <c r="U34" s="2"/>
      <c r="V34" s="7">
        <f t="shared" si="13"/>
        <v>0</v>
      </c>
      <c r="W34" s="2"/>
      <c r="X34" s="6">
        <f t="shared" si="14"/>
        <v>1796.988400000002</v>
      </c>
      <c r="Y34" s="2"/>
      <c r="Z34" s="7">
        <f t="shared" si="15"/>
        <v>4.7585234231393575E-2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7854.1</v>
      </c>
      <c r="E35" s="2"/>
      <c r="F35" s="7">
        <f t="shared" si="8"/>
        <v>0</v>
      </c>
      <c r="G35" s="2"/>
      <c r="H35" s="6">
        <v>8990</v>
      </c>
      <c r="I35" s="2"/>
      <c r="J35" s="7">
        <f t="shared" si="9"/>
        <v>0</v>
      </c>
      <c r="K35" s="2"/>
      <c r="L35" s="6">
        <f t="shared" si="10"/>
        <v>-1135.8999999999996</v>
      </c>
      <c r="M35" s="2"/>
      <c r="N35" s="7">
        <f t="shared" si="11"/>
        <v>-0.12635150166852055</v>
      </c>
      <c r="O35" s="11"/>
      <c r="P35" s="6">
        <v>22368.32</v>
      </c>
      <c r="Q35" s="2"/>
      <c r="R35" s="7">
        <f t="shared" si="12"/>
        <v>0</v>
      </c>
      <c r="S35" s="2"/>
      <c r="T35" s="6">
        <v>32364</v>
      </c>
      <c r="U35" s="2"/>
      <c r="V35" s="7">
        <f t="shared" si="13"/>
        <v>0</v>
      </c>
      <c r="W35" s="2"/>
      <c r="X35" s="6">
        <f t="shared" si="14"/>
        <v>-9995.68</v>
      </c>
      <c r="Y35" s="2"/>
      <c r="Z35" s="7">
        <f t="shared" si="15"/>
        <v>-0.3088518106538129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-3842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-3842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461.5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201.5</v>
      </c>
      <c r="M41" s="1"/>
      <c r="N41" s="5">
        <f t="shared" ref="N41:N57" si="19">IF(H41=0,0,L41/H41)</f>
        <v>0.77500000000000002</v>
      </c>
      <c r="O41" s="13"/>
      <c r="P41" s="1">
        <f>SUM(OSRRefP22_2x_0)</f>
        <v>1050.24</v>
      </c>
      <c r="Q41" s="1"/>
      <c r="R41" s="5">
        <f t="shared" ref="R41:R57" si="20">IF(P$12=0,0,P41/P$12)</f>
        <v>0</v>
      </c>
      <c r="S41" s="1"/>
      <c r="T41" s="1">
        <f>SUM(OSRRefT22_2x_0)</f>
        <v>1040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10.240000000000009</v>
      </c>
      <c r="Y41" s="1"/>
      <c r="Z41" s="5">
        <f t="shared" ref="Z41:Z57" si="23">IF(T41=0,0,X41/T41)</f>
        <v>9.8461538461538552E-3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461.5</v>
      </c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201.5</v>
      </c>
      <c r="M42" s="2"/>
      <c r="N42" s="7">
        <f t="shared" si="19"/>
        <v>0.77500000000000002</v>
      </c>
      <c r="O42" s="11"/>
      <c r="P42" s="6">
        <v>1050.24</v>
      </c>
      <c r="Q42" s="2"/>
      <c r="R42" s="7">
        <f t="shared" si="20"/>
        <v>0</v>
      </c>
      <c r="S42" s="2"/>
      <c r="T42" s="6">
        <v>1040</v>
      </c>
      <c r="U42" s="2"/>
      <c r="V42" s="7">
        <f t="shared" si="21"/>
        <v>0</v>
      </c>
      <c r="W42" s="2"/>
      <c r="X42" s="6">
        <f t="shared" si="22"/>
        <v>10.240000000000009</v>
      </c>
      <c r="Y42" s="2"/>
      <c r="Z42" s="7">
        <f t="shared" si="23"/>
        <v>9.8461538461538552E-3</v>
      </c>
    </row>
    <row r="43" spans="1:26" s="26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896.72</v>
      </c>
      <c r="Q43" s="1"/>
      <c r="R43" s="5">
        <f t="shared" si="20"/>
        <v>0</v>
      </c>
      <c r="S43" s="1"/>
      <c r="T43" s="1">
        <f>SUM(OSRRefT22_3x_0)</f>
        <v>896</v>
      </c>
      <c r="U43" s="1"/>
      <c r="V43" s="5">
        <f t="shared" si="21"/>
        <v>0</v>
      </c>
      <c r="W43" s="1"/>
      <c r="X43" s="1">
        <f t="shared" si="22"/>
        <v>0.72000000000002728</v>
      </c>
      <c r="Y43" s="1"/>
      <c r="Z43" s="5">
        <f t="shared" si="23"/>
        <v>8.0357142857145902E-4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224.18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0.18000000000000682</v>
      </c>
      <c r="M44" s="2"/>
      <c r="N44" s="7">
        <f t="shared" si="19"/>
        <v>8.0357142857145902E-4</v>
      </c>
      <c r="O44" s="11"/>
      <c r="P44" s="6">
        <v>896.72</v>
      </c>
      <c r="Q44" s="2"/>
      <c r="R44" s="7">
        <f t="shared" si="20"/>
        <v>0</v>
      </c>
      <c r="S44" s="2"/>
      <c r="T44" s="6">
        <v>896</v>
      </c>
      <c r="U44" s="2"/>
      <c r="V44" s="7">
        <f t="shared" si="21"/>
        <v>0</v>
      </c>
      <c r="W44" s="2"/>
      <c r="X44" s="6">
        <f t="shared" si="22"/>
        <v>0.72000000000002728</v>
      </c>
      <c r="Y44" s="2"/>
      <c r="Z44" s="7">
        <f t="shared" si="23"/>
        <v>8.0357142857145902E-4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264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-319</v>
      </c>
      <c r="M45" s="1"/>
      <c r="N45" s="5">
        <f t="shared" si="19"/>
        <v>-0.54716981132075471</v>
      </c>
      <c r="O45" s="13"/>
      <c r="P45" s="1">
        <f>SUM(OSRRefP22_4x_0)</f>
        <v>11829.12</v>
      </c>
      <c r="Q45" s="1"/>
      <c r="R45" s="5">
        <f t="shared" si="20"/>
        <v>0</v>
      </c>
      <c r="S45" s="1"/>
      <c r="T45" s="1">
        <f>SUM(OSRRefT22_4x_0)</f>
        <v>12332</v>
      </c>
      <c r="U45" s="1"/>
      <c r="V45" s="5">
        <f t="shared" si="21"/>
        <v>0</v>
      </c>
      <c r="W45" s="1"/>
      <c r="X45" s="1">
        <f t="shared" si="22"/>
        <v>-502.8799999999992</v>
      </c>
      <c r="Y45" s="1"/>
      <c r="Z45" s="5">
        <f t="shared" si="23"/>
        <v>-4.0778462536490367E-2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>
        <v>264</v>
      </c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-319</v>
      </c>
      <c r="M46" s="2"/>
      <c r="N46" s="7">
        <f t="shared" si="19"/>
        <v>-0.54716981132075471</v>
      </c>
      <c r="O46" s="11"/>
      <c r="P46" s="6">
        <v>11829.12</v>
      </c>
      <c r="Q46" s="2"/>
      <c r="R46" s="7">
        <f t="shared" si="20"/>
        <v>0</v>
      </c>
      <c r="S46" s="2"/>
      <c r="T46" s="6">
        <v>12332</v>
      </c>
      <c r="U46" s="2"/>
      <c r="V46" s="7">
        <f t="shared" si="21"/>
        <v>0</v>
      </c>
      <c r="W46" s="2"/>
      <c r="X46" s="6">
        <f t="shared" si="22"/>
        <v>-502.8799999999992</v>
      </c>
      <c r="Y46" s="2"/>
      <c r="Z46" s="7">
        <f t="shared" si="23"/>
        <v>-4.0778462536490367E-2</v>
      </c>
    </row>
    <row r="47" spans="1:26" s="26" customFormat="1" outlineLevel="1" collapsed="1" x14ac:dyDescent="0.25">
      <c r="A47" s="25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270</v>
      </c>
      <c r="U47" s="1"/>
      <c r="V47" s="5">
        <f t="shared" si="21"/>
        <v>0</v>
      </c>
      <c r="W47" s="1"/>
      <c r="X47" s="1">
        <f t="shared" si="22"/>
        <v>3.7799999999999727</v>
      </c>
      <c r="Y47" s="1"/>
      <c r="Z47" s="5">
        <f t="shared" si="23"/>
        <v>1.39999999999999E-2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270</v>
      </c>
      <c r="U48" s="2"/>
      <c r="V48" s="7">
        <f t="shared" si="21"/>
        <v>0</v>
      </c>
      <c r="W48" s="2"/>
      <c r="X48" s="6">
        <f t="shared" si="22"/>
        <v>3.7799999999999727</v>
      </c>
      <c r="Y48" s="2"/>
      <c r="Z48" s="7">
        <f t="shared" si="23"/>
        <v>1.39999999999999E-2</v>
      </c>
    </row>
    <row r="49" spans="1:26" s="26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25.15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-69.849999999999994</v>
      </c>
      <c r="M49" s="1"/>
      <c r="N49" s="5">
        <f t="shared" si="19"/>
        <v>-0.73526315789473673</v>
      </c>
      <c r="O49" s="13"/>
      <c r="P49" s="1">
        <f>SUM(OSRRefP22_6x_0)</f>
        <v>237.6</v>
      </c>
      <c r="Q49" s="1"/>
      <c r="R49" s="5">
        <f t="shared" si="20"/>
        <v>0</v>
      </c>
      <c r="S49" s="1"/>
      <c r="T49" s="1">
        <f>SUM(OSRRefT22_6x_0)</f>
        <v>285</v>
      </c>
      <c r="U49" s="1"/>
      <c r="V49" s="5">
        <f t="shared" si="21"/>
        <v>0</v>
      </c>
      <c r="W49" s="1"/>
      <c r="X49" s="1">
        <f t="shared" si="22"/>
        <v>-47.400000000000006</v>
      </c>
      <c r="Y49" s="1"/>
      <c r="Z49" s="5">
        <f t="shared" si="23"/>
        <v>-0.16631578947368422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>
        <v>25.15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-69.849999999999994</v>
      </c>
      <c r="M50" s="2"/>
      <c r="N50" s="7">
        <f t="shared" si="19"/>
        <v>-0.73526315789473673</v>
      </c>
      <c r="O50" s="11"/>
      <c r="P50" s="6">
        <v>237.6</v>
      </c>
      <c r="Q50" s="2"/>
      <c r="R50" s="7">
        <f t="shared" si="20"/>
        <v>0</v>
      </c>
      <c r="S50" s="2"/>
      <c r="T50" s="6">
        <v>285</v>
      </c>
      <c r="U50" s="2"/>
      <c r="V50" s="7">
        <f t="shared" si="21"/>
        <v>0</v>
      </c>
      <c r="W50" s="2"/>
      <c r="X50" s="6">
        <f t="shared" si="22"/>
        <v>-47.400000000000006</v>
      </c>
      <c r="Y50" s="2"/>
      <c r="Z50" s="7">
        <f t="shared" si="23"/>
        <v>-0.16631578947368422</v>
      </c>
    </row>
    <row r="51" spans="1:26" s="26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1170</v>
      </c>
      <c r="U51" s="1"/>
      <c r="V51" s="5">
        <f t="shared" si="21"/>
        <v>0</v>
      </c>
      <c r="W51" s="1"/>
      <c r="X51" s="1">
        <f t="shared" si="22"/>
        <v>-470</v>
      </c>
      <c r="Y51" s="1"/>
      <c r="Z51" s="5">
        <f t="shared" si="23"/>
        <v>-0.40170940170940173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1170</v>
      </c>
      <c r="U52" s="2"/>
      <c r="V52" s="7">
        <f t="shared" si="21"/>
        <v>0</v>
      </c>
      <c r="W52" s="2"/>
      <c r="X52" s="6">
        <f t="shared" si="22"/>
        <v>-470</v>
      </c>
      <c r="Y52" s="2"/>
      <c r="Z52" s="7">
        <f t="shared" si="23"/>
        <v>-0.40170940170940173</v>
      </c>
    </row>
    <row r="53" spans="1:26" s="26" customFormat="1" outlineLevel="1" collapsed="1" x14ac:dyDescent="0.25">
      <c r="A53" s="25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261.88</v>
      </c>
      <c r="Q53" s="1"/>
      <c r="R53" s="5">
        <f t="shared" si="20"/>
        <v>0</v>
      </c>
      <c r="S53" s="1"/>
      <c r="T53" s="1">
        <f>SUM(OSRRefT22_8x_0)</f>
        <v>260</v>
      </c>
      <c r="U53" s="1"/>
      <c r="V53" s="5">
        <f t="shared" si="21"/>
        <v>0</v>
      </c>
      <c r="W53" s="1"/>
      <c r="X53" s="1">
        <f t="shared" si="22"/>
        <v>1.8799999999999955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261.88</v>
      </c>
      <c r="Q54" s="2"/>
      <c r="R54" s="7">
        <f t="shared" si="20"/>
        <v>0</v>
      </c>
      <c r="S54" s="2"/>
      <c r="T54" s="6">
        <v>260</v>
      </c>
      <c r="U54" s="2"/>
      <c r="V54" s="7">
        <f t="shared" si="21"/>
        <v>0</v>
      </c>
      <c r="W54" s="2"/>
      <c r="X54" s="6">
        <f t="shared" si="22"/>
        <v>1.8799999999999955</v>
      </c>
      <c r="Y54" s="2"/>
      <c r="Z54" s="7">
        <f t="shared" si="23"/>
        <v>7.2307692307692134E-3</v>
      </c>
    </row>
    <row r="55" spans="1:26" s="26" customFormat="1" outlineLevel="1" collapsed="1" x14ac:dyDescent="0.25">
      <c r="A55" s="25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26818</v>
      </c>
      <c r="E55" s="1"/>
      <c r="F55" s="5">
        <f t="shared" si="16"/>
        <v>0</v>
      </c>
      <c r="G55" s="1"/>
      <c r="H55" s="1">
        <f>SUM(OSRRefH22_9x_0)</f>
        <v>12833</v>
      </c>
      <c r="I55" s="1"/>
      <c r="J55" s="5">
        <f t="shared" si="17"/>
        <v>0</v>
      </c>
      <c r="K55" s="1"/>
      <c r="L55" s="1">
        <f t="shared" si="18"/>
        <v>13985</v>
      </c>
      <c r="M55" s="1"/>
      <c r="N55" s="5">
        <f t="shared" si="19"/>
        <v>1.0897685654172835</v>
      </c>
      <c r="O55" s="13"/>
      <c r="P55" s="1">
        <f>SUM(OSRRefP22_9x_0)</f>
        <v>54232.18</v>
      </c>
      <c r="Q55" s="1"/>
      <c r="R55" s="5">
        <f t="shared" si="20"/>
        <v>0</v>
      </c>
      <c r="S55" s="1"/>
      <c r="T55" s="1">
        <f>SUM(OSRRefT22_9x_0)</f>
        <v>35332</v>
      </c>
      <c r="U55" s="1"/>
      <c r="V55" s="5">
        <f t="shared" si="21"/>
        <v>0</v>
      </c>
      <c r="W55" s="1"/>
      <c r="X55" s="1">
        <f t="shared" si="22"/>
        <v>18900.18</v>
      </c>
      <c r="Y55" s="1"/>
      <c r="Z55" s="5">
        <f t="shared" si="23"/>
        <v>0.53493094079021852</v>
      </c>
    </row>
    <row r="56" spans="1:26" s="24" customFormat="1" hidden="1" outlineLevel="2" x14ac:dyDescent="0.25">
      <c r="A56" s="27"/>
      <c r="B56" s="11" t="str">
        <f>CONCATENATE("          ", "6334", " - ", "LEGAL COUNCIL EXPENSE")</f>
        <v xml:space="preserve">          6334 - LEGAL COUNCIL EXPENSE</v>
      </c>
      <c r="C56" s="11"/>
      <c r="D56" s="6">
        <v>19285</v>
      </c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18452</v>
      </c>
      <c r="M56" s="2"/>
      <c r="N56" s="7">
        <f t="shared" si="19"/>
        <v>22.15126050420168</v>
      </c>
      <c r="O56" s="11"/>
      <c r="P56" s="6">
        <v>37870</v>
      </c>
      <c r="Q56" s="2"/>
      <c r="R56" s="7">
        <f t="shared" si="20"/>
        <v>0</v>
      </c>
      <c r="S56" s="2"/>
      <c r="T56" s="6">
        <v>3332</v>
      </c>
      <c r="U56" s="2"/>
      <c r="V56" s="7">
        <f t="shared" si="21"/>
        <v>0</v>
      </c>
      <c r="W56" s="2"/>
      <c r="X56" s="6">
        <f t="shared" si="22"/>
        <v>34538</v>
      </c>
      <c r="Y56" s="2"/>
      <c r="Z56" s="7">
        <f t="shared" si="23"/>
        <v>10.365546218487395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6">
        <v>7533</v>
      </c>
      <c r="E57" s="2"/>
      <c r="F57" s="7">
        <f t="shared" si="16"/>
        <v>0</v>
      </c>
      <c r="G57" s="2"/>
      <c r="H57" s="6">
        <v>12000</v>
      </c>
      <c r="I57" s="2"/>
      <c r="J57" s="7">
        <f t="shared" si="17"/>
        <v>0</v>
      </c>
      <c r="K57" s="2"/>
      <c r="L57" s="6">
        <f t="shared" si="18"/>
        <v>-4467</v>
      </c>
      <c r="M57" s="2"/>
      <c r="N57" s="7">
        <f t="shared" si="19"/>
        <v>-0.37225000000000003</v>
      </c>
      <c r="O57" s="11"/>
      <c r="P57" s="6">
        <v>16362.18</v>
      </c>
      <c r="Q57" s="2"/>
      <c r="R57" s="7">
        <f t="shared" si="20"/>
        <v>0</v>
      </c>
      <c r="S57" s="2"/>
      <c r="T57" s="6">
        <v>32000</v>
      </c>
      <c r="U57" s="2"/>
      <c r="V57" s="7">
        <f t="shared" si="21"/>
        <v>0</v>
      </c>
      <c r="W57" s="2"/>
      <c r="X57" s="6">
        <f t="shared" si="22"/>
        <v>-15637.82</v>
      </c>
      <c r="Y57" s="2"/>
      <c r="Z57" s="7">
        <f t="shared" si="23"/>
        <v>-0.48868187499999999</v>
      </c>
    </row>
    <row r="58" spans="1:26" s="26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13307.13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387.1299999999992</v>
      </c>
      <c r="M58" s="1"/>
      <c r="N58" s="5">
        <f t="shared" ref="N58:N60" si="27">IF(H58=0,0,L58/H58)</f>
        <v>2.9963622291021608E-2</v>
      </c>
      <c r="O58" s="13"/>
      <c r="P58" s="1">
        <f>SUM(OSRRefP22_10x_0)</f>
        <v>44561.27</v>
      </c>
      <c r="Q58" s="1"/>
      <c r="R58" s="5">
        <f t="shared" ref="R58:R60" si="28">IF(P$12=0,0,P58/P$12)</f>
        <v>0</v>
      </c>
      <c r="S58" s="1"/>
      <c r="T58" s="1">
        <f>SUM(OSRRefT22_10x_0)</f>
        <v>38760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5801.2699999999968</v>
      </c>
      <c r="Y58" s="1"/>
      <c r="Z58" s="5">
        <f t="shared" ref="Z58:Z60" si="31">IF(T58=0,0,X58/T58)</f>
        <v>0.1496715686274509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13307.13</v>
      </c>
      <c r="E59" s="2"/>
      <c r="F59" s="7">
        <f t="shared" si="24"/>
        <v>0</v>
      </c>
      <c r="G59" s="2"/>
      <c r="H59" s="6">
        <v>12920</v>
      </c>
      <c r="I59" s="2"/>
      <c r="J59" s="7">
        <f t="shared" si="25"/>
        <v>0</v>
      </c>
      <c r="K59" s="2"/>
      <c r="L59" s="6">
        <f t="shared" si="26"/>
        <v>387.1299999999992</v>
      </c>
      <c r="M59" s="2"/>
      <c r="N59" s="7">
        <f t="shared" si="27"/>
        <v>2.9963622291021608E-2</v>
      </c>
      <c r="O59" s="11"/>
      <c r="P59" s="6">
        <v>44507.81</v>
      </c>
      <c r="Q59" s="2"/>
      <c r="R59" s="7">
        <f t="shared" si="28"/>
        <v>0</v>
      </c>
      <c r="S59" s="2"/>
      <c r="T59" s="6">
        <v>38760</v>
      </c>
      <c r="U59" s="2"/>
      <c r="V59" s="7">
        <f t="shared" si="29"/>
        <v>0</v>
      </c>
      <c r="W59" s="2"/>
      <c r="X59" s="6">
        <f t="shared" si="30"/>
        <v>5747.8099999999977</v>
      </c>
      <c r="Y59" s="2"/>
      <c r="Z59" s="7">
        <f t="shared" si="31"/>
        <v>0.14829231166150664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53.46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53.46</v>
      </c>
      <c r="Y60" s="2"/>
      <c r="Z60" s="7">
        <f t="shared" si="31"/>
        <v>0</v>
      </c>
    </row>
    <row r="61" spans="1:26" s="26" customFormat="1" outlineLevel="1" collapsed="1" x14ac:dyDescent="0.25">
      <c r="A61" s="25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587</v>
      </c>
      <c r="Q62" s="2"/>
      <c r="R62" s="7">
        <f t="shared" si="36"/>
        <v>0</v>
      </c>
      <c r="S62" s="2"/>
      <c r="T62" s="6">
        <v>627</v>
      </c>
      <c r="U62" s="2"/>
      <c r="V62" s="7">
        <f t="shared" si="37"/>
        <v>0</v>
      </c>
      <c r="W62" s="2"/>
      <c r="X62" s="6">
        <f t="shared" si="38"/>
        <v>-40</v>
      </c>
      <c r="Y62" s="2"/>
      <c r="Z62" s="7">
        <f t="shared" si="39"/>
        <v>-6.3795853269537475E-2</v>
      </c>
    </row>
    <row r="63" spans="1:26" s="26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2315.4699999999998</v>
      </c>
      <c r="E63" s="1"/>
      <c r="F63" s="5">
        <f t="shared" si="32"/>
        <v>0</v>
      </c>
      <c r="G63" s="1"/>
      <c r="H63" s="1">
        <f>SUM(OSRRefH22_12x_0)</f>
        <v>1917</v>
      </c>
      <c r="I63" s="1"/>
      <c r="J63" s="5">
        <f t="shared" si="33"/>
        <v>0</v>
      </c>
      <c r="K63" s="1"/>
      <c r="L63" s="1">
        <f t="shared" si="34"/>
        <v>398.4699999999998</v>
      </c>
      <c r="M63" s="1"/>
      <c r="N63" s="5">
        <f t="shared" si="35"/>
        <v>0.20786124152321325</v>
      </c>
      <c r="O63" s="13"/>
      <c r="P63" s="1">
        <f>SUM(OSRRefP22_12x_0)</f>
        <v>11579.29</v>
      </c>
      <c r="Q63" s="1"/>
      <c r="R63" s="5">
        <f t="shared" si="36"/>
        <v>0</v>
      </c>
      <c r="S63" s="1"/>
      <c r="T63" s="1">
        <f>SUM(OSRRefT22_12x_0)</f>
        <v>11568</v>
      </c>
      <c r="U63" s="1"/>
      <c r="V63" s="5">
        <f t="shared" si="37"/>
        <v>0</v>
      </c>
      <c r="W63" s="1"/>
      <c r="X63" s="1">
        <f t="shared" si="38"/>
        <v>11.290000000000873</v>
      </c>
      <c r="Y63" s="1"/>
      <c r="Z63" s="5">
        <f t="shared" si="39"/>
        <v>9.7596818810519301E-4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6">
        <v>1977.37</v>
      </c>
      <c r="E64" s="2"/>
      <c r="F64" s="7">
        <f t="shared" si="32"/>
        <v>0</v>
      </c>
      <c r="G64" s="2"/>
      <c r="H64" s="6">
        <v>1500</v>
      </c>
      <c r="I64" s="2"/>
      <c r="J64" s="7">
        <f t="shared" si="33"/>
        <v>0</v>
      </c>
      <c r="K64" s="2"/>
      <c r="L64" s="6">
        <f t="shared" si="34"/>
        <v>477.36999999999989</v>
      </c>
      <c r="M64" s="2"/>
      <c r="N64" s="7">
        <f t="shared" si="35"/>
        <v>0.31824666666666657</v>
      </c>
      <c r="O64" s="11"/>
      <c r="P64" s="6">
        <v>8269.4500000000007</v>
      </c>
      <c r="Q64" s="2"/>
      <c r="R64" s="7">
        <f t="shared" si="36"/>
        <v>0</v>
      </c>
      <c r="S64" s="2"/>
      <c r="T64" s="6">
        <v>9900</v>
      </c>
      <c r="U64" s="2"/>
      <c r="V64" s="7">
        <f t="shared" si="37"/>
        <v>0</v>
      </c>
      <c r="W64" s="2"/>
      <c r="X64" s="6">
        <f t="shared" si="38"/>
        <v>-1630.5499999999993</v>
      </c>
      <c r="Y64" s="2"/>
      <c r="Z64" s="7">
        <f t="shared" si="39"/>
        <v>-0.16470202020202013</v>
      </c>
    </row>
    <row r="65" spans="1:26" s="24" customFormat="1" hidden="1" outlineLevel="2" x14ac:dyDescent="0.25">
      <c r="A65" s="27"/>
      <c r="B65" s="11" t="str">
        <f>CONCATENATE("          ", "6244", " - ", "SAFETY SUPPLY EXPENSE")</f>
        <v xml:space="preserve">          6244 - SAFETY SUPPLY EXPENSE</v>
      </c>
      <c r="C65" s="11"/>
      <c r="D65" s="6">
        <v>175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-242</v>
      </c>
      <c r="M65" s="2"/>
      <c r="N65" s="7">
        <f t="shared" si="35"/>
        <v>-0.58033573141486805</v>
      </c>
      <c r="O65" s="11"/>
      <c r="P65" s="6">
        <v>1407.33</v>
      </c>
      <c r="Q65" s="2"/>
      <c r="R65" s="7">
        <f t="shared" si="36"/>
        <v>0</v>
      </c>
      <c r="S65" s="2"/>
      <c r="T65" s="6">
        <v>1668</v>
      </c>
      <c r="U65" s="2"/>
      <c r="V65" s="7">
        <f t="shared" si="37"/>
        <v>0</v>
      </c>
      <c r="W65" s="2"/>
      <c r="X65" s="6">
        <f t="shared" si="38"/>
        <v>-260.67000000000007</v>
      </c>
      <c r="Y65" s="2"/>
      <c r="Z65" s="7">
        <f t="shared" si="39"/>
        <v>-0.15627697841726623</v>
      </c>
    </row>
    <row r="66" spans="1:26" s="24" customFormat="1" hidden="1" outlineLevel="2" x14ac:dyDescent="0.25">
      <c r="A66" s="27"/>
      <c r="B66" s="11" t="str">
        <f>CONCATENATE("          ", "6245", " - ", "PRINTING")</f>
        <v xml:space="preserve">          6245 - PRINTING</v>
      </c>
      <c r="C66" s="11"/>
      <c r="D66" s="6">
        <v>163.1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163.1</v>
      </c>
      <c r="M66" s="2"/>
      <c r="N66" s="7">
        <f t="shared" si="35"/>
        <v>0</v>
      </c>
      <c r="O66" s="11"/>
      <c r="P66" s="6">
        <v>1902.51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1902.51</v>
      </c>
      <c r="Y66" s="2"/>
      <c r="Z66" s="7">
        <f t="shared" si="39"/>
        <v>0</v>
      </c>
    </row>
    <row r="67" spans="1:26" s="26" customFormat="1" outlineLevel="1" collapsed="1" x14ac:dyDescent="0.25">
      <c r="A67" s="25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310.2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20.199999999999989</v>
      </c>
      <c r="M67" s="1"/>
      <c r="N67" s="5">
        <f t="shared" ref="N67:N72" si="43">IF(H67=0,0,L67/H67)</f>
        <v>6.9655172413793071E-2</v>
      </c>
      <c r="O67" s="13"/>
      <c r="P67" s="1">
        <f>SUM(OSRRefP22_13x_0)</f>
        <v>1337.85</v>
      </c>
      <c r="Q67" s="1"/>
      <c r="R67" s="5">
        <f t="shared" ref="R67:R72" si="44">IF(P$12=0,0,P67/P$12)</f>
        <v>0</v>
      </c>
      <c r="S67" s="1"/>
      <c r="T67" s="1">
        <f>SUM(OSRRefT22_13x_0)</f>
        <v>1160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177.84999999999991</v>
      </c>
      <c r="Y67" s="1"/>
      <c r="Z67" s="5">
        <f t="shared" ref="Z67:Z72" si="47">IF(T67=0,0,X67/T67)</f>
        <v>0.15331896551724131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310.2</v>
      </c>
      <c r="E68" s="2"/>
      <c r="F68" s="7">
        <f t="shared" si="40"/>
        <v>0</v>
      </c>
      <c r="G68" s="2"/>
      <c r="H68" s="6">
        <v>290</v>
      </c>
      <c r="I68" s="2"/>
      <c r="J68" s="7">
        <f t="shared" si="41"/>
        <v>0</v>
      </c>
      <c r="K68" s="2"/>
      <c r="L68" s="6">
        <f t="shared" si="42"/>
        <v>20.199999999999989</v>
      </c>
      <c r="M68" s="2"/>
      <c r="N68" s="7">
        <f t="shared" si="43"/>
        <v>6.9655172413793071E-2</v>
      </c>
      <c r="O68" s="11"/>
      <c r="P68" s="6">
        <v>1337.85</v>
      </c>
      <c r="Q68" s="2"/>
      <c r="R68" s="7">
        <f t="shared" si="44"/>
        <v>0</v>
      </c>
      <c r="S68" s="2"/>
      <c r="T68" s="6">
        <v>1160</v>
      </c>
      <c r="U68" s="2"/>
      <c r="V68" s="7">
        <f t="shared" si="45"/>
        <v>0</v>
      </c>
      <c r="W68" s="2"/>
      <c r="X68" s="6">
        <f t="shared" si="46"/>
        <v>177.84999999999991</v>
      </c>
      <c r="Y68" s="2"/>
      <c r="Z68" s="7">
        <f t="shared" si="47"/>
        <v>0.15331896551724131</v>
      </c>
    </row>
    <row r="69" spans="1:26" s="26" customFormat="1" outlineLevel="1" collapsed="1" x14ac:dyDescent="0.25">
      <c r="A69" s="25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0</v>
      </c>
      <c r="E69" s="1"/>
      <c r="F69" s="5">
        <f t="shared" si="40"/>
        <v>0</v>
      </c>
      <c r="G69" s="1"/>
      <c r="H69" s="1">
        <f>SUM(OSRRefH22_14x_0)</f>
        <v>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3"/>
      <c r="P69" s="1">
        <f>SUM(OSRRefP22_14x_0)</f>
        <v>5314.98</v>
      </c>
      <c r="Q69" s="1"/>
      <c r="R69" s="5">
        <f t="shared" si="44"/>
        <v>0</v>
      </c>
      <c r="S69" s="1"/>
      <c r="T69" s="1">
        <f>SUM(OSRRefT22_14x_0)</f>
        <v>6000</v>
      </c>
      <c r="U69" s="1"/>
      <c r="V69" s="5">
        <f t="shared" si="45"/>
        <v>0</v>
      </c>
      <c r="W69" s="1"/>
      <c r="X69" s="1">
        <f t="shared" si="46"/>
        <v>-685.02000000000044</v>
      </c>
      <c r="Y69" s="1"/>
      <c r="Z69" s="5">
        <f t="shared" si="47"/>
        <v>-0.11417000000000008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5314.98</v>
      </c>
      <c r="Q70" s="2"/>
      <c r="R70" s="7">
        <f t="shared" si="44"/>
        <v>0</v>
      </c>
      <c r="S70" s="2"/>
      <c r="T70" s="6">
        <v>6000</v>
      </c>
      <c r="U70" s="2"/>
      <c r="V70" s="7">
        <f t="shared" si="45"/>
        <v>0</v>
      </c>
      <c r="W70" s="2"/>
      <c r="X70" s="6">
        <f t="shared" si="46"/>
        <v>-685.02000000000044</v>
      </c>
      <c r="Y70" s="2"/>
      <c r="Z70" s="7">
        <f t="shared" si="47"/>
        <v>-0.11417000000000008</v>
      </c>
    </row>
    <row r="71" spans="1:26" s="26" customFormat="1" outlineLevel="1" collapsed="1" x14ac:dyDescent="0.25">
      <c r="A71" s="25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0</v>
      </c>
      <c r="E71" s="1"/>
      <c r="F71" s="5">
        <f t="shared" si="40"/>
        <v>0</v>
      </c>
      <c r="G71" s="1"/>
      <c r="H71" s="1">
        <f>SUM(OSRRefH22_15x_0)</f>
        <v>0</v>
      </c>
      <c r="I71" s="1"/>
      <c r="J71" s="5">
        <f t="shared" si="41"/>
        <v>0</v>
      </c>
      <c r="K71" s="1"/>
      <c r="L71" s="1">
        <f t="shared" si="42"/>
        <v>0</v>
      </c>
      <c r="M71" s="1"/>
      <c r="N71" s="5">
        <f t="shared" si="43"/>
        <v>0</v>
      </c>
      <c r="O71" s="13"/>
      <c r="P71" s="1">
        <f>SUM(OSRRefP22_15x_0)</f>
        <v>1435.88</v>
      </c>
      <c r="Q71" s="1"/>
      <c r="R71" s="5">
        <f t="shared" si="44"/>
        <v>0</v>
      </c>
      <c r="S71" s="1"/>
      <c r="T71" s="1">
        <f>SUM(OSRRefT22_15x_0)</f>
        <v>1000</v>
      </c>
      <c r="U71" s="1"/>
      <c r="V71" s="5">
        <f t="shared" si="45"/>
        <v>0</v>
      </c>
      <c r="W71" s="1"/>
      <c r="X71" s="1">
        <f t="shared" si="46"/>
        <v>435.88000000000011</v>
      </c>
      <c r="Y71" s="1"/>
      <c r="Z71" s="5">
        <f t="shared" si="47"/>
        <v>0.4358800000000001</v>
      </c>
    </row>
    <row r="72" spans="1:26" s="24" customFormat="1" hidden="1" outlineLevel="2" x14ac:dyDescent="0.25">
      <c r="A72" s="27"/>
      <c r="B72" s="11" t="str">
        <f>CONCATENATE("          ", "6292", " - ", "TRAVEL/CONFERENCE")</f>
        <v xml:space="preserve">          6292 - TRAVEL/CONFERENCE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1435.88</v>
      </c>
      <c r="Q72" s="2"/>
      <c r="R72" s="7">
        <f t="shared" si="44"/>
        <v>0</v>
      </c>
      <c r="S72" s="2"/>
      <c r="T72" s="6">
        <v>1000</v>
      </c>
      <c r="U72" s="2"/>
      <c r="V72" s="7">
        <f t="shared" si="45"/>
        <v>0</v>
      </c>
      <c r="W72" s="2"/>
      <c r="X72" s="6">
        <f t="shared" si="46"/>
        <v>435.88000000000011</v>
      </c>
      <c r="Y72" s="2"/>
      <c r="Z72" s="7">
        <f t="shared" si="47"/>
        <v>0.4358800000000001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2">
        <f>+D16-D18+D74</f>
        <v>-87993.24</v>
      </c>
      <c r="E76" s="14"/>
      <c r="F76" s="20">
        <f>IF(D$12=0,0,D76/D$12)</f>
        <v>0</v>
      </c>
      <c r="G76" s="14"/>
      <c r="H76" s="22">
        <f>+H16-H18+H74</f>
        <v>-70115.587754592299</v>
      </c>
      <c r="I76" s="14"/>
      <c r="J76" s="20">
        <f>IF(H$12=0,0,H76/H$12)</f>
        <v>0</v>
      </c>
      <c r="K76" s="16"/>
      <c r="L76" s="22">
        <f>+D76-H76</f>
        <v>-17877.652245407706</v>
      </c>
      <c r="M76" s="16"/>
      <c r="N76" s="20">
        <f>IF(H76=0,0,L76/H76)</f>
        <v>0.25497400532361347</v>
      </c>
      <c r="O76" s="29"/>
      <c r="P76" s="22">
        <f>+P16-P18+P74</f>
        <v>-289587.59000000003</v>
      </c>
      <c r="Q76" s="14"/>
      <c r="R76" s="20">
        <f>IF(P$12=0,0,P76/P$12)</f>
        <v>0</v>
      </c>
      <c r="S76" s="14"/>
      <c r="T76" s="22">
        <f>+T16-T18+T74</f>
        <v>-257485.71591653227</v>
      </c>
      <c r="U76" s="14"/>
      <c r="V76" s="20">
        <f>IF(T$12=0,0,T76/T$12)</f>
        <v>0</v>
      </c>
      <c r="W76" s="16"/>
      <c r="X76" s="22">
        <f>+P76-T76</f>
        <v>-32101.874083467759</v>
      </c>
      <c r="Y76" s="16"/>
      <c r="Z76" s="20">
        <f>IF(T76=0,0,X76/T76)</f>
        <v>0.12467438812751092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-87993.24</v>
      </c>
      <c r="E80" s="14"/>
      <c r="F80" s="33">
        <f>IF(D$12=0,0,D80/D$12)</f>
        <v>0</v>
      </c>
      <c r="G80" s="14"/>
      <c r="H80" s="31">
        <f>+H76-H78</f>
        <v>-70115.587754592299</v>
      </c>
      <c r="I80" s="14"/>
      <c r="J80" s="33">
        <f>IF(H$12=0,0,H80/H$12)</f>
        <v>0</v>
      </c>
      <c r="K80" s="16"/>
      <c r="L80" s="31">
        <f>D80-H80</f>
        <v>-17877.652245407706</v>
      </c>
      <c r="M80" s="16"/>
      <c r="N80" s="33">
        <f>IF(H80=0,0,L80/H80)</f>
        <v>0.25497400532361347</v>
      </c>
      <c r="O80" s="29"/>
      <c r="P80" s="31">
        <f>+P76-P78</f>
        <v>-289587.59000000003</v>
      </c>
      <c r="Q80" s="14"/>
      <c r="R80" s="33">
        <f>IF(P$12=0,0,P80/P$12)</f>
        <v>0</v>
      </c>
      <c r="S80" s="14"/>
      <c r="T80" s="31">
        <f>+T76-T78</f>
        <v>-257485.71591653227</v>
      </c>
      <c r="U80" s="14"/>
      <c r="V80" s="33">
        <f>IF(T$12=0,0,T80/T$12)</f>
        <v>0</v>
      </c>
      <c r="W80" s="16"/>
      <c r="X80" s="31">
        <f>P80-T80</f>
        <v>-32101.874083467759</v>
      </c>
      <c r="Y80" s="16"/>
      <c r="Z80" s="33">
        <f>IF(T80=0,0,X80/T80)</f>
        <v>0.12467438812751092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2">
        <f>SUM(D80:D82)</f>
        <v>-87993.24</v>
      </c>
      <c r="E83" s="14"/>
      <c r="F83" s="34">
        <f>IF(D$12=0,0,D83/D$12)</f>
        <v>0</v>
      </c>
      <c r="G83" s="14"/>
      <c r="H83" s="32">
        <f>SUM(H80:H82)</f>
        <v>-70115.587754592299</v>
      </c>
      <c r="I83" s="14"/>
      <c r="J83" s="34">
        <f>IF(H$12=0,0,H83/H$12)</f>
        <v>0</v>
      </c>
      <c r="K83" s="16"/>
      <c r="L83" s="32">
        <f>+D83-H83</f>
        <v>-17877.652245407706</v>
      </c>
      <c r="M83" s="16"/>
      <c r="N83" s="34">
        <f>IF(H83=0,0,L83/H83)</f>
        <v>0.25497400532361347</v>
      </c>
      <c r="O83" s="29"/>
      <c r="P83" s="32">
        <f>SUM(P80:P82)</f>
        <v>-289587.59000000003</v>
      </c>
      <c r="Q83" s="14"/>
      <c r="R83" s="34">
        <f>IF(P$12=0,0,P83/P$12)</f>
        <v>0</v>
      </c>
      <c r="S83" s="14"/>
      <c r="T83" s="32">
        <f>SUM(T80:T82)</f>
        <v>-257485.71591653227</v>
      </c>
      <c r="U83" s="14"/>
      <c r="V83" s="34">
        <f>IF(T$12=0,0,T83/T$12)</f>
        <v>0</v>
      </c>
      <c r="W83" s="16"/>
      <c r="X83" s="32">
        <f>+P83-T83</f>
        <v>-32101.874083467759</v>
      </c>
      <c r="Y83" s="16"/>
      <c r="Z83" s="34">
        <f>IF(T83=0,0,X83/T83)</f>
        <v>0.12467438812751092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0">
        <v>43791.347948993054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4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70163.089999999982</v>
      </c>
      <c r="E18" s="21"/>
      <c r="F18" s="35">
        <f t="shared" ref="F18:F29" si="0">IF(D$12=0,0,D18/D$12)</f>
        <v>0</v>
      </c>
      <c r="G18" s="21"/>
      <c r="H18" s="21">
        <f>SUM(OSRRefH22x_0)</f>
        <v>74658.390358153847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-4495.3003581538651</v>
      </c>
      <c r="M18" s="4"/>
      <c r="N18" s="35">
        <f t="shared" ref="N18:N29" si="3">IF(H18=0,0,L18/H18)</f>
        <v>-6.0211589569355198E-2</v>
      </c>
      <c r="O18" s="10"/>
      <c r="P18" s="21">
        <f>SUM(OSRRefP22x_0)</f>
        <v>252829.10999999996</v>
      </c>
      <c r="Q18" s="21"/>
      <c r="R18" s="35">
        <f t="shared" ref="R18:R29" si="4">IF(P$12=0,0,P18/P$12)</f>
        <v>0</v>
      </c>
      <c r="S18" s="21"/>
      <c r="T18" s="21">
        <f>SUM(OSRRefT22x_0)</f>
        <v>268018.31358046143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-15189.203580461472</v>
      </c>
      <c r="Y18" s="4"/>
      <c r="Z18" s="35">
        <f t="shared" ref="Z18:Z29" si="7">IF(T18=0,0,X18/T18)</f>
        <v>-5.6672260106216739E-2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16996.349999999999</v>
      </c>
      <c r="E19" s="1"/>
      <c r="F19" s="5">
        <f t="shared" si="0"/>
        <v>0</v>
      </c>
      <c r="G19" s="1"/>
      <c r="H19" s="1">
        <f>SUM(OSRRefH22_0x_0)</f>
        <v>16508.629435076942</v>
      </c>
      <c r="I19" s="1"/>
      <c r="J19" s="5">
        <f t="shared" si="1"/>
        <v>0</v>
      </c>
      <c r="K19" s="1"/>
      <c r="L19" s="1">
        <f t="shared" si="2"/>
        <v>487.72056492305637</v>
      </c>
      <c r="M19" s="1"/>
      <c r="N19" s="5">
        <f t="shared" si="3"/>
        <v>2.9543371049735073E-2</v>
      </c>
      <c r="O19" s="13"/>
      <c r="P19" s="1">
        <f>SUM(OSRRefP22_0x_0)</f>
        <v>53905.67</v>
      </c>
      <c r="Q19" s="1"/>
      <c r="R19" s="5">
        <f t="shared" si="4"/>
        <v>0</v>
      </c>
      <c r="S19" s="1"/>
      <c r="T19" s="1">
        <f>SUM(OSRRefT22_0x_0)</f>
        <v>60416.342657384674</v>
      </c>
      <c r="U19" s="1"/>
      <c r="V19" s="5">
        <f t="shared" si="5"/>
        <v>0</v>
      </c>
      <c r="W19" s="1"/>
      <c r="X19" s="1">
        <f t="shared" si="6"/>
        <v>-6510.6726573846754</v>
      </c>
      <c r="Y19" s="1"/>
      <c r="Z19" s="5">
        <f t="shared" si="7"/>
        <v>-0.10776343570325135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3989.36</v>
      </c>
      <c r="E20" s="2"/>
      <c r="F20" s="7">
        <f t="shared" si="0"/>
        <v>0</v>
      </c>
      <c r="G20" s="2"/>
      <c r="H20" s="6">
        <v>2959.6811889230798</v>
      </c>
      <c r="I20" s="2"/>
      <c r="J20" s="7">
        <f t="shared" si="1"/>
        <v>0</v>
      </c>
      <c r="K20" s="2"/>
      <c r="L20" s="6">
        <f t="shared" si="2"/>
        <v>1029.6788110769203</v>
      </c>
      <c r="M20" s="2"/>
      <c r="N20" s="7">
        <f t="shared" si="3"/>
        <v>0.34790193448220108</v>
      </c>
      <c r="O20" s="11"/>
      <c r="P20" s="6">
        <v>9544.2099999999991</v>
      </c>
      <c r="Q20" s="2"/>
      <c r="R20" s="7">
        <f t="shared" si="4"/>
        <v>0</v>
      </c>
      <c r="S20" s="2"/>
      <c r="T20" s="6">
        <v>10237.76071892308</v>
      </c>
      <c r="U20" s="2"/>
      <c r="V20" s="7">
        <f t="shared" si="5"/>
        <v>0</v>
      </c>
      <c r="W20" s="2"/>
      <c r="X20" s="6">
        <f t="shared" si="6"/>
        <v>-693.55071892308115</v>
      </c>
      <c r="Y20" s="2"/>
      <c r="Z20" s="7">
        <f t="shared" si="7"/>
        <v>-6.7744376721087934E-2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-16.63</v>
      </c>
      <c r="E21" s="2"/>
      <c r="F21" s="7">
        <f t="shared" si="0"/>
        <v>0</v>
      </c>
      <c r="G21" s="2"/>
      <c r="H21" s="6">
        <v>131.489821538462</v>
      </c>
      <c r="I21" s="2"/>
      <c r="J21" s="7">
        <f t="shared" si="1"/>
        <v>0</v>
      </c>
      <c r="K21" s="2"/>
      <c r="L21" s="6">
        <f t="shared" si="2"/>
        <v>-148.11982153846199</v>
      </c>
      <c r="M21" s="2"/>
      <c r="N21" s="7">
        <f t="shared" si="3"/>
        <v>-1.1264736677365979</v>
      </c>
      <c r="O21" s="11"/>
      <c r="P21" s="6">
        <v>245.96</v>
      </c>
      <c r="Q21" s="2"/>
      <c r="R21" s="7">
        <f t="shared" si="4"/>
        <v>0</v>
      </c>
      <c r="S21" s="2"/>
      <c r="T21" s="6">
        <v>468.16122153846203</v>
      </c>
      <c r="U21" s="2"/>
      <c r="V21" s="7">
        <f t="shared" si="5"/>
        <v>0</v>
      </c>
      <c r="W21" s="2"/>
      <c r="X21" s="6">
        <f t="shared" si="6"/>
        <v>-222.20122153846202</v>
      </c>
      <c r="Y21" s="2"/>
      <c r="Z21" s="7">
        <f t="shared" si="7"/>
        <v>-0.47462543097497228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7803.9230769230808</v>
      </c>
      <c r="I22" s="2"/>
      <c r="J22" s="7">
        <f t="shared" si="1"/>
        <v>0</v>
      </c>
      <c r="K22" s="2"/>
      <c r="L22" s="6">
        <f t="shared" si="2"/>
        <v>-2535.4430769230812</v>
      </c>
      <c r="M22" s="2"/>
      <c r="N22" s="7">
        <f t="shared" si="3"/>
        <v>-0.3248933968122546</v>
      </c>
      <c r="O22" s="11"/>
      <c r="P22" s="6">
        <v>20438.82</v>
      </c>
      <c r="Q22" s="2"/>
      <c r="R22" s="7">
        <f t="shared" si="4"/>
        <v>0</v>
      </c>
      <c r="S22" s="2"/>
      <c r="T22" s="6">
        <v>29622.23076923078</v>
      </c>
      <c r="U22" s="2"/>
      <c r="V22" s="7">
        <f t="shared" si="5"/>
        <v>0</v>
      </c>
      <c r="W22" s="2"/>
      <c r="X22" s="6">
        <f t="shared" si="6"/>
        <v>-9183.4107692307807</v>
      </c>
      <c r="Y22" s="2"/>
      <c r="Z22" s="7">
        <f t="shared" si="7"/>
        <v>-0.31001752841550939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113.17</v>
      </c>
      <c r="E23" s="2"/>
      <c r="F23" s="7">
        <f t="shared" si="0"/>
        <v>0</v>
      </c>
      <c r="G23" s="2"/>
      <c r="H23" s="6">
        <v>100.55104</v>
      </c>
      <c r="I23" s="2"/>
      <c r="J23" s="7">
        <f t="shared" si="1"/>
        <v>0</v>
      </c>
      <c r="K23" s="2"/>
      <c r="L23" s="6">
        <f t="shared" si="2"/>
        <v>12.618960000000001</v>
      </c>
      <c r="M23" s="2"/>
      <c r="N23" s="7">
        <f t="shared" si="3"/>
        <v>0.12549805551489077</v>
      </c>
      <c r="O23" s="11"/>
      <c r="P23" s="6">
        <v>313.97000000000003</v>
      </c>
      <c r="Q23" s="2"/>
      <c r="R23" s="7">
        <f t="shared" si="4"/>
        <v>0</v>
      </c>
      <c r="S23" s="2"/>
      <c r="T23" s="6">
        <v>358.00564000000003</v>
      </c>
      <c r="U23" s="2"/>
      <c r="V23" s="7">
        <f t="shared" si="5"/>
        <v>0</v>
      </c>
      <c r="W23" s="2"/>
      <c r="X23" s="6">
        <f t="shared" si="6"/>
        <v>-44.035640000000001</v>
      </c>
      <c r="Y23" s="2"/>
      <c r="Z23" s="7">
        <f t="shared" si="7"/>
        <v>-0.12300264319858201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3079.81</v>
      </c>
      <c r="E24" s="2"/>
      <c r="F24" s="7">
        <f t="shared" si="0"/>
        <v>0</v>
      </c>
      <c r="G24" s="2"/>
      <c r="H24" s="6">
        <v>2010.0846153846198</v>
      </c>
      <c r="I24" s="2"/>
      <c r="J24" s="7">
        <f t="shared" si="1"/>
        <v>0</v>
      </c>
      <c r="K24" s="2"/>
      <c r="L24" s="6">
        <f t="shared" si="2"/>
        <v>1069.7253846153801</v>
      </c>
      <c r="M24" s="2"/>
      <c r="N24" s="7">
        <f t="shared" si="3"/>
        <v>0.53217928062729514</v>
      </c>
      <c r="O24" s="11"/>
      <c r="P24" s="6">
        <v>7096.96</v>
      </c>
      <c r="Q24" s="2"/>
      <c r="R24" s="7">
        <f t="shared" si="4"/>
        <v>0</v>
      </c>
      <c r="S24" s="2"/>
      <c r="T24" s="6">
        <v>7236.3046153846199</v>
      </c>
      <c r="U24" s="2"/>
      <c r="V24" s="7">
        <f t="shared" si="5"/>
        <v>0</v>
      </c>
      <c r="W24" s="2"/>
      <c r="X24" s="6">
        <f t="shared" si="6"/>
        <v>-139.34461538461983</v>
      </c>
      <c r="Y24" s="2"/>
      <c r="Z24" s="7">
        <f t="shared" si="7"/>
        <v>-1.9256322500350333E-2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378.28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378.28</v>
      </c>
      <c r="M26" s="2"/>
      <c r="N26" s="7">
        <f t="shared" si="3"/>
        <v>0</v>
      </c>
      <c r="O26" s="11"/>
      <c r="P26" s="6">
        <v>1514.22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1514.22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2112.9299999999998</v>
      </c>
      <c r="E27" s="2"/>
      <c r="F27" s="7">
        <f t="shared" si="0"/>
        <v>0</v>
      </c>
      <c r="G27" s="2"/>
      <c r="H27" s="6">
        <v>1673.3538461538501</v>
      </c>
      <c r="I27" s="2"/>
      <c r="J27" s="7">
        <f t="shared" si="1"/>
        <v>0</v>
      </c>
      <c r="K27" s="2"/>
      <c r="L27" s="6">
        <f t="shared" si="2"/>
        <v>439.57615384614974</v>
      </c>
      <c r="M27" s="2"/>
      <c r="N27" s="7">
        <f t="shared" si="3"/>
        <v>0.26269169240952916</v>
      </c>
      <c r="O27" s="11"/>
      <c r="P27" s="6">
        <v>7353.56</v>
      </c>
      <c r="Q27" s="2"/>
      <c r="R27" s="7">
        <f t="shared" si="4"/>
        <v>0</v>
      </c>
      <c r="S27" s="2"/>
      <c r="T27" s="6">
        <v>5973.6038461538601</v>
      </c>
      <c r="U27" s="2"/>
      <c r="V27" s="7">
        <f t="shared" si="5"/>
        <v>0</v>
      </c>
      <c r="W27" s="2"/>
      <c r="X27" s="6">
        <f t="shared" si="6"/>
        <v>1379.9561538461403</v>
      </c>
      <c r="Y27" s="2"/>
      <c r="Z27" s="7">
        <f t="shared" si="7"/>
        <v>0.23100898375352313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1412.55</v>
      </c>
      <c r="E28" s="2"/>
      <c r="F28" s="7">
        <f t="shared" si="0"/>
        <v>0</v>
      </c>
      <c r="G28" s="2"/>
      <c r="H28" s="6">
        <v>1829.5458461538501</v>
      </c>
      <c r="I28" s="2"/>
      <c r="J28" s="7">
        <f t="shared" si="1"/>
        <v>0</v>
      </c>
      <c r="K28" s="2"/>
      <c r="L28" s="6">
        <f t="shared" si="2"/>
        <v>-416.99584615385015</v>
      </c>
      <c r="M28" s="2"/>
      <c r="N28" s="7">
        <f t="shared" si="3"/>
        <v>-0.2279231466270587</v>
      </c>
      <c r="O28" s="11"/>
      <c r="P28" s="6">
        <v>4923.26</v>
      </c>
      <c r="Q28" s="2"/>
      <c r="R28" s="7">
        <f t="shared" si="4"/>
        <v>0</v>
      </c>
      <c r="S28" s="2"/>
      <c r="T28" s="6">
        <v>6520.2758461538597</v>
      </c>
      <c r="U28" s="2"/>
      <c r="V28" s="7">
        <f t="shared" si="5"/>
        <v>0</v>
      </c>
      <c r="W28" s="2"/>
      <c r="X28" s="6">
        <f t="shared" si="6"/>
        <v>-1597.0158461538595</v>
      </c>
      <c r="Y28" s="2"/>
      <c r="Z28" s="7">
        <f t="shared" si="7"/>
        <v>-0.24493071824497997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658.4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658.4</v>
      </c>
      <c r="M29" s="2"/>
      <c r="N29" s="7">
        <f t="shared" si="3"/>
        <v>0</v>
      </c>
      <c r="O29" s="11"/>
      <c r="P29" s="6">
        <v>2474.71</v>
      </c>
      <c r="Q29" s="2"/>
      <c r="R29" s="7">
        <f t="shared" si="4"/>
        <v>0</v>
      </c>
      <c r="S29" s="2"/>
      <c r="T29" s="6"/>
      <c r="U29" s="2"/>
      <c r="V29" s="7">
        <f t="shared" si="5"/>
        <v>0</v>
      </c>
      <c r="W29" s="2"/>
      <c r="X29" s="6">
        <f t="shared" si="6"/>
        <v>2474.71</v>
      </c>
      <c r="Y29" s="2"/>
      <c r="Z29" s="7">
        <f t="shared" si="7"/>
        <v>0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31366.809999999998</v>
      </c>
      <c r="E30" s="1"/>
      <c r="F30" s="5">
        <f t="shared" ref="F30:F40" si="8">IF(D$12=0,0,D30/D$12)</f>
        <v>0</v>
      </c>
      <c r="G30" s="1"/>
      <c r="H30" s="1">
        <f>SUM(OSRRefH22_1x_0)</f>
        <v>35668.760923076901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-4301.9509230769036</v>
      </c>
      <c r="M30" s="1"/>
      <c r="N30" s="5">
        <f t="shared" ref="N30:N40" si="11">IF(H30=0,0,L30/H30)</f>
        <v>-0.12060836462344382</v>
      </c>
      <c r="O30" s="13"/>
      <c r="P30" s="1">
        <f>SUM(OSRRefP22_1x_0)</f>
        <v>109586.15</v>
      </c>
      <c r="Q30" s="1"/>
      <c r="R30" s="5">
        <f t="shared" ref="R30:R40" si="12">IF(P$12=0,0,P30/P$12)</f>
        <v>0</v>
      </c>
      <c r="S30" s="1"/>
      <c r="T30" s="1">
        <f>SUM(OSRRefT22_1x_0)</f>
        <v>127177.97092307679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-17591.820923076797</v>
      </c>
      <c r="Y30" s="1"/>
      <c r="Z30" s="5">
        <f t="shared" ref="Z30:Z40" si="15">IF(T30=0,0,X30/T30)</f>
        <v>-0.138324434612321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15005.529999999999</v>
      </c>
      <c r="E32" s="2"/>
      <c r="F32" s="7">
        <f t="shared" si="8"/>
        <v>0</v>
      </c>
      <c r="G32" s="2"/>
      <c r="H32" s="6">
        <v>23373.0769230769</v>
      </c>
      <c r="I32" s="2"/>
      <c r="J32" s="7">
        <f t="shared" si="9"/>
        <v>0</v>
      </c>
      <c r="K32" s="2"/>
      <c r="L32" s="6">
        <f t="shared" si="10"/>
        <v>-8367.5469230769013</v>
      </c>
      <c r="M32" s="2"/>
      <c r="N32" s="7">
        <f t="shared" si="11"/>
        <v>-0.35799937469145904</v>
      </c>
      <c r="O32" s="11"/>
      <c r="P32" s="6">
        <v>52106.729999999996</v>
      </c>
      <c r="Q32" s="2"/>
      <c r="R32" s="7">
        <f t="shared" si="12"/>
        <v>0</v>
      </c>
      <c r="S32" s="2"/>
      <c r="T32" s="6">
        <v>84143.076923076791</v>
      </c>
      <c r="U32" s="2"/>
      <c r="V32" s="7">
        <f t="shared" si="13"/>
        <v>0</v>
      </c>
      <c r="W32" s="2"/>
      <c r="X32" s="6">
        <f t="shared" si="14"/>
        <v>-32036.346923076795</v>
      </c>
      <c r="Y32" s="2"/>
      <c r="Z32" s="7">
        <f t="shared" si="15"/>
        <v>-0.38073657506444974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11011.27</v>
      </c>
      <c r="E34" s="2"/>
      <c r="F34" s="7">
        <f t="shared" si="8"/>
        <v>0</v>
      </c>
      <c r="G34" s="2"/>
      <c r="H34" s="6">
        <v>10055.683999999999</v>
      </c>
      <c r="I34" s="2"/>
      <c r="J34" s="7">
        <f t="shared" si="9"/>
        <v>0</v>
      </c>
      <c r="K34" s="2"/>
      <c r="L34" s="6">
        <f t="shared" si="10"/>
        <v>955.58600000000115</v>
      </c>
      <c r="M34" s="2"/>
      <c r="N34" s="7">
        <f t="shared" si="11"/>
        <v>9.5029438077012085E-2</v>
      </c>
      <c r="O34" s="11"/>
      <c r="P34" s="6">
        <v>32325.41</v>
      </c>
      <c r="Q34" s="2"/>
      <c r="R34" s="7">
        <f t="shared" si="12"/>
        <v>0</v>
      </c>
      <c r="S34" s="2"/>
      <c r="T34" s="6">
        <v>35194.894</v>
      </c>
      <c r="U34" s="2"/>
      <c r="V34" s="7">
        <f t="shared" si="13"/>
        <v>0</v>
      </c>
      <c r="W34" s="2"/>
      <c r="X34" s="6">
        <f t="shared" si="14"/>
        <v>-2869.4840000000004</v>
      </c>
      <c r="Y34" s="2"/>
      <c r="Z34" s="7">
        <f t="shared" si="15"/>
        <v>-8.1531258483119748E-2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3891.25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3891.25</v>
      </c>
      <c r="M35" s="2"/>
      <c r="N35" s="7">
        <f t="shared" si="11"/>
        <v>0</v>
      </c>
      <c r="O35" s="11"/>
      <c r="P35" s="6">
        <v>10502.5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10502.5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1458.76</v>
      </c>
      <c r="E37" s="2"/>
      <c r="F37" s="7">
        <f t="shared" si="8"/>
        <v>0</v>
      </c>
      <c r="G37" s="2"/>
      <c r="H37" s="6">
        <v>2240</v>
      </c>
      <c r="I37" s="2"/>
      <c r="J37" s="7">
        <f t="shared" si="9"/>
        <v>0</v>
      </c>
      <c r="K37" s="2"/>
      <c r="L37" s="6">
        <f t="shared" si="10"/>
        <v>-781.24</v>
      </c>
      <c r="M37" s="2"/>
      <c r="N37" s="7">
        <f t="shared" si="11"/>
        <v>-0.34876785714285713</v>
      </c>
      <c r="O37" s="11"/>
      <c r="P37" s="6">
        <v>12131.51</v>
      </c>
      <c r="Q37" s="2"/>
      <c r="R37" s="7">
        <f t="shared" si="12"/>
        <v>0</v>
      </c>
      <c r="S37" s="2"/>
      <c r="T37" s="6">
        <v>3920</v>
      </c>
      <c r="U37" s="2"/>
      <c r="V37" s="7">
        <f t="shared" si="13"/>
        <v>0</v>
      </c>
      <c r="W37" s="2"/>
      <c r="X37" s="6">
        <f t="shared" si="14"/>
        <v>8211.51</v>
      </c>
      <c r="Y37" s="2"/>
      <c r="Z37" s="7">
        <f t="shared" si="15"/>
        <v>2.0947729591836737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>
        <v>2520</v>
      </c>
      <c r="Q38" s="2"/>
      <c r="R38" s="7">
        <f t="shared" si="12"/>
        <v>0</v>
      </c>
      <c r="S38" s="2"/>
      <c r="T38" s="6">
        <v>3920</v>
      </c>
      <c r="U38" s="2"/>
      <c r="V38" s="7">
        <f t="shared" si="13"/>
        <v>0</v>
      </c>
      <c r="W38" s="2"/>
      <c r="X38" s="6">
        <f t="shared" si="14"/>
        <v>-1400</v>
      </c>
      <c r="Y38" s="2"/>
      <c r="Z38" s="7">
        <f t="shared" si="15"/>
        <v>-0.35714285714285715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5" si="16">IF(D$12=0,0,D41/D$12)</f>
        <v>0</v>
      </c>
      <c r="G41" s="1"/>
      <c r="H41" s="1">
        <f>SUM(OSRRefH22_2x_0)</f>
        <v>0</v>
      </c>
      <c r="I41" s="1"/>
      <c r="J41" s="5">
        <f t="shared" ref="J41:J55" si="17">IF(H$12=0,0,H41/H$12)</f>
        <v>0</v>
      </c>
      <c r="K41" s="1"/>
      <c r="L41" s="1">
        <f t="shared" ref="L41:L55" si="18">+D41-H41</f>
        <v>0</v>
      </c>
      <c r="M41" s="1"/>
      <c r="N41" s="5">
        <f t="shared" ref="N41:N55" si="19">IF(H41=0,0,L41/H41)</f>
        <v>0</v>
      </c>
      <c r="O41" s="13"/>
      <c r="P41" s="1">
        <f>SUM(OSRRefP22_2x_0)</f>
        <v>9.99</v>
      </c>
      <c r="Q41" s="1"/>
      <c r="R41" s="5">
        <f t="shared" ref="R41:R55" si="20">IF(P$12=0,0,P41/P$12)</f>
        <v>0</v>
      </c>
      <c r="S41" s="1"/>
      <c r="T41" s="1">
        <f>SUM(OSRRefT22_2x_0)</f>
        <v>0</v>
      </c>
      <c r="U41" s="1"/>
      <c r="V41" s="5">
        <f t="shared" ref="V41:V55" si="21">IF(T$12=0,0,T41/T$12)</f>
        <v>0</v>
      </c>
      <c r="W41" s="1"/>
      <c r="X41" s="1">
        <f t="shared" ref="X41:X55" si="22">+P41-T41</f>
        <v>9.99</v>
      </c>
      <c r="Y41" s="1"/>
      <c r="Z41" s="5">
        <f t="shared" ref="Z41:Z55" si="23">IF(T41=0,0,X41/T41)</f>
        <v>0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9.99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9.99</v>
      </c>
      <c r="Y42" s="2"/>
      <c r="Z42" s="7">
        <f t="shared" si="23"/>
        <v>0</v>
      </c>
    </row>
    <row r="43" spans="1:26" s="26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6175.97</v>
      </c>
      <c r="E43" s="1"/>
      <c r="F43" s="5">
        <f t="shared" si="16"/>
        <v>0</v>
      </c>
      <c r="G43" s="1"/>
      <c r="H43" s="1">
        <f>SUM(OSRRefH22_3x_0)</f>
        <v>6176</v>
      </c>
      <c r="I43" s="1"/>
      <c r="J43" s="5">
        <f t="shared" si="17"/>
        <v>0</v>
      </c>
      <c r="K43" s="1"/>
      <c r="L43" s="1">
        <f t="shared" si="18"/>
        <v>-2.9999999999745341E-2</v>
      </c>
      <c r="M43" s="1"/>
      <c r="N43" s="5">
        <f t="shared" si="19"/>
        <v>-4.8575129533266417E-6</v>
      </c>
      <c r="O43" s="13"/>
      <c r="P43" s="1">
        <f>SUM(OSRRefP22_3x_0)</f>
        <v>24703.88</v>
      </c>
      <c r="Q43" s="1"/>
      <c r="R43" s="5">
        <f t="shared" si="20"/>
        <v>0</v>
      </c>
      <c r="S43" s="1"/>
      <c r="T43" s="1">
        <f>SUM(OSRRefT22_3x_0)</f>
        <v>24704</v>
      </c>
      <c r="U43" s="1"/>
      <c r="V43" s="5">
        <f t="shared" si="21"/>
        <v>0</v>
      </c>
      <c r="W43" s="1"/>
      <c r="X43" s="1">
        <f t="shared" si="22"/>
        <v>-0.11999999999898137</v>
      </c>
      <c r="Y43" s="1"/>
      <c r="Z43" s="5">
        <f t="shared" si="23"/>
        <v>-4.8575129533266417E-6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6175.97</v>
      </c>
      <c r="E44" s="2"/>
      <c r="F44" s="7">
        <f t="shared" si="16"/>
        <v>0</v>
      </c>
      <c r="G44" s="2"/>
      <c r="H44" s="6">
        <v>6176</v>
      </c>
      <c r="I44" s="2"/>
      <c r="J44" s="7">
        <f t="shared" si="17"/>
        <v>0</v>
      </c>
      <c r="K44" s="2"/>
      <c r="L44" s="6">
        <f t="shared" si="18"/>
        <v>-2.9999999999745341E-2</v>
      </c>
      <c r="M44" s="2"/>
      <c r="N44" s="7">
        <f t="shared" si="19"/>
        <v>-4.8575129533266417E-6</v>
      </c>
      <c r="O44" s="11"/>
      <c r="P44" s="6">
        <v>24703.88</v>
      </c>
      <c r="Q44" s="2"/>
      <c r="R44" s="7">
        <f t="shared" si="20"/>
        <v>0</v>
      </c>
      <c r="S44" s="2"/>
      <c r="T44" s="6">
        <v>24704</v>
      </c>
      <c r="U44" s="2"/>
      <c r="V44" s="7">
        <f t="shared" si="21"/>
        <v>0</v>
      </c>
      <c r="W44" s="2"/>
      <c r="X44" s="6">
        <f t="shared" si="22"/>
        <v>-0.11999999999898137</v>
      </c>
      <c r="Y44" s="2"/>
      <c r="Z44" s="7">
        <f t="shared" si="23"/>
        <v>-4.8575129533266417E-6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100</v>
      </c>
      <c r="I45" s="1"/>
      <c r="J45" s="5">
        <f t="shared" si="17"/>
        <v>0</v>
      </c>
      <c r="K45" s="1"/>
      <c r="L45" s="1">
        <f t="shared" si="18"/>
        <v>-100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400</v>
      </c>
      <c r="U45" s="1"/>
      <c r="V45" s="5">
        <f t="shared" si="21"/>
        <v>0</v>
      </c>
      <c r="W45" s="1"/>
      <c r="X45" s="1">
        <f t="shared" si="22"/>
        <v>-400</v>
      </c>
      <c r="Y45" s="1"/>
      <c r="Z45" s="5">
        <f t="shared" si="23"/>
        <v>-1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16"/>
        <v>0</v>
      </c>
      <c r="G46" s="2"/>
      <c r="H46" s="6">
        <v>100</v>
      </c>
      <c r="I46" s="2"/>
      <c r="J46" s="7">
        <f t="shared" si="17"/>
        <v>0</v>
      </c>
      <c r="K46" s="2"/>
      <c r="L46" s="6">
        <f t="shared" si="18"/>
        <v>-100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400</v>
      </c>
      <c r="U46" s="2"/>
      <c r="V46" s="7">
        <f t="shared" si="21"/>
        <v>0</v>
      </c>
      <c r="W46" s="2"/>
      <c r="X46" s="6">
        <f t="shared" si="22"/>
        <v>-400</v>
      </c>
      <c r="Y46" s="2"/>
      <c r="Z46" s="7">
        <f t="shared" si="23"/>
        <v>-1</v>
      </c>
    </row>
    <row r="47" spans="1:26" s="26" customFormat="1" outlineLevel="1" collapsed="1" x14ac:dyDescent="0.25">
      <c r="A47" s="25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SUM(OSRRefD22_5x_0)</f>
        <v>56.34</v>
      </c>
      <c r="E47" s="1"/>
      <c r="F47" s="5">
        <f t="shared" si="16"/>
        <v>0</v>
      </c>
      <c r="G47" s="1"/>
      <c r="H47" s="1">
        <f>SUM(OSRRefH22_5x_0)</f>
        <v>55</v>
      </c>
      <c r="I47" s="1"/>
      <c r="J47" s="5">
        <f t="shared" si="17"/>
        <v>0</v>
      </c>
      <c r="K47" s="1"/>
      <c r="L47" s="1">
        <f t="shared" si="18"/>
        <v>1.3400000000000034</v>
      </c>
      <c r="M47" s="1"/>
      <c r="N47" s="5">
        <f t="shared" si="19"/>
        <v>2.4363636363636424E-2</v>
      </c>
      <c r="O47" s="13"/>
      <c r="P47" s="1">
        <f>SUM(OSRRefP22_5x_0)</f>
        <v>225.36</v>
      </c>
      <c r="Q47" s="1"/>
      <c r="R47" s="5">
        <f t="shared" si="20"/>
        <v>0</v>
      </c>
      <c r="S47" s="1"/>
      <c r="T47" s="1">
        <f>SUM(OSRRefT22_5x_0)</f>
        <v>220</v>
      </c>
      <c r="U47" s="1"/>
      <c r="V47" s="5">
        <f t="shared" si="21"/>
        <v>0</v>
      </c>
      <c r="W47" s="1"/>
      <c r="X47" s="1">
        <f t="shared" si="22"/>
        <v>5.3600000000000136</v>
      </c>
      <c r="Y47" s="1"/>
      <c r="Z47" s="5">
        <f t="shared" si="23"/>
        <v>2.4363636363636424E-2</v>
      </c>
    </row>
    <row r="48" spans="1:26" s="24" customFormat="1" hidden="1" outlineLevel="2" x14ac:dyDescent="0.25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56.34</v>
      </c>
      <c r="E48" s="2"/>
      <c r="F48" s="7">
        <f t="shared" si="16"/>
        <v>0</v>
      </c>
      <c r="G48" s="2"/>
      <c r="H48" s="6">
        <v>55</v>
      </c>
      <c r="I48" s="2"/>
      <c r="J48" s="7">
        <f t="shared" si="17"/>
        <v>0</v>
      </c>
      <c r="K48" s="2"/>
      <c r="L48" s="6">
        <f t="shared" si="18"/>
        <v>1.3400000000000034</v>
      </c>
      <c r="M48" s="2"/>
      <c r="N48" s="7">
        <f t="shared" si="19"/>
        <v>2.4363636363636424E-2</v>
      </c>
      <c r="O48" s="11"/>
      <c r="P48" s="6">
        <v>225.36</v>
      </c>
      <c r="Q48" s="2"/>
      <c r="R48" s="7">
        <f t="shared" si="20"/>
        <v>0</v>
      </c>
      <c r="S48" s="2"/>
      <c r="T48" s="6">
        <v>220</v>
      </c>
      <c r="U48" s="2"/>
      <c r="V48" s="7">
        <f t="shared" si="21"/>
        <v>0</v>
      </c>
      <c r="W48" s="2"/>
      <c r="X48" s="6">
        <f t="shared" si="22"/>
        <v>5.3600000000000136</v>
      </c>
      <c r="Y48" s="2"/>
      <c r="Z48" s="7">
        <f t="shared" si="23"/>
        <v>2.4363636363636424E-2</v>
      </c>
    </row>
    <row r="49" spans="1:26" s="26" customFormat="1" outlineLevel="1" collapsed="1" x14ac:dyDescent="0.25">
      <c r="A49" s="25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500</v>
      </c>
      <c r="I49" s="1"/>
      <c r="J49" s="5">
        <f t="shared" si="17"/>
        <v>0</v>
      </c>
      <c r="K49" s="1"/>
      <c r="L49" s="1">
        <f t="shared" si="18"/>
        <v>-500</v>
      </c>
      <c r="M49" s="1"/>
      <c r="N49" s="5">
        <f t="shared" si="19"/>
        <v>-1</v>
      </c>
      <c r="O49" s="13"/>
      <c r="P49" s="1">
        <f>SUM(OSRRefP22_6x_0)</f>
        <v>0</v>
      </c>
      <c r="Q49" s="1"/>
      <c r="R49" s="5">
        <f t="shared" si="20"/>
        <v>0</v>
      </c>
      <c r="S49" s="1"/>
      <c r="T49" s="1">
        <f>SUM(OSRRefT22_6x_0)</f>
        <v>2000</v>
      </c>
      <c r="U49" s="1"/>
      <c r="V49" s="5">
        <f t="shared" si="21"/>
        <v>0</v>
      </c>
      <c r="W49" s="1"/>
      <c r="X49" s="1">
        <f t="shared" si="22"/>
        <v>-2000</v>
      </c>
      <c r="Y49" s="1"/>
      <c r="Z49" s="5">
        <f t="shared" si="23"/>
        <v>-1</v>
      </c>
    </row>
    <row r="50" spans="1:26" s="24" customFormat="1" hidden="1" outlineLevel="2" x14ac:dyDescent="0.25">
      <c r="A50" s="27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-500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2000</v>
      </c>
      <c r="U50" s="2"/>
      <c r="V50" s="7">
        <f t="shared" si="21"/>
        <v>0</v>
      </c>
      <c r="W50" s="2"/>
      <c r="X50" s="6">
        <f t="shared" si="22"/>
        <v>-2000</v>
      </c>
      <c r="Y50" s="2"/>
      <c r="Z50" s="7">
        <f t="shared" si="23"/>
        <v>-1</v>
      </c>
    </row>
    <row r="51" spans="1:26" s="26" customFormat="1" outlineLevel="1" collapsed="1" x14ac:dyDescent="0.25">
      <c r="A51" s="25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9475.9500000000007</v>
      </c>
      <c r="E51" s="1"/>
      <c r="F51" s="5">
        <f t="shared" si="16"/>
        <v>0</v>
      </c>
      <c r="G51" s="1"/>
      <c r="H51" s="1">
        <f>SUM(OSRRefH22_7x_0)</f>
        <v>12600</v>
      </c>
      <c r="I51" s="1"/>
      <c r="J51" s="5">
        <f t="shared" si="17"/>
        <v>0</v>
      </c>
      <c r="K51" s="1"/>
      <c r="L51" s="1">
        <f t="shared" si="18"/>
        <v>-3124.0499999999993</v>
      </c>
      <c r="M51" s="1"/>
      <c r="N51" s="5">
        <f t="shared" si="19"/>
        <v>-0.24794047619047613</v>
      </c>
      <c r="O51" s="13"/>
      <c r="P51" s="1">
        <f>SUM(OSRRefP22_7x_0)</f>
        <v>38164.310000000005</v>
      </c>
      <c r="Q51" s="1"/>
      <c r="R51" s="5">
        <f t="shared" si="20"/>
        <v>0</v>
      </c>
      <c r="S51" s="1"/>
      <c r="T51" s="1">
        <f>SUM(OSRRefT22_7x_0)</f>
        <v>40300</v>
      </c>
      <c r="U51" s="1"/>
      <c r="V51" s="5">
        <f t="shared" si="21"/>
        <v>0</v>
      </c>
      <c r="W51" s="1"/>
      <c r="X51" s="1">
        <f t="shared" si="22"/>
        <v>-2135.6899999999951</v>
      </c>
      <c r="Y51" s="1"/>
      <c r="Z51" s="5">
        <f t="shared" si="23"/>
        <v>-5.2994789081885735E-2</v>
      </c>
    </row>
    <row r="52" spans="1:26" s="24" customFormat="1" hidden="1" outlineLevel="2" x14ac:dyDescent="0.25">
      <c r="A52" s="27"/>
      <c r="B52" s="11" t="str">
        <f>CONCATENATE("          ", "6371", " - ", "COMPUTER SOFTWARE MAINTENANCE")</f>
        <v xml:space="preserve">          6371 - COMPUTER SOFTWARE MAINTENANCE</v>
      </c>
      <c r="C52" s="11"/>
      <c r="D52" s="6">
        <v>90.95</v>
      </c>
      <c r="E52" s="2"/>
      <c r="F52" s="7">
        <f t="shared" si="16"/>
        <v>0</v>
      </c>
      <c r="G52" s="2"/>
      <c r="H52" s="6">
        <v>500</v>
      </c>
      <c r="I52" s="2"/>
      <c r="J52" s="7">
        <f t="shared" si="17"/>
        <v>0</v>
      </c>
      <c r="K52" s="2"/>
      <c r="L52" s="6">
        <f t="shared" si="18"/>
        <v>-409.05</v>
      </c>
      <c r="M52" s="2"/>
      <c r="N52" s="7">
        <f t="shared" si="19"/>
        <v>-0.81810000000000005</v>
      </c>
      <c r="O52" s="11"/>
      <c r="P52" s="6">
        <v>363.8</v>
      </c>
      <c r="Q52" s="2"/>
      <c r="R52" s="7">
        <f t="shared" si="20"/>
        <v>0</v>
      </c>
      <c r="S52" s="2"/>
      <c r="T52" s="6">
        <v>2500</v>
      </c>
      <c r="U52" s="2"/>
      <c r="V52" s="7">
        <f t="shared" si="21"/>
        <v>0</v>
      </c>
      <c r="W52" s="2"/>
      <c r="X52" s="6">
        <f t="shared" si="22"/>
        <v>-2136.1999999999998</v>
      </c>
      <c r="Y52" s="2"/>
      <c r="Z52" s="7">
        <f t="shared" si="23"/>
        <v>-0.85447999999999991</v>
      </c>
    </row>
    <row r="53" spans="1:26" s="24" customFormat="1" hidden="1" outlineLevel="2" x14ac:dyDescent="0.25">
      <c r="A53" s="27"/>
      <c r="B53" s="11" t="str">
        <f>CONCATENATE("          ", "6372", " - ", "COMPUTER HARDWARE MAINTENANCE")</f>
        <v xml:space="preserve">          6372 - COMPUTER HARDWARE MAINTENANCE</v>
      </c>
      <c r="C53" s="11"/>
      <c r="D53" s="6"/>
      <c r="E53" s="2"/>
      <c r="F53" s="7">
        <f t="shared" si="16"/>
        <v>0</v>
      </c>
      <c r="G53" s="2"/>
      <c r="H53" s="6">
        <v>500</v>
      </c>
      <c r="I53" s="2"/>
      <c r="J53" s="7">
        <f t="shared" si="17"/>
        <v>0</v>
      </c>
      <c r="K53" s="2"/>
      <c r="L53" s="6">
        <f t="shared" si="18"/>
        <v>-500</v>
      </c>
      <c r="M53" s="2"/>
      <c r="N53" s="7">
        <f t="shared" si="19"/>
        <v>-1</v>
      </c>
      <c r="O53" s="11"/>
      <c r="P53" s="6"/>
      <c r="Q53" s="2"/>
      <c r="R53" s="7">
        <f t="shared" si="20"/>
        <v>0</v>
      </c>
      <c r="S53" s="2"/>
      <c r="T53" s="6">
        <v>3000</v>
      </c>
      <c r="U53" s="2"/>
      <c r="V53" s="7">
        <f t="shared" si="21"/>
        <v>0</v>
      </c>
      <c r="W53" s="2"/>
      <c r="X53" s="6">
        <f t="shared" si="22"/>
        <v>-3000</v>
      </c>
      <c r="Y53" s="2"/>
      <c r="Z53" s="7">
        <f t="shared" si="23"/>
        <v>-1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6">
        <v>9407</v>
      </c>
      <c r="E54" s="2"/>
      <c r="F54" s="7">
        <f t="shared" si="16"/>
        <v>0</v>
      </c>
      <c r="G54" s="2"/>
      <c r="H54" s="6">
        <v>11600</v>
      </c>
      <c r="I54" s="2"/>
      <c r="J54" s="7">
        <f t="shared" si="17"/>
        <v>0</v>
      </c>
      <c r="K54" s="2"/>
      <c r="L54" s="6">
        <f t="shared" si="18"/>
        <v>-2193</v>
      </c>
      <c r="M54" s="2"/>
      <c r="N54" s="7">
        <f t="shared" si="19"/>
        <v>-0.18905172413793103</v>
      </c>
      <c r="O54" s="11"/>
      <c r="P54" s="6">
        <v>37737.15</v>
      </c>
      <c r="Q54" s="2"/>
      <c r="R54" s="7">
        <f t="shared" si="20"/>
        <v>0</v>
      </c>
      <c r="S54" s="2"/>
      <c r="T54" s="6">
        <v>34800</v>
      </c>
      <c r="U54" s="2"/>
      <c r="V54" s="7">
        <f t="shared" si="21"/>
        <v>0</v>
      </c>
      <c r="W54" s="2"/>
      <c r="X54" s="6">
        <f t="shared" si="22"/>
        <v>2937.1500000000015</v>
      </c>
      <c r="Y54" s="2"/>
      <c r="Z54" s="7">
        <f t="shared" si="23"/>
        <v>8.4400862068965563E-2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6">
        <v>-22</v>
      </c>
      <c r="E55" s="2"/>
      <c r="F55" s="7">
        <f t="shared" si="16"/>
        <v>0</v>
      </c>
      <c r="G55" s="2"/>
      <c r="H55" s="6"/>
      <c r="I55" s="2"/>
      <c r="J55" s="7">
        <f t="shared" si="17"/>
        <v>0</v>
      </c>
      <c r="K55" s="2"/>
      <c r="L55" s="6">
        <f t="shared" si="18"/>
        <v>-22</v>
      </c>
      <c r="M55" s="2"/>
      <c r="N55" s="7">
        <f t="shared" si="19"/>
        <v>0</v>
      </c>
      <c r="O55" s="11"/>
      <c r="P55" s="6">
        <v>63.36</v>
      </c>
      <c r="Q55" s="2"/>
      <c r="R55" s="7">
        <f t="shared" si="20"/>
        <v>0</v>
      </c>
      <c r="S55" s="2"/>
      <c r="T55" s="6"/>
      <c r="U55" s="2"/>
      <c r="V55" s="7">
        <f t="shared" si="21"/>
        <v>0</v>
      </c>
      <c r="W55" s="2"/>
      <c r="X55" s="6">
        <f t="shared" si="22"/>
        <v>63.36</v>
      </c>
      <c r="Y55" s="2"/>
      <c r="Z55" s="7">
        <f t="shared" si="23"/>
        <v>0</v>
      </c>
    </row>
    <row r="56" spans="1:26" s="26" customFormat="1" outlineLevel="1" collapsed="1" x14ac:dyDescent="0.25">
      <c r="A56" s="25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62" si="24">IF(D$12=0,0,D56/D$12)</f>
        <v>0</v>
      </c>
      <c r="G56" s="1"/>
      <c r="H56" s="1">
        <f>SUM(OSRRefH22_8x_0)</f>
        <v>100</v>
      </c>
      <c r="I56" s="1"/>
      <c r="J56" s="5">
        <f t="shared" ref="J56:J62" si="25">IF(H$12=0,0,H56/H$12)</f>
        <v>0</v>
      </c>
      <c r="K56" s="1"/>
      <c r="L56" s="1">
        <f t="shared" ref="L56:L62" si="26">+D56-H56</f>
        <v>-100</v>
      </c>
      <c r="M56" s="1"/>
      <c r="N56" s="5">
        <f t="shared" ref="N56:N62" si="27">IF(H56=0,0,L56/H56)</f>
        <v>-1</v>
      </c>
      <c r="O56" s="13"/>
      <c r="P56" s="1">
        <f>SUM(OSRRefP22_8x_0)</f>
        <v>0</v>
      </c>
      <c r="Q56" s="1"/>
      <c r="R56" s="5">
        <f t="shared" ref="R56:R62" si="28">IF(P$12=0,0,P56/P$12)</f>
        <v>0</v>
      </c>
      <c r="S56" s="1"/>
      <c r="T56" s="1">
        <f>SUM(OSRRefT22_8x_0)</f>
        <v>400</v>
      </c>
      <c r="U56" s="1"/>
      <c r="V56" s="5">
        <f t="shared" ref="V56:V62" si="29">IF(T$12=0,0,T56/T$12)</f>
        <v>0</v>
      </c>
      <c r="W56" s="1"/>
      <c r="X56" s="1">
        <f t="shared" ref="X56:X62" si="30">+P56-T56</f>
        <v>-400</v>
      </c>
      <c r="Y56" s="1"/>
      <c r="Z56" s="5">
        <f t="shared" ref="Z56:Z62" si="31">IF(T56=0,0,X56/T56)</f>
        <v>-1</v>
      </c>
    </row>
    <row r="57" spans="1:26" s="24" customFormat="1" hidden="1" outlineLevel="2" x14ac:dyDescent="0.25">
      <c r="A57" s="27"/>
      <c r="B57" s="11" t="str">
        <f>CONCATENATE("          ", "6275", " - ", "SUBSCRIPTIONS")</f>
        <v xml:space="preserve">          6275 - SUBSCRIPTIONS</v>
      </c>
      <c r="C57" s="11"/>
      <c r="D57" s="6"/>
      <c r="E57" s="2"/>
      <c r="F57" s="7">
        <f t="shared" si="24"/>
        <v>0</v>
      </c>
      <c r="G57" s="2"/>
      <c r="H57" s="6">
        <v>100</v>
      </c>
      <c r="I57" s="2"/>
      <c r="J57" s="7">
        <f t="shared" si="25"/>
        <v>0</v>
      </c>
      <c r="K57" s="2"/>
      <c r="L57" s="6">
        <f t="shared" si="26"/>
        <v>-100</v>
      </c>
      <c r="M57" s="2"/>
      <c r="N57" s="7">
        <f t="shared" si="27"/>
        <v>-1</v>
      </c>
      <c r="O57" s="11"/>
      <c r="P57" s="6"/>
      <c r="Q57" s="2"/>
      <c r="R57" s="7">
        <f t="shared" si="28"/>
        <v>0</v>
      </c>
      <c r="S57" s="2"/>
      <c r="T57" s="6">
        <v>400</v>
      </c>
      <c r="U57" s="2"/>
      <c r="V57" s="7">
        <f t="shared" si="29"/>
        <v>0</v>
      </c>
      <c r="W57" s="2"/>
      <c r="X57" s="6">
        <f t="shared" si="30"/>
        <v>-400</v>
      </c>
      <c r="Y57" s="2"/>
      <c r="Z57" s="7">
        <f t="shared" si="31"/>
        <v>-1</v>
      </c>
    </row>
    <row r="58" spans="1:26" s="26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4812.3</v>
      </c>
      <c r="E58" s="1"/>
      <c r="F58" s="5">
        <f t="shared" si="24"/>
        <v>0</v>
      </c>
      <c r="G58" s="1"/>
      <c r="H58" s="1">
        <f>SUM(OSRRefH22_9x_0)</f>
        <v>400</v>
      </c>
      <c r="I58" s="1"/>
      <c r="J58" s="5">
        <f t="shared" si="25"/>
        <v>0</v>
      </c>
      <c r="K58" s="1"/>
      <c r="L58" s="1">
        <f t="shared" si="26"/>
        <v>4412.3</v>
      </c>
      <c r="M58" s="1"/>
      <c r="N58" s="5">
        <f t="shared" si="27"/>
        <v>11.030750000000001</v>
      </c>
      <c r="O58" s="13"/>
      <c r="P58" s="1">
        <f>SUM(OSRRefP22_9x_0)</f>
        <v>18354.939999999999</v>
      </c>
      <c r="Q58" s="1"/>
      <c r="R58" s="5">
        <f t="shared" si="28"/>
        <v>0</v>
      </c>
      <c r="S58" s="1"/>
      <c r="T58" s="1">
        <f>SUM(OSRRefT22_9x_0)</f>
        <v>1500</v>
      </c>
      <c r="U58" s="1"/>
      <c r="V58" s="5">
        <f t="shared" si="29"/>
        <v>0</v>
      </c>
      <c r="W58" s="1"/>
      <c r="X58" s="1">
        <f t="shared" si="30"/>
        <v>16854.939999999999</v>
      </c>
      <c r="Y58" s="1"/>
      <c r="Z58" s="5">
        <f t="shared" si="31"/>
        <v>11.236626666666666</v>
      </c>
    </row>
    <row r="59" spans="1:26" s="24" customFormat="1" hidden="1" outlineLevel="2" x14ac:dyDescent="0.25">
      <c r="A59" s="27"/>
      <c r="B59" s="11" t="str">
        <f>CONCATENATE("          ", "6241", " - ", "OFFICE EXPENSE")</f>
        <v xml:space="preserve">          6241 - OFFICE EXPENSE</v>
      </c>
      <c r="C59" s="11"/>
      <c r="D59" s="6">
        <v>4812.3</v>
      </c>
      <c r="E59" s="2"/>
      <c r="F59" s="7">
        <f t="shared" si="24"/>
        <v>0</v>
      </c>
      <c r="G59" s="2"/>
      <c r="H59" s="6">
        <v>400</v>
      </c>
      <c r="I59" s="2"/>
      <c r="J59" s="7">
        <f t="shared" si="25"/>
        <v>0</v>
      </c>
      <c r="K59" s="2"/>
      <c r="L59" s="6">
        <f t="shared" si="26"/>
        <v>4412.3</v>
      </c>
      <c r="M59" s="2"/>
      <c r="N59" s="7">
        <f t="shared" si="27"/>
        <v>11.030750000000001</v>
      </c>
      <c r="O59" s="11"/>
      <c r="P59" s="6">
        <v>18354.939999999999</v>
      </c>
      <c r="Q59" s="2"/>
      <c r="R59" s="7">
        <f t="shared" si="28"/>
        <v>0</v>
      </c>
      <c r="S59" s="2"/>
      <c r="T59" s="6">
        <v>1500</v>
      </c>
      <c r="U59" s="2"/>
      <c r="V59" s="7">
        <f t="shared" si="29"/>
        <v>0</v>
      </c>
      <c r="W59" s="2"/>
      <c r="X59" s="6">
        <f t="shared" si="30"/>
        <v>16854.939999999999</v>
      </c>
      <c r="Y59" s="2"/>
      <c r="Z59" s="7">
        <f t="shared" si="31"/>
        <v>11.236626666666666</v>
      </c>
    </row>
    <row r="60" spans="1:26" s="26" customFormat="1" outlineLevel="1" collapsed="1" x14ac:dyDescent="0.25">
      <c r="A60" s="25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SUM(OSRRefD22_10x_0)</f>
        <v>1127.1500000000001</v>
      </c>
      <c r="E60" s="1"/>
      <c r="F60" s="5">
        <f t="shared" si="24"/>
        <v>0</v>
      </c>
      <c r="G60" s="1"/>
      <c r="H60" s="1">
        <f>SUM(OSRRefH22_10x_0)</f>
        <v>550</v>
      </c>
      <c r="I60" s="1"/>
      <c r="J60" s="5">
        <f t="shared" si="25"/>
        <v>0</v>
      </c>
      <c r="K60" s="1"/>
      <c r="L60" s="1">
        <f t="shared" si="26"/>
        <v>577.15000000000009</v>
      </c>
      <c r="M60" s="1"/>
      <c r="N60" s="5">
        <f t="shared" si="27"/>
        <v>1.0493636363636365</v>
      </c>
      <c r="O60" s="13"/>
      <c r="P60" s="1">
        <f>SUM(OSRRefP22_10x_0)</f>
        <v>6960.69</v>
      </c>
      <c r="Q60" s="1"/>
      <c r="R60" s="5">
        <f t="shared" si="28"/>
        <v>0</v>
      </c>
      <c r="S60" s="1"/>
      <c r="T60" s="1">
        <f>SUM(OSRRefT22_10x_0)</f>
        <v>1900</v>
      </c>
      <c r="U60" s="1"/>
      <c r="V60" s="5">
        <f t="shared" si="29"/>
        <v>0</v>
      </c>
      <c r="W60" s="1"/>
      <c r="X60" s="1">
        <f t="shared" si="30"/>
        <v>5060.6899999999996</v>
      </c>
      <c r="Y60" s="1"/>
      <c r="Z60" s="5">
        <f t="shared" si="31"/>
        <v>2.6635210526315789</v>
      </c>
    </row>
    <row r="61" spans="1:26" s="24" customFormat="1" hidden="1" outlineLevel="2" x14ac:dyDescent="0.25">
      <c r="A61" s="27"/>
      <c r="B61" s="11" t="str">
        <f>CONCATENATE("          ", "6303", " - ", "DATA PHONE LINES")</f>
        <v xml:space="preserve">          6303 - DATA PHONE LINES</v>
      </c>
      <c r="C61" s="11"/>
      <c r="D61" s="6">
        <v>232.79</v>
      </c>
      <c r="E61" s="2"/>
      <c r="F61" s="7">
        <f t="shared" si="24"/>
        <v>0</v>
      </c>
      <c r="G61" s="2"/>
      <c r="H61" s="6">
        <v>300</v>
      </c>
      <c r="I61" s="2"/>
      <c r="J61" s="7">
        <f t="shared" si="25"/>
        <v>0</v>
      </c>
      <c r="K61" s="2"/>
      <c r="L61" s="6">
        <f t="shared" si="26"/>
        <v>-67.210000000000008</v>
      </c>
      <c r="M61" s="2"/>
      <c r="N61" s="7">
        <f t="shared" si="27"/>
        <v>-0.22403333333333336</v>
      </c>
      <c r="O61" s="11"/>
      <c r="P61" s="6">
        <v>740.41</v>
      </c>
      <c r="Q61" s="2"/>
      <c r="R61" s="7">
        <f t="shared" si="28"/>
        <v>0</v>
      </c>
      <c r="S61" s="2"/>
      <c r="T61" s="6">
        <v>900</v>
      </c>
      <c r="U61" s="2"/>
      <c r="V61" s="7">
        <f t="shared" si="29"/>
        <v>0</v>
      </c>
      <c r="W61" s="2"/>
      <c r="X61" s="6">
        <f t="shared" si="30"/>
        <v>-159.59000000000003</v>
      </c>
      <c r="Y61" s="2"/>
      <c r="Z61" s="7">
        <f t="shared" si="31"/>
        <v>-0.17732222222222227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6">
        <v>894.36</v>
      </c>
      <c r="E62" s="2"/>
      <c r="F62" s="7">
        <f t="shared" si="24"/>
        <v>0</v>
      </c>
      <c r="G62" s="2"/>
      <c r="H62" s="6">
        <v>250</v>
      </c>
      <c r="I62" s="2"/>
      <c r="J62" s="7">
        <f t="shared" si="25"/>
        <v>0</v>
      </c>
      <c r="K62" s="2"/>
      <c r="L62" s="6">
        <f t="shared" si="26"/>
        <v>644.36</v>
      </c>
      <c r="M62" s="2"/>
      <c r="N62" s="7">
        <f t="shared" si="27"/>
        <v>2.5774400000000002</v>
      </c>
      <c r="O62" s="11"/>
      <c r="P62" s="6">
        <v>6220.28</v>
      </c>
      <c r="Q62" s="2"/>
      <c r="R62" s="7">
        <f t="shared" si="28"/>
        <v>0</v>
      </c>
      <c r="S62" s="2"/>
      <c r="T62" s="6">
        <v>1000</v>
      </c>
      <c r="U62" s="2"/>
      <c r="V62" s="7">
        <f t="shared" si="29"/>
        <v>0</v>
      </c>
      <c r="W62" s="2"/>
      <c r="X62" s="6">
        <f t="shared" si="30"/>
        <v>5220.28</v>
      </c>
      <c r="Y62" s="2"/>
      <c r="Z62" s="7">
        <f t="shared" si="31"/>
        <v>5.2202799999999998</v>
      </c>
    </row>
    <row r="63" spans="1:26" s="26" customFormat="1" outlineLevel="1" collapsed="1" x14ac:dyDescent="0.25">
      <c r="A63" s="25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SUM(OSRRefD22_11x_0)</f>
        <v>152.22</v>
      </c>
      <c r="E63" s="1"/>
      <c r="F63" s="5">
        <f t="shared" ref="F63:F67" si="32">IF(D$12=0,0,D63/D$12)</f>
        <v>0</v>
      </c>
      <c r="G63" s="1"/>
      <c r="H63" s="1">
        <f>SUM(OSRRefH22_11x_0)</f>
        <v>1000</v>
      </c>
      <c r="I63" s="1"/>
      <c r="J63" s="5">
        <f t="shared" ref="J63:J67" si="33">IF(H$12=0,0,H63/H$12)</f>
        <v>0</v>
      </c>
      <c r="K63" s="1"/>
      <c r="L63" s="1">
        <f t="shared" ref="L63:L67" si="34">+D63-H63</f>
        <v>-847.78</v>
      </c>
      <c r="M63" s="1"/>
      <c r="N63" s="5">
        <f t="shared" ref="N63:N67" si="35">IF(H63=0,0,L63/H63)</f>
        <v>-0.84777999999999998</v>
      </c>
      <c r="O63" s="13"/>
      <c r="P63" s="1">
        <f>SUM(OSRRefP22_11x_0)</f>
        <v>299.22000000000003</v>
      </c>
      <c r="Q63" s="1"/>
      <c r="R63" s="5">
        <f t="shared" ref="R63:R67" si="36">IF(P$12=0,0,P63/P$12)</f>
        <v>0</v>
      </c>
      <c r="S63" s="1"/>
      <c r="T63" s="1">
        <f>SUM(OSRRefT22_11x_0)</f>
        <v>4000</v>
      </c>
      <c r="U63" s="1"/>
      <c r="V63" s="5">
        <f t="shared" ref="V63:V67" si="37">IF(T$12=0,0,T63/T$12)</f>
        <v>0</v>
      </c>
      <c r="W63" s="1"/>
      <c r="X63" s="1">
        <f t="shared" ref="X63:X67" si="38">+P63-T63</f>
        <v>-3700.7799999999997</v>
      </c>
      <c r="Y63" s="1"/>
      <c r="Z63" s="5">
        <f t="shared" ref="Z63:Z67" si="39">IF(T63=0,0,X63/T63)</f>
        <v>-0.92519499999999999</v>
      </c>
    </row>
    <row r="64" spans="1:26" s="24" customFormat="1" hidden="1" outlineLevel="2" x14ac:dyDescent="0.25">
      <c r="A64" s="27"/>
      <c r="B64" s="11" t="str">
        <f>CONCATENATE("          ", "6376", " - ", "TRAINING")</f>
        <v xml:space="preserve">          6376 - TRAINING</v>
      </c>
      <c r="C64" s="11"/>
      <c r="D64" s="6">
        <v>152.22</v>
      </c>
      <c r="E64" s="2"/>
      <c r="F64" s="7">
        <f t="shared" si="32"/>
        <v>0</v>
      </c>
      <c r="G64" s="2"/>
      <c r="H64" s="6">
        <v>1000</v>
      </c>
      <c r="I64" s="2"/>
      <c r="J64" s="7">
        <f t="shared" si="33"/>
        <v>0</v>
      </c>
      <c r="K64" s="2"/>
      <c r="L64" s="6">
        <f t="shared" si="34"/>
        <v>-847.78</v>
      </c>
      <c r="M64" s="2"/>
      <c r="N64" s="7">
        <f t="shared" si="35"/>
        <v>-0.84777999999999998</v>
      </c>
      <c r="O64" s="11"/>
      <c r="P64" s="6">
        <v>299.22000000000003</v>
      </c>
      <c r="Q64" s="2"/>
      <c r="R64" s="7">
        <f t="shared" si="36"/>
        <v>0</v>
      </c>
      <c r="S64" s="2"/>
      <c r="T64" s="6">
        <v>4000</v>
      </c>
      <c r="U64" s="2"/>
      <c r="V64" s="7">
        <f t="shared" si="37"/>
        <v>0</v>
      </c>
      <c r="W64" s="2"/>
      <c r="X64" s="6">
        <f t="shared" si="38"/>
        <v>-3700.7799999999997</v>
      </c>
      <c r="Y64" s="2"/>
      <c r="Z64" s="7">
        <f t="shared" si="39"/>
        <v>-0.92519499999999999</v>
      </c>
    </row>
    <row r="65" spans="1:26" s="26" customFormat="1" outlineLevel="1" collapsed="1" x14ac:dyDescent="0.25">
      <c r="A65" s="25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SUM(OSRRefD22_12x_0)</f>
        <v>0</v>
      </c>
      <c r="E65" s="1"/>
      <c r="F65" s="5">
        <f t="shared" si="32"/>
        <v>0</v>
      </c>
      <c r="G65" s="1"/>
      <c r="H65" s="1">
        <f>SUM(OSRRefH22_12x_0)</f>
        <v>1000</v>
      </c>
      <c r="I65" s="1"/>
      <c r="J65" s="5">
        <f t="shared" si="33"/>
        <v>0</v>
      </c>
      <c r="K65" s="1"/>
      <c r="L65" s="1">
        <f t="shared" si="34"/>
        <v>-1000</v>
      </c>
      <c r="M65" s="1"/>
      <c r="N65" s="5">
        <f t="shared" si="35"/>
        <v>-1</v>
      </c>
      <c r="O65" s="13"/>
      <c r="P65" s="1">
        <f>SUM(OSRRefP22_12x_0)</f>
        <v>618.9</v>
      </c>
      <c r="Q65" s="1"/>
      <c r="R65" s="5">
        <f t="shared" si="36"/>
        <v>0</v>
      </c>
      <c r="S65" s="1"/>
      <c r="T65" s="1">
        <f>SUM(OSRRefT22_12x_0)</f>
        <v>5000</v>
      </c>
      <c r="U65" s="1"/>
      <c r="V65" s="5">
        <f t="shared" si="37"/>
        <v>0</v>
      </c>
      <c r="W65" s="1"/>
      <c r="X65" s="1">
        <f t="shared" si="38"/>
        <v>-4381.1000000000004</v>
      </c>
      <c r="Y65" s="1"/>
      <c r="Z65" s="5">
        <f t="shared" si="39"/>
        <v>-0.87622000000000011</v>
      </c>
    </row>
    <row r="66" spans="1:26" s="24" customFormat="1" hidden="1" outlineLevel="2" x14ac:dyDescent="0.25">
      <c r="A66" s="27"/>
      <c r="B66" s="11" t="str">
        <f>CONCATENATE("          ", "6292", " - ", "TRAVEL/CONFERENCE")</f>
        <v xml:space="preserve">          6292 - TRAVEL/CONFERENCE</v>
      </c>
      <c r="C66" s="11"/>
      <c r="D66" s="6"/>
      <c r="E66" s="2"/>
      <c r="F66" s="7">
        <f t="shared" si="32"/>
        <v>0</v>
      </c>
      <c r="G66" s="2"/>
      <c r="H66" s="6">
        <v>1000</v>
      </c>
      <c r="I66" s="2"/>
      <c r="J66" s="7">
        <f t="shared" si="33"/>
        <v>0</v>
      </c>
      <c r="K66" s="2"/>
      <c r="L66" s="6">
        <f t="shared" si="34"/>
        <v>-1000</v>
      </c>
      <c r="M66" s="2"/>
      <c r="N66" s="7">
        <f t="shared" si="35"/>
        <v>-1</v>
      </c>
      <c r="O66" s="11"/>
      <c r="P66" s="6">
        <v>595</v>
      </c>
      <c r="Q66" s="2"/>
      <c r="R66" s="7">
        <f t="shared" si="36"/>
        <v>0</v>
      </c>
      <c r="S66" s="2"/>
      <c r="T66" s="6">
        <v>5000</v>
      </c>
      <c r="U66" s="2"/>
      <c r="V66" s="7">
        <f t="shared" si="37"/>
        <v>0</v>
      </c>
      <c r="W66" s="2"/>
      <c r="X66" s="6">
        <f t="shared" si="38"/>
        <v>-4405</v>
      </c>
      <c r="Y66" s="2"/>
      <c r="Z66" s="7">
        <f t="shared" si="39"/>
        <v>-0.88100000000000001</v>
      </c>
    </row>
    <row r="67" spans="1:26" s="24" customFormat="1" hidden="1" outlineLevel="2" x14ac:dyDescent="0.25">
      <c r="A67" s="27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23.9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23.9</v>
      </c>
      <c r="Y67" s="2"/>
      <c r="Z67" s="7">
        <f t="shared" si="39"/>
        <v>0</v>
      </c>
    </row>
    <row r="68" spans="1:26" s="61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2">
        <f>+D16-D18+D69</f>
        <v>-70163.089999999982</v>
      </c>
      <c r="E71" s="14"/>
      <c r="F71" s="20">
        <f>IF(D$12=0,0,D71/D$12)</f>
        <v>0</v>
      </c>
      <c r="G71" s="14"/>
      <c r="H71" s="22">
        <f>+H16-H18+H69</f>
        <v>-74658.390358153847</v>
      </c>
      <c r="I71" s="14"/>
      <c r="J71" s="20">
        <f>IF(H$12=0,0,H71/H$12)</f>
        <v>0</v>
      </c>
      <c r="K71" s="16"/>
      <c r="L71" s="22">
        <f>+D71-H71</f>
        <v>4495.3003581538651</v>
      </c>
      <c r="M71" s="16"/>
      <c r="N71" s="20">
        <f>IF(H71=0,0,L71/H71)</f>
        <v>-6.0211589569355198E-2</v>
      </c>
      <c r="O71" s="29"/>
      <c r="P71" s="22">
        <f>+P16-P18+P69</f>
        <v>-252829.10999999996</v>
      </c>
      <c r="Q71" s="14"/>
      <c r="R71" s="20">
        <f>IF(P$12=0,0,P71/P$12)</f>
        <v>0</v>
      </c>
      <c r="S71" s="14"/>
      <c r="T71" s="22">
        <f>+T16-T18+T69</f>
        <v>-268018.31358046143</v>
      </c>
      <c r="U71" s="14"/>
      <c r="V71" s="20">
        <f>IF(T$12=0,0,T71/T$12)</f>
        <v>0</v>
      </c>
      <c r="W71" s="16"/>
      <c r="X71" s="22">
        <f>+P71-T71</f>
        <v>15189.203580461472</v>
      </c>
      <c r="Y71" s="16"/>
      <c r="Z71" s="20">
        <f>IF(T71=0,0,X71/T71)</f>
        <v>-5.6672260106216739E-2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-70163.089999999982</v>
      </c>
      <c r="E75" s="14"/>
      <c r="F75" s="33">
        <f>IF(D$12=0,0,D75/D$12)</f>
        <v>0</v>
      </c>
      <c r="G75" s="14"/>
      <c r="H75" s="31">
        <f>+H71-H73</f>
        <v>-74658.390358153847</v>
      </c>
      <c r="I75" s="14"/>
      <c r="J75" s="33">
        <f>IF(H$12=0,0,H75/H$12)</f>
        <v>0</v>
      </c>
      <c r="K75" s="16"/>
      <c r="L75" s="31">
        <f>D75-H75</f>
        <v>4495.3003581538651</v>
      </c>
      <c r="M75" s="16"/>
      <c r="N75" s="33">
        <f>IF(H75=0,0,L75/H75)</f>
        <v>-6.0211589569355198E-2</v>
      </c>
      <c r="O75" s="29"/>
      <c r="P75" s="31">
        <f>+P71-P73</f>
        <v>-252829.10999999996</v>
      </c>
      <c r="Q75" s="14"/>
      <c r="R75" s="33">
        <f>IF(P$12=0,0,P75/P$12)</f>
        <v>0</v>
      </c>
      <c r="S75" s="14"/>
      <c r="T75" s="31">
        <f>+T71-T73</f>
        <v>-268018.31358046143</v>
      </c>
      <c r="U75" s="14"/>
      <c r="V75" s="33">
        <f>IF(T$12=0,0,T75/T$12)</f>
        <v>0</v>
      </c>
      <c r="W75" s="16"/>
      <c r="X75" s="31">
        <f>P75-T75</f>
        <v>15189.203580461472</v>
      </c>
      <c r="Y75" s="16"/>
      <c r="Z75" s="33">
        <f>IF(T75=0,0,X75/T75)</f>
        <v>-5.6672260106216739E-2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2">
        <f>SUM(D75:D77)</f>
        <v>-70163.089999999982</v>
      </c>
      <c r="E78" s="14"/>
      <c r="F78" s="34">
        <f>IF(D$12=0,0,D78/D$12)</f>
        <v>0</v>
      </c>
      <c r="G78" s="14"/>
      <c r="H78" s="32">
        <f>SUM(H75:H77)</f>
        <v>-74658.390358153847</v>
      </c>
      <c r="I78" s="14"/>
      <c r="J78" s="34">
        <f>IF(H$12=0,0,H78/H$12)</f>
        <v>0</v>
      </c>
      <c r="K78" s="16"/>
      <c r="L78" s="32">
        <f>+D78-H78</f>
        <v>4495.3003581538651</v>
      </c>
      <c r="M78" s="16"/>
      <c r="N78" s="34">
        <f>IF(H78=0,0,L78/H78)</f>
        <v>-6.0211589569355198E-2</v>
      </c>
      <c r="O78" s="29"/>
      <c r="P78" s="32">
        <f>SUM(P75:P77)</f>
        <v>-252829.10999999996</v>
      </c>
      <c r="Q78" s="14"/>
      <c r="R78" s="34">
        <f>IF(P$12=0,0,P78/P$12)</f>
        <v>0</v>
      </c>
      <c r="S78" s="14"/>
      <c r="T78" s="32">
        <f>SUM(T75:T77)</f>
        <v>-268018.31358046143</v>
      </c>
      <c r="U78" s="14"/>
      <c r="V78" s="34">
        <f>IF(T$12=0,0,T78/T$12)</f>
        <v>0</v>
      </c>
      <c r="W78" s="16"/>
      <c r="X78" s="32">
        <f>+P78-T78</f>
        <v>15189.203580461472</v>
      </c>
      <c r="Y78" s="16"/>
      <c r="Z78" s="34">
        <f>IF(T78=0,0,X78/T78)</f>
        <v>-5.6672260106216739E-2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0">
        <v>43791.347963194443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4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5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10289.439999999999</v>
      </c>
      <c r="E18" s="21"/>
      <c r="F18" s="35">
        <f t="shared" ref="F18:F28" si="0">IF(D$12=0,0,D18/D$12)</f>
        <v>0</v>
      </c>
      <c r="G18" s="21"/>
      <c r="H18" s="21">
        <f>SUM(OSRRefH22x_0)</f>
        <v>8957.3863066730846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1332.0536933269141</v>
      </c>
      <c r="M18" s="4"/>
      <c r="N18" s="35">
        <f t="shared" ref="N18:N28" si="3">IF(H18=0,0,L18/H18)</f>
        <v>0.14871008659463075</v>
      </c>
      <c r="O18" s="10"/>
      <c r="P18" s="21">
        <f>SUM(OSRRefP22x_0)</f>
        <v>34413.019999999997</v>
      </c>
      <c r="Q18" s="21"/>
      <c r="R18" s="35">
        <f t="shared" ref="R18:R28" si="4">IF(P$12=0,0,P18/P$12)</f>
        <v>0</v>
      </c>
      <c r="S18" s="21"/>
      <c r="T18" s="21">
        <f>SUM(OSRRefT22x_0)</f>
        <v>36935.790704023086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-2522.7707040230889</v>
      </c>
      <c r="Y18" s="4"/>
      <c r="Z18" s="35">
        <f t="shared" ref="Z18:Z28" si="7">IF(T18=0,0,X18/T18)</f>
        <v>-6.8301521530668249E-2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2618.2999999999997</v>
      </c>
      <c r="E19" s="1"/>
      <c r="F19" s="5">
        <f t="shared" si="0"/>
        <v>0</v>
      </c>
      <c r="G19" s="1"/>
      <c r="H19" s="1">
        <f>SUM(OSRRefH22_0x_0)</f>
        <v>2665.227902826924</v>
      </c>
      <c r="I19" s="1"/>
      <c r="J19" s="5">
        <f t="shared" si="1"/>
        <v>0</v>
      </c>
      <c r="K19" s="1"/>
      <c r="L19" s="1">
        <f t="shared" si="2"/>
        <v>-46.92790282692431</v>
      </c>
      <c r="M19" s="1"/>
      <c r="N19" s="5">
        <f t="shared" si="3"/>
        <v>-1.7607463428230413E-2</v>
      </c>
      <c r="O19" s="13"/>
      <c r="P19" s="1">
        <f>SUM(OSRRefP22_0x_0)</f>
        <v>11211.02</v>
      </c>
      <c r="Q19" s="1"/>
      <c r="R19" s="5">
        <f t="shared" si="4"/>
        <v>0</v>
      </c>
      <c r="S19" s="1"/>
      <c r="T19" s="1">
        <f>SUM(OSRRefT22_0x_0)</f>
        <v>9920.020450176924</v>
      </c>
      <c r="U19" s="1"/>
      <c r="V19" s="5">
        <f t="shared" si="5"/>
        <v>0</v>
      </c>
      <c r="W19" s="1"/>
      <c r="X19" s="1">
        <f t="shared" si="6"/>
        <v>1290.9995498230764</v>
      </c>
      <c r="Y19" s="1"/>
      <c r="Z19" s="5">
        <f t="shared" si="7"/>
        <v>0.13014081536495739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495.46</v>
      </c>
      <c r="E20" s="2"/>
      <c r="F20" s="7">
        <f t="shared" si="0"/>
        <v>0</v>
      </c>
      <c r="G20" s="2"/>
      <c r="H20" s="6">
        <v>401.75438994230797</v>
      </c>
      <c r="I20" s="2"/>
      <c r="J20" s="7">
        <f t="shared" si="1"/>
        <v>0</v>
      </c>
      <c r="K20" s="2"/>
      <c r="L20" s="6">
        <f t="shared" si="2"/>
        <v>93.705610057692013</v>
      </c>
      <c r="M20" s="2"/>
      <c r="N20" s="7">
        <f t="shared" si="3"/>
        <v>0.2332410358257645</v>
      </c>
      <c r="O20" s="11"/>
      <c r="P20" s="6">
        <v>1480.39</v>
      </c>
      <c r="Q20" s="2"/>
      <c r="R20" s="7">
        <f t="shared" si="4"/>
        <v>0</v>
      </c>
      <c r="S20" s="2"/>
      <c r="T20" s="6">
        <v>1446.3158037923081</v>
      </c>
      <c r="U20" s="2"/>
      <c r="V20" s="7">
        <f t="shared" si="5"/>
        <v>0</v>
      </c>
      <c r="W20" s="2"/>
      <c r="X20" s="6">
        <f t="shared" si="6"/>
        <v>34.074196207692012</v>
      </c>
      <c r="Y20" s="2"/>
      <c r="Z20" s="7">
        <f t="shared" si="7"/>
        <v>2.3559305732778323E-2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-50.39</v>
      </c>
      <c r="E21" s="2"/>
      <c r="F21" s="7">
        <f t="shared" si="0"/>
        <v>0</v>
      </c>
      <c r="G21" s="2"/>
      <c r="H21" s="6">
        <v>355.40013326923099</v>
      </c>
      <c r="I21" s="2"/>
      <c r="J21" s="7">
        <f t="shared" si="1"/>
        <v>0</v>
      </c>
      <c r="K21" s="2"/>
      <c r="L21" s="6">
        <f t="shared" si="2"/>
        <v>-405.79013326923098</v>
      </c>
      <c r="M21" s="2"/>
      <c r="N21" s="7">
        <f t="shared" si="3"/>
        <v>-1.141783852291995</v>
      </c>
      <c r="O21" s="11"/>
      <c r="P21" s="6">
        <v>810.61</v>
      </c>
      <c r="Q21" s="2"/>
      <c r="R21" s="7">
        <f t="shared" si="4"/>
        <v>0</v>
      </c>
      <c r="S21" s="2"/>
      <c r="T21" s="6">
        <v>1279.4404797692321</v>
      </c>
      <c r="U21" s="2"/>
      <c r="V21" s="7">
        <f t="shared" si="5"/>
        <v>0</v>
      </c>
      <c r="W21" s="2"/>
      <c r="X21" s="6">
        <f t="shared" si="6"/>
        <v>-468.83047976923206</v>
      </c>
      <c r="Y21" s="2"/>
      <c r="Z21" s="7">
        <f t="shared" si="7"/>
        <v>-0.36643398984358638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32.139999999999986</v>
      </c>
      <c r="M22" s="2"/>
      <c r="N22" s="7">
        <f t="shared" si="3"/>
        <v>4.847662141779787E-2</v>
      </c>
      <c r="O22" s="11"/>
      <c r="P22" s="6">
        <v>2780.56</v>
      </c>
      <c r="Q22" s="2"/>
      <c r="R22" s="7">
        <f t="shared" si="4"/>
        <v>0</v>
      </c>
      <c r="S22" s="2"/>
      <c r="T22" s="6">
        <v>2652</v>
      </c>
      <c r="U22" s="2"/>
      <c r="V22" s="7">
        <f t="shared" si="5"/>
        <v>0</v>
      </c>
      <c r="W22" s="2"/>
      <c r="X22" s="6">
        <f t="shared" si="6"/>
        <v>128.55999999999995</v>
      </c>
      <c r="Y22" s="2"/>
      <c r="Z22" s="7">
        <f t="shared" si="7"/>
        <v>4.847662141779787E-2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11.09</v>
      </c>
      <c r="E23" s="2"/>
      <c r="F23" s="7">
        <f t="shared" si="0"/>
        <v>0</v>
      </c>
      <c r="G23" s="2"/>
      <c r="H23" s="6">
        <v>13.649044999999999</v>
      </c>
      <c r="I23" s="2"/>
      <c r="J23" s="7">
        <f t="shared" si="1"/>
        <v>0</v>
      </c>
      <c r="K23" s="2"/>
      <c r="L23" s="6">
        <f t="shared" si="2"/>
        <v>-2.5590449999999993</v>
      </c>
      <c r="M23" s="2"/>
      <c r="N23" s="7">
        <f t="shared" si="3"/>
        <v>-0.18748894153400472</v>
      </c>
      <c r="O23" s="11"/>
      <c r="P23" s="6">
        <v>44.16</v>
      </c>
      <c r="Q23" s="2"/>
      <c r="R23" s="7">
        <f t="shared" si="4"/>
        <v>0</v>
      </c>
      <c r="S23" s="2"/>
      <c r="T23" s="6">
        <v>49.136561999999998</v>
      </c>
      <c r="U23" s="2"/>
      <c r="V23" s="7">
        <f t="shared" si="5"/>
        <v>0</v>
      </c>
      <c r="W23" s="2"/>
      <c r="X23" s="6">
        <f t="shared" si="6"/>
        <v>-4.9765620000000013</v>
      </c>
      <c r="Y23" s="2"/>
      <c r="Z23" s="7">
        <f t="shared" si="7"/>
        <v>-0.10128022387891121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451.46841153846202</v>
      </c>
      <c r="I24" s="2"/>
      <c r="J24" s="7">
        <f t="shared" si="1"/>
        <v>0</v>
      </c>
      <c r="K24" s="2"/>
      <c r="L24" s="6">
        <f t="shared" si="2"/>
        <v>-22.20841153846203</v>
      </c>
      <c r="M24" s="2"/>
      <c r="N24" s="7">
        <f t="shared" si="3"/>
        <v>-4.9191507026555337E-2</v>
      </c>
      <c r="O24" s="11"/>
      <c r="P24" s="6">
        <v>1717.04</v>
      </c>
      <c r="Q24" s="2"/>
      <c r="R24" s="7">
        <f t="shared" si="4"/>
        <v>0</v>
      </c>
      <c r="S24" s="2"/>
      <c r="T24" s="6">
        <v>1625.2862815384622</v>
      </c>
      <c r="U24" s="2"/>
      <c r="V24" s="7">
        <f t="shared" si="5"/>
        <v>0</v>
      </c>
      <c r="W24" s="2"/>
      <c r="X24" s="6">
        <f t="shared" si="6"/>
        <v>91.753718461537801</v>
      </c>
      <c r="Y24" s="2"/>
      <c r="Z24" s="7">
        <f t="shared" si="7"/>
        <v>5.6453881081605907E-2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581.94000000000005</v>
      </c>
      <c r="E26" s="2"/>
      <c r="F26" s="7">
        <f t="shared" si="0"/>
        <v>0</v>
      </c>
      <c r="G26" s="2"/>
      <c r="H26" s="6">
        <v>524.96326923076901</v>
      </c>
      <c r="I26" s="2"/>
      <c r="J26" s="7">
        <f t="shared" si="1"/>
        <v>0</v>
      </c>
      <c r="K26" s="2"/>
      <c r="L26" s="6">
        <f t="shared" si="2"/>
        <v>56.97673076923104</v>
      </c>
      <c r="M26" s="2"/>
      <c r="N26" s="7">
        <f t="shared" si="3"/>
        <v>0.1085346996804544</v>
      </c>
      <c r="O26" s="11"/>
      <c r="P26" s="6">
        <v>2061.0500000000002</v>
      </c>
      <c r="Q26" s="2"/>
      <c r="R26" s="7">
        <f t="shared" si="4"/>
        <v>0</v>
      </c>
      <c r="S26" s="2"/>
      <c r="T26" s="6">
        <v>1889.8677692307681</v>
      </c>
      <c r="U26" s="2"/>
      <c r="V26" s="7">
        <f t="shared" si="5"/>
        <v>0</v>
      </c>
      <c r="W26" s="2"/>
      <c r="X26" s="6">
        <f t="shared" si="6"/>
        <v>171.18223076923209</v>
      </c>
      <c r="Y26" s="2"/>
      <c r="Z26" s="7">
        <f t="shared" si="7"/>
        <v>9.0578946080925177E-2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290.58</v>
      </c>
      <c r="E27" s="2"/>
      <c r="F27" s="7">
        <f t="shared" si="0"/>
        <v>0</v>
      </c>
      <c r="G27" s="2"/>
      <c r="H27" s="6">
        <v>104.992653846154</v>
      </c>
      <c r="I27" s="2"/>
      <c r="J27" s="7">
        <f t="shared" si="1"/>
        <v>0</v>
      </c>
      <c r="K27" s="2"/>
      <c r="L27" s="6">
        <f t="shared" si="2"/>
        <v>185.587346153846</v>
      </c>
      <c r="M27" s="2"/>
      <c r="N27" s="7">
        <f t="shared" si="3"/>
        <v>1.7676222036047171</v>
      </c>
      <c r="O27" s="11"/>
      <c r="P27" s="6">
        <v>1716.78</v>
      </c>
      <c r="Q27" s="2"/>
      <c r="R27" s="7">
        <f t="shared" si="4"/>
        <v>0</v>
      </c>
      <c r="S27" s="2"/>
      <c r="T27" s="6">
        <v>377.97355384615418</v>
      </c>
      <c r="U27" s="2"/>
      <c r="V27" s="7">
        <f t="shared" si="5"/>
        <v>0</v>
      </c>
      <c r="W27" s="2"/>
      <c r="X27" s="6">
        <f t="shared" si="6"/>
        <v>1338.8064461538459</v>
      </c>
      <c r="Y27" s="2"/>
      <c r="Z27" s="7">
        <f t="shared" si="7"/>
        <v>3.5420638098367525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165.22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15.219999999999999</v>
      </c>
      <c r="M28" s="2"/>
      <c r="N28" s="7">
        <f t="shared" si="3"/>
        <v>0.10146666666666666</v>
      </c>
      <c r="O28" s="11"/>
      <c r="P28" s="6">
        <v>600.42999999999995</v>
      </c>
      <c r="Q28" s="2"/>
      <c r="R28" s="7">
        <f t="shared" si="4"/>
        <v>0</v>
      </c>
      <c r="S28" s="2"/>
      <c r="T28" s="6">
        <v>600</v>
      </c>
      <c r="U28" s="2"/>
      <c r="V28" s="7">
        <f t="shared" si="5"/>
        <v>0</v>
      </c>
      <c r="W28" s="2"/>
      <c r="X28" s="6">
        <f t="shared" si="6"/>
        <v>0.42999999999994998</v>
      </c>
      <c r="Y28" s="2"/>
      <c r="Z28" s="7">
        <f t="shared" si="7"/>
        <v>7.1666666666658329E-4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5525.24</v>
      </c>
      <c r="E29" s="1"/>
      <c r="F29" s="5">
        <f t="shared" ref="F29:F39" si="8">IF(D$12=0,0,D29/D$12)</f>
        <v>0</v>
      </c>
      <c r="G29" s="1"/>
      <c r="H29" s="1">
        <f>SUM(OSRRefH22_1x_0)</f>
        <v>4882.1584038461606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643.0815961538392</v>
      </c>
      <c r="M29" s="1"/>
      <c r="N29" s="5">
        <f t="shared" ref="N29:N39" si="11">IF(H29=0,0,L29/H29)</f>
        <v>0.13172075605888167</v>
      </c>
      <c r="O29" s="13"/>
      <c r="P29" s="1">
        <f>SUM(OSRRefP22_1x_0)</f>
        <v>17547.09</v>
      </c>
      <c r="Q29" s="1"/>
      <c r="R29" s="5">
        <f t="shared" ref="R29:R39" si="12">IF(P$12=0,0,P29/P$12)</f>
        <v>0</v>
      </c>
      <c r="S29" s="1"/>
      <c r="T29" s="1">
        <f>SUM(OSRRefT22_1x_0)</f>
        <v>17575.77025384616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-28.680253846159758</v>
      </c>
      <c r="Y29" s="1"/>
      <c r="Z29" s="5">
        <f t="shared" ref="Z29:Z39" si="15">IF(T29=0,0,X29/T29)</f>
        <v>-1.6318063693330066E-3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5525.24</v>
      </c>
      <c r="E31" s="2"/>
      <c r="F31" s="7">
        <f t="shared" si="8"/>
        <v>0</v>
      </c>
      <c r="G31" s="2"/>
      <c r="H31" s="6">
        <v>4882.1584038461606</v>
      </c>
      <c r="I31" s="2"/>
      <c r="J31" s="7">
        <f t="shared" si="9"/>
        <v>0</v>
      </c>
      <c r="K31" s="2"/>
      <c r="L31" s="6">
        <f t="shared" si="10"/>
        <v>643.0815961538392</v>
      </c>
      <c r="M31" s="2"/>
      <c r="N31" s="7">
        <f t="shared" si="11"/>
        <v>0.13172075605888167</v>
      </c>
      <c r="O31" s="11"/>
      <c r="P31" s="6">
        <v>17547.09</v>
      </c>
      <c r="Q31" s="2"/>
      <c r="R31" s="7">
        <f t="shared" si="12"/>
        <v>0</v>
      </c>
      <c r="S31" s="2"/>
      <c r="T31" s="6">
        <v>17575.77025384616</v>
      </c>
      <c r="U31" s="2"/>
      <c r="V31" s="7">
        <f t="shared" si="13"/>
        <v>0</v>
      </c>
      <c r="W31" s="2"/>
      <c r="X31" s="6">
        <f t="shared" si="14"/>
        <v>-28.680253846159758</v>
      </c>
      <c r="Y31" s="2"/>
      <c r="Z31" s="7">
        <f t="shared" si="15"/>
        <v>-1.6318063693330066E-3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-146.75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353.25</v>
      </c>
      <c r="M40" s="1"/>
      <c r="N40" s="5">
        <f t="shared" ref="N40:N48" si="19">IF(H40=0,0,L40/H40)</f>
        <v>-0.70650000000000002</v>
      </c>
      <c r="O40" s="13"/>
      <c r="P40" s="1">
        <f>SUM(OSRRefP22_2x_0)</f>
        <v>-327.64999999999998</v>
      </c>
      <c r="Q40" s="1"/>
      <c r="R40" s="5">
        <f t="shared" ref="R40:R48" si="20">IF(P$12=0,0,P40/P$12)</f>
        <v>0</v>
      </c>
      <c r="S40" s="1"/>
      <c r="T40" s="1">
        <f>SUM(OSRRefT22_2x_0)</f>
        <v>-2000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1672.35</v>
      </c>
      <c r="Y40" s="1"/>
      <c r="Z40" s="5">
        <f t="shared" ref="Z40:Z48" si="23">IF(T40=0,0,X40/T40)</f>
        <v>-0.836175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6">
        <v>-146.75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353.25</v>
      </c>
      <c r="M41" s="2"/>
      <c r="N41" s="7">
        <f t="shared" si="19"/>
        <v>-0.70650000000000002</v>
      </c>
      <c r="O41" s="11"/>
      <c r="P41" s="6">
        <v>-327.64999999999998</v>
      </c>
      <c r="Q41" s="2"/>
      <c r="R41" s="7">
        <f t="shared" si="20"/>
        <v>0</v>
      </c>
      <c r="S41" s="2"/>
      <c r="T41" s="6">
        <v>-2000</v>
      </c>
      <c r="U41" s="2"/>
      <c r="V41" s="7">
        <f t="shared" si="21"/>
        <v>0</v>
      </c>
      <c r="W41" s="2"/>
      <c r="X41" s="6">
        <f t="shared" si="22"/>
        <v>1672.35</v>
      </c>
      <c r="Y41" s="2"/>
      <c r="Z41" s="7">
        <f t="shared" si="23"/>
        <v>-0.836175</v>
      </c>
    </row>
    <row r="42" spans="1:26" s="26" customFormat="1" outlineLevel="1" collapsed="1" x14ac:dyDescent="0.25">
      <c r="A42" s="25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98.24</v>
      </c>
      <c r="Q42" s="1"/>
      <c r="R42" s="5">
        <f t="shared" si="20"/>
        <v>0</v>
      </c>
      <c r="S42" s="1"/>
      <c r="T42" s="1">
        <f>SUM(OSRRefT22_3x_0)</f>
        <v>100</v>
      </c>
      <c r="U42" s="1"/>
      <c r="V42" s="5">
        <f t="shared" si="21"/>
        <v>0</v>
      </c>
      <c r="W42" s="1"/>
      <c r="X42" s="1">
        <f t="shared" si="22"/>
        <v>-1.7600000000000051</v>
      </c>
      <c r="Y42" s="1"/>
      <c r="Z42" s="5">
        <f t="shared" si="23"/>
        <v>-1.760000000000005E-2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98.24</v>
      </c>
      <c r="Q43" s="2"/>
      <c r="R43" s="7">
        <f t="shared" si="20"/>
        <v>0</v>
      </c>
      <c r="S43" s="2"/>
      <c r="T43" s="6">
        <v>100</v>
      </c>
      <c r="U43" s="2"/>
      <c r="V43" s="7">
        <f t="shared" si="21"/>
        <v>0</v>
      </c>
      <c r="W43" s="2"/>
      <c r="X43" s="6">
        <f t="shared" si="22"/>
        <v>-1.7600000000000051</v>
      </c>
      <c r="Y43" s="2"/>
      <c r="Z43" s="7">
        <f t="shared" si="23"/>
        <v>-1.760000000000005E-2</v>
      </c>
    </row>
    <row r="44" spans="1:26" s="26" customFormat="1" outlineLevel="1" collapsed="1" x14ac:dyDescent="0.25">
      <c r="A44" s="25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1642.66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142.66000000000008</v>
      </c>
      <c r="M46" s="1"/>
      <c r="N46" s="5">
        <f t="shared" si="19"/>
        <v>9.5106666666666714E-2</v>
      </c>
      <c r="O46" s="13"/>
      <c r="P46" s="1">
        <f>SUM(OSRRefP22_5x_0)</f>
        <v>4454.5600000000004</v>
      </c>
      <c r="Q46" s="1"/>
      <c r="R46" s="5">
        <f t="shared" si="20"/>
        <v>0</v>
      </c>
      <c r="S46" s="1"/>
      <c r="T46" s="1">
        <f>SUM(OSRRefT22_5x_0)</f>
        <v>6000</v>
      </c>
      <c r="U46" s="1"/>
      <c r="V46" s="5">
        <f t="shared" si="21"/>
        <v>0</v>
      </c>
      <c r="W46" s="1"/>
      <c r="X46" s="1">
        <f t="shared" si="22"/>
        <v>-1545.4399999999996</v>
      </c>
      <c r="Y46" s="1"/>
      <c r="Z46" s="5">
        <f t="shared" si="23"/>
        <v>-0.25757333333333327</v>
      </c>
    </row>
    <row r="47" spans="1:26" s="24" customFormat="1" hidden="1" outlineLevel="2" x14ac:dyDescent="0.25">
      <c r="A47" s="27"/>
      <c r="B47" s="11" t="str">
        <f>CONCATENATE("          ", "6373", " - ", "MAINTENANCE CONTRACTS")</f>
        <v xml:space="preserve">          6373 - MAINTENANCE CONTRACTS</v>
      </c>
      <c r="C47" s="11"/>
      <c r="D47" s="6">
        <v>1405.95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-94.049999999999955</v>
      </c>
      <c r="M47" s="2"/>
      <c r="N47" s="7">
        <f t="shared" si="19"/>
        <v>-6.2699999999999964E-2</v>
      </c>
      <c r="O47" s="11"/>
      <c r="P47" s="6">
        <v>4217.8500000000004</v>
      </c>
      <c r="Q47" s="2"/>
      <c r="R47" s="7">
        <f t="shared" si="20"/>
        <v>0</v>
      </c>
      <c r="S47" s="2"/>
      <c r="T47" s="6">
        <v>6000</v>
      </c>
      <c r="U47" s="2"/>
      <c r="V47" s="7">
        <f t="shared" si="21"/>
        <v>0</v>
      </c>
      <c r="W47" s="2"/>
      <c r="X47" s="6">
        <f t="shared" si="22"/>
        <v>-1782.1499999999996</v>
      </c>
      <c r="Y47" s="2"/>
      <c r="Z47" s="7">
        <f t="shared" si="23"/>
        <v>-0.29702499999999993</v>
      </c>
    </row>
    <row r="48" spans="1:26" s="24" customFormat="1" hidden="1" outlineLevel="2" x14ac:dyDescent="0.25">
      <c r="A48" s="27"/>
      <c r="B48" s="11" t="str">
        <f>CONCATENATE("          ", "6375", " - ", "OUTSIDE REPAIRS &amp; MAINTENANCE")</f>
        <v xml:space="preserve">          6375 - OUTSIDE REPAIRS &amp; MAINTENANCE</v>
      </c>
      <c r="C48" s="11"/>
      <c r="D48" s="6">
        <v>236.71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236.71</v>
      </c>
      <c r="M48" s="2"/>
      <c r="N48" s="7">
        <f t="shared" si="19"/>
        <v>0</v>
      </c>
      <c r="O48" s="11"/>
      <c r="P48" s="6">
        <v>236.71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236.71</v>
      </c>
      <c r="Y48" s="2"/>
      <c r="Z48" s="7">
        <f t="shared" si="23"/>
        <v>0</v>
      </c>
    </row>
    <row r="49" spans="1:26" s="26" customFormat="1" outlineLevel="1" collapsed="1" x14ac:dyDescent="0.25">
      <c r="A49" s="25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13.26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3.26</v>
      </c>
      <c r="M49" s="1"/>
      <c r="N49" s="5">
        <f t="shared" ref="N49:N53" si="27">IF(H49=0,0,L49/H49)</f>
        <v>0.32599999999999996</v>
      </c>
      <c r="O49" s="13"/>
      <c r="P49" s="1">
        <f>SUM(OSRRefP22_6x_0)</f>
        <v>39.78</v>
      </c>
      <c r="Q49" s="1"/>
      <c r="R49" s="5">
        <f t="shared" ref="R49:R53" si="28">IF(P$12=0,0,P49/P$12)</f>
        <v>0</v>
      </c>
      <c r="S49" s="1"/>
      <c r="T49" s="1">
        <f>SUM(OSRRefT22_6x_0)</f>
        <v>40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-0.21999999999999886</v>
      </c>
      <c r="Y49" s="1"/>
      <c r="Z49" s="5">
        <f t="shared" ref="Z49:Z53" si="31">IF(T49=0,0,X49/T49)</f>
        <v>-5.4999999999999719E-3</v>
      </c>
    </row>
    <row r="50" spans="1:26" s="24" customFormat="1" hidden="1" outlineLevel="2" x14ac:dyDescent="0.25">
      <c r="A50" s="27"/>
      <c r="B50" s="11" t="str">
        <f>CONCATENATE("          ", "6286", " - ", "LAUNDRY EXPENSE")</f>
        <v xml:space="preserve">          6286 - LAUNDRY EXPENSE</v>
      </c>
      <c r="C50" s="11"/>
      <c r="D50" s="6">
        <v>13.26</v>
      </c>
      <c r="E50" s="2"/>
      <c r="F50" s="7">
        <f t="shared" si="24"/>
        <v>0</v>
      </c>
      <c r="G50" s="2"/>
      <c r="H50" s="6">
        <v>10</v>
      </c>
      <c r="I50" s="2"/>
      <c r="J50" s="7">
        <f t="shared" si="25"/>
        <v>0</v>
      </c>
      <c r="K50" s="2"/>
      <c r="L50" s="6">
        <f t="shared" si="26"/>
        <v>3.26</v>
      </c>
      <c r="M50" s="2"/>
      <c r="N50" s="7">
        <f t="shared" si="27"/>
        <v>0.32599999999999996</v>
      </c>
      <c r="O50" s="11"/>
      <c r="P50" s="6">
        <v>39.78</v>
      </c>
      <c r="Q50" s="2"/>
      <c r="R50" s="7">
        <f t="shared" si="28"/>
        <v>0</v>
      </c>
      <c r="S50" s="2"/>
      <c r="T50" s="6">
        <v>40</v>
      </c>
      <c r="U50" s="2"/>
      <c r="V50" s="7">
        <f t="shared" si="29"/>
        <v>0</v>
      </c>
      <c r="W50" s="2"/>
      <c r="X50" s="6">
        <f t="shared" si="30"/>
        <v>-0.21999999999999886</v>
      </c>
      <c r="Y50" s="2"/>
      <c r="Z50" s="7">
        <f t="shared" si="31"/>
        <v>-5.4999999999999719E-3</v>
      </c>
    </row>
    <row r="51" spans="1:26" s="26" customFormat="1" outlineLevel="1" collapsed="1" x14ac:dyDescent="0.25">
      <c r="A51" s="25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147.56</v>
      </c>
      <c r="E51" s="1"/>
      <c r="F51" s="5">
        <f t="shared" si="24"/>
        <v>0</v>
      </c>
      <c r="G51" s="1"/>
      <c r="H51" s="1">
        <f>SUM(OSRRefH22_7x_0)</f>
        <v>210</v>
      </c>
      <c r="I51" s="1"/>
      <c r="J51" s="5">
        <f t="shared" si="25"/>
        <v>0</v>
      </c>
      <c r="K51" s="1"/>
      <c r="L51" s="1">
        <f t="shared" si="26"/>
        <v>-62.44</v>
      </c>
      <c r="M51" s="1"/>
      <c r="N51" s="5">
        <f t="shared" si="27"/>
        <v>-0.29733333333333334</v>
      </c>
      <c r="O51" s="13"/>
      <c r="P51" s="1">
        <f>SUM(OSRRefP22_7x_0)</f>
        <v>744.92</v>
      </c>
      <c r="Q51" s="1"/>
      <c r="R51" s="5">
        <f t="shared" si="28"/>
        <v>0</v>
      </c>
      <c r="S51" s="1"/>
      <c r="T51" s="1">
        <f>SUM(OSRRefT22_7x_0)</f>
        <v>440</v>
      </c>
      <c r="U51" s="1"/>
      <c r="V51" s="5">
        <f t="shared" si="29"/>
        <v>0</v>
      </c>
      <c r="W51" s="1"/>
      <c r="X51" s="1">
        <f t="shared" si="30"/>
        <v>304.91999999999996</v>
      </c>
      <c r="Y51" s="1"/>
      <c r="Z51" s="5">
        <f t="shared" si="31"/>
        <v>0.69299999999999995</v>
      </c>
    </row>
    <row r="52" spans="1:26" s="24" customFormat="1" hidden="1" outlineLevel="2" x14ac:dyDescent="0.25">
      <c r="A52" s="27"/>
      <c r="B52" s="11" t="str">
        <f>CONCATENATE("          ", "6234", " - ", "EXPENDABLE SUPPLIES &amp; EQUIPMEN")</f>
        <v xml:space="preserve">          6234 - EXPENDABLE SUPPLIES &amp; EQUIPMEN</v>
      </c>
      <c r="C52" s="11"/>
      <c r="D52" s="6">
        <v>133.56</v>
      </c>
      <c r="E52" s="2"/>
      <c r="F52" s="7">
        <f t="shared" si="24"/>
        <v>0</v>
      </c>
      <c r="G52" s="2"/>
      <c r="H52" s="6">
        <v>200</v>
      </c>
      <c r="I52" s="2"/>
      <c r="J52" s="7">
        <f t="shared" si="25"/>
        <v>0</v>
      </c>
      <c r="K52" s="2"/>
      <c r="L52" s="6">
        <f t="shared" si="26"/>
        <v>-66.44</v>
      </c>
      <c r="M52" s="2"/>
      <c r="N52" s="7">
        <f t="shared" si="27"/>
        <v>-0.3322</v>
      </c>
      <c r="O52" s="11"/>
      <c r="P52" s="6">
        <v>693.5</v>
      </c>
      <c r="Q52" s="2"/>
      <c r="R52" s="7">
        <f t="shared" si="28"/>
        <v>0</v>
      </c>
      <c r="S52" s="2"/>
      <c r="T52" s="6">
        <v>400</v>
      </c>
      <c r="U52" s="2"/>
      <c r="V52" s="7">
        <f t="shared" si="29"/>
        <v>0</v>
      </c>
      <c r="W52" s="2"/>
      <c r="X52" s="6">
        <f t="shared" si="30"/>
        <v>293.5</v>
      </c>
      <c r="Y52" s="2"/>
      <c r="Z52" s="7">
        <f t="shared" si="31"/>
        <v>0.73375000000000001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6">
        <v>14</v>
      </c>
      <c r="E53" s="2"/>
      <c r="F53" s="7">
        <f t="shared" si="24"/>
        <v>0</v>
      </c>
      <c r="G53" s="2"/>
      <c r="H53" s="6">
        <v>10</v>
      </c>
      <c r="I53" s="2"/>
      <c r="J53" s="7">
        <f t="shared" si="25"/>
        <v>0</v>
      </c>
      <c r="K53" s="2"/>
      <c r="L53" s="6">
        <f t="shared" si="26"/>
        <v>4</v>
      </c>
      <c r="M53" s="2"/>
      <c r="N53" s="7">
        <f t="shared" si="27"/>
        <v>0.4</v>
      </c>
      <c r="O53" s="11"/>
      <c r="P53" s="6">
        <v>51.42</v>
      </c>
      <c r="Q53" s="2"/>
      <c r="R53" s="7">
        <f t="shared" si="28"/>
        <v>0</v>
      </c>
      <c r="S53" s="2"/>
      <c r="T53" s="6">
        <v>40</v>
      </c>
      <c r="U53" s="2"/>
      <c r="V53" s="7">
        <f t="shared" si="29"/>
        <v>0</v>
      </c>
      <c r="W53" s="2"/>
      <c r="X53" s="6">
        <f t="shared" si="30"/>
        <v>11.420000000000002</v>
      </c>
      <c r="Y53" s="2"/>
      <c r="Z53" s="7">
        <f t="shared" si="31"/>
        <v>0.28550000000000003</v>
      </c>
    </row>
    <row r="54" spans="1:26" s="26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223.85</v>
      </c>
      <c r="E54" s="1"/>
      <c r="F54" s="5">
        <f t="shared" ref="F54:F57" si="32">IF(D$12=0,0,D54/D$12)</f>
        <v>0</v>
      </c>
      <c r="G54" s="1"/>
      <c r="H54" s="1">
        <f>SUM(OSRRefH22_8x_0)</f>
        <v>165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58.849999999999994</v>
      </c>
      <c r="M54" s="1"/>
      <c r="N54" s="5">
        <f t="shared" ref="N54:N57" si="35">IF(H54=0,0,L54/H54)</f>
        <v>0.35666666666666663</v>
      </c>
      <c r="O54" s="13"/>
      <c r="P54" s="1">
        <f>SUM(OSRRefP22_8x_0)</f>
        <v>388.2</v>
      </c>
      <c r="Q54" s="1"/>
      <c r="R54" s="5">
        <f t="shared" ref="R54:R57" si="36">IF(P$12=0,0,P54/P$12)</f>
        <v>0</v>
      </c>
      <c r="S54" s="1"/>
      <c r="T54" s="1">
        <f>SUM(OSRRefT22_8x_0)</f>
        <v>360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28.199999999999989</v>
      </c>
      <c r="Y54" s="1"/>
      <c r="Z54" s="5">
        <f t="shared" ref="Z54:Z57" si="39">IF(T54=0,0,X54/T54)</f>
        <v>7.8333333333333297E-2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223.85</v>
      </c>
      <c r="E55" s="2"/>
      <c r="F55" s="7">
        <f t="shared" si="32"/>
        <v>0</v>
      </c>
      <c r="G55" s="2"/>
      <c r="H55" s="6">
        <v>165</v>
      </c>
      <c r="I55" s="2"/>
      <c r="J55" s="7">
        <f t="shared" si="33"/>
        <v>0</v>
      </c>
      <c r="K55" s="2"/>
      <c r="L55" s="6">
        <f t="shared" si="34"/>
        <v>58.849999999999994</v>
      </c>
      <c r="M55" s="2"/>
      <c r="N55" s="7">
        <f t="shared" si="35"/>
        <v>0.35666666666666663</v>
      </c>
      <c r="O55" s="11"/>
      <c r="P55" s="6">
        <v>388.2</v>
      </c>
      <c r="Q55" s="2"/>
      <c r="R55" s="7">
        <f t="shared" si="36"/>
        <v>0</v>
      </c>
      <c r="S55" s="2"/>
      <c r="T55" s="6">
        <v>360</v>
      </c>
      <c r="U55" s="2"/>
      <c r="V55" s="7">
        <f t="shared" si="37"/>
        <v>0</v>
      </c>
      <c r="W55" s="2"/>
      <c r="X55" s="6">
        <f t="shared" si="38"/>
        <v>28.199999999999989</v>
      </c>
      <c r="Y55" s="2"/>
      <c r="Z55" s="7">
        <f t="shared" si="39"/>
        <v>7.8333333333333297E-2</v>
      </c>
    </row>
    <row r="56" spans="1:26" s="26" customFormat="1" outlineLevel="1" collapsed="1" x14ac:dyDescent="0.25">
      <c r="A56" s="25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240.76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240.76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7"/>
      <c r="B57" s="11" t="str">
        <f>CONCATENATE("          ", "6292", " - ", "TRAVEL/CONFERENCE")</f>
        <v xml:space="preserve">          6292 - TRAVEL/CONFERENCE</v>
      </c>
      <c r="C57" s="11"/>
      <c r="D57" s="6">
        <v>240.76</v>
      </c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240.76</v>
      </c>
      <c r="M57" s="2"/>
      <c r="N57" s="7">
        <f t="shared" si="35"/>
        <v>0</v>
      </c>
      <c r="O57" s="11"/>
      <c r="P57" s="6">
        <v>256.86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256.86</v>
      </c>
      <c r="Y57" s="2"/>
      <c r="Z57" s="7">
        <f t="shared" si="39"/>
        <v>0</v>
      </c>
    </row>
    <row r="58" spans="1:26" s="61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2">
        <f>+D16-D18+D59</f>
        <v>-10289.439999999999</v>
      </c>
      <c r="E61" s="14"/>
      <c r="F61" s="20">
        <f>IF(D$12=0,0,D61/D$12)</f>
        <v>0</v>
      </c>
      <c r="G61" s="14"/>
      <c r="H61" s="22">
        <f>+H16-H18+H59</f>
        <v>-8957.3863066730846</v>
      </c>
      <c r="I61" s="14"/>
      <c r="J61" s="20">
        <f>IF(H$12=0,0,H61/H$12)</f>
        <v>0</v>
      </c>
      <c r="K61" s="16"/>
      <c r="L61" s="22">
        <f>+D61-H61</f>
        <v>-1332.0536933269141</v>
      </c>
      <c r="M61" s="16"/>
      <c r="N61" s="20">
        <f>IF(H61=0,0,L61/H61)</f>
        <v>0.14871008659463075</v>
      </c>
      <c r="O61" s="29"/>
      <c r="P61" s="22">
        <f>+P16-P18+P59</f>
        <v>-34413.019999999997</v>
      </c>
      <c r="Q61" s="14"/>
      <c r="R61" s="20">
        <f>IF(P$12=0,0,P61/P$12)</f>
        <v>0</v>
      </c>
      <c r="S61" s="14"/>
      <c r="T61" s="22">
        <f>+T16-T18+T59</f>
        <v>-36935.790704023086</v>
      </c>
      <c r="U61" s="14"/>
      <c r="V61" s="20">
        <f>IF(T$12=0,0,T61/T$12)</f>
        <v>0</v>
      </c>
      <c r="W61" s="16"/>
      <c r="X61" s="22">
        <f>+P61-T61</f>
        <v>2522.7707040230889</v>
      </c>
      <c r="Y61" s="16"/>
      <c r="Z61" s="20">
        <f>IF(T61=0,0,X61/T61)</f>
        <v>-6.8301521530668249E-2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1">
        <f>+D61-D63</f>
        <v>-10289.439999999999</v>
      </c>
      <c r="E65" s="14"/>
      <c r="F65" s="33">
        <f>IF(D$12=0,0,D65/D$12)</f>
        <v>0</v>
      </c>
      <c r="G65" s="14"/>
      <c r="H65" s="31">
        <f>+H61-H63</f>
        <v>-8957.3863066730846</v>
      </c>
      <c r="I65" s="14"/>
      <c r="J65" s="33">
        <f>IF(H$12=0,0,H65/H$12)</f>
        <v>0</v>
      </c>
      <c r="K65" s="16"/>
      <c r="L65" s="31">
        <f>D65-H65</f>
        <v>-1332.0536933269141</v>
      </c>
      <c r="M65" s="16"/>
      <c r="N65" s="33">
        <f>IF(H65=0,0,L65/H65)</f>
        <v>0.14871008659463075</v>
      </c>
      <c r="O65" s="29"/>
      <c r="P65" s="31">
        <f>+P61-P63</f>
        <v>-34413.019999999997</v>
      </c>
      <c r="Q65" s="14"/>
      <c r="R65" s="33">
        <f>IF(P$12=0,0,P65/P$12)</f>
        <v>0</v>
      </c>
      <c r="S65" s="14"/>
      <c r="T65" s="31">
        <f>+T61-T63</f>
        <v>-36935.790704023086</v>
      </c>
      <c r="U65" s="14"/>
      <c r="V65" s="33">
        <f>IF(T$12=0,0,T65/T$12)</f>
        <v>0</v>
      </c>
      <c r="W65" s="16"/>
      <c r="X65" s="31">
        <f>P65-T65</f>
        <v>2522.7707040230889</v>
      </c>
      <c r="Y65" s="16"/>
      <c r="Z65" s="33">
        <f>IF(T65=0,0,X65/T65)</f>
        <v>-6.8301521530668249E-2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2">
        <f>SUM(D65:D67)</f>
        <v>-10289.439999999999</v>
      </c>
      <c r="E68" s="14"/>
      <c r="F68" s="34">
        <f>IF(D$12=0,0,D68/D$12)</f>
        <v>0</v>
      </c>
      <c r="G68" s="14"/>
      <c r="H68" s="32">
        <f>SUM(H65:H67)</f>
        <v>-8957.3863066730846</v>
      </c>
      <c r="I68" s="14"/>
      <c r="J68" s="34">
        <f>IF(H$12=0,0,H68/H$12)</f>
        <v>0</v>
      </c>
      <c r="K68" s="16"/>
      <c r="L68" s="32">
        <f>+D68-H68</f>
        <v>-1332.0536933269141</v>
      </c>
      <c r="M68" s="16"/>
      <c r="N68" s="34">
        <f>IF(H68=0,0,L68/H68)</f>
        <v>0.14871008659463075</v>
      </c>
      <c r="O68" s="29"/>
      <c r="P68" s="32">
        <f>SUM(P65:P67)</f>
        <v>-34413.019999999997</v>
      </c>
      <c r="Q68" s="14"/>
      <c r="R68" s="34">
        <f>IF(P$12=0,0,P68/P$12)</f>
        <v>0</v>
      </c>
      <c r="S68" s="14"/>
      <c r="T68" s="32">
        <f>SUM(T65:T67)</f>
        <v>-36935.790704023086</v>
      </c>
      <c r="U68" s="14"/>
      <c r="V68" s="34">
        <f>IF(T$12=0,0,T68/T$12)</f>
        <v>0</v>
      </c>
      <c r="W68" s="16"/>
      <c r="X68" s="32">
        <f>+P68-T68</f>
        <v>2522.7707040230889</v>
      </c>
      <c r="Y68" s="16"/>
      <c r="Z68" s="34">
        <f>IF(T68=0,0,X68/T68)</f>
        <v>-6.8301521530668249E-2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60">
        <v>43791.347977662037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4" t="s">
        <v>314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5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","206", " - ", "Graphics")</f>
        <v>Department 206 - Graphics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4657.3600000000006</v>
      </c>
      <c r="E18" s="21"/>
      <c r="F18" s="35">
        <f t="shared" ref="F18:F28" si="0">IF(D$12=0,0,D18/D$12)</f>
        <v>0</v>
      </c>
      <c r="G18" s="21"/>
      <c r="H18" s="21">
        <f>SUM(OSRRefH22x_0)</f>
        <v>18483.402736895001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-13826.042736895</v>
      </c>
      <c r="M18" s="4"/>
      <c r="N18" s="35">
        <f t="shared" ref="N18:N28" si="3">IF(H18=0,0,L18/H18)</f>
        <v>-0.74802475137852331</v>
      </c>
      <c r="O18" s="10"/>
      <c r="P18" s="21">
        <f>SUM(OSRRefP22x_0)</f>
        <v>30083.409999999993</v>
      </c>
      <c r="Q18" s="21"/>
      <c r="R18" s="35">
        <f t="shared" ref="R18:R28" si="4">IF(P$12=0,0,P18/P$12)</f>
        <v>0</v>
      </c>
      <c r="S18" s="21"/>
      <c r="T18" s="21">
        <f>SUM(OSRRefT22x_0)</f>
        <v>63333.749152821998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-33250.339152822009</v>
      </c>
      <c r="Y18" s="4"/>
      <c r="Z18" s="35">
        <f t="shared" ref="Z18:Z28" si="7">IF(T18=0,0,X18/T18)</f>
        <v>-0.5250019081073215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1976.42</v>
      </c>
      <c r="E19" s="1"/>
      <c r="F19" s="5">
        <f t="shared" si="0"/>
        <v>0</v>
      </c>
      <c r="G19" s="1"/>
      <c r="H19" s="1">
        <f>SUM(OSRRefH22_0x_0)</f>
        <v>6527.7283868949999</v>
      </c>
      <c r="I19" s="1"/>
      <c r="J19" s="5">
        <f t="shared" si="1"/>
        <v>0</v>
      </c>
      <c r="K19" s="1"/>
      <c r="L19" s="1">
        <f t="shared" si="2"/>
        <v>-4551.3083868949998</v>
      </c>
      <c r="M19" s="1"/>
      <c r="N19" s="5">
        <f t="shared" si="3"/>
        <v>-0.69722698573552166</v>
      </c>
      <c r="O19" s="13"/>
      <c r="P19" s="1">
        <f>SUM(OSRRefP22_0x_0)</f>
        <v>7809.5700000000015</v>
      </c>
      <c r="Q19" s="1"/>
      <c r="R19" s="5">
        <f t="shared" si="4"/>
        <v>0</v>
      </c>
      <c r="S19" s="1"/>
      <c r="T19" s="1">
        <f>SUM(OSRRefT22_0x_0)</f>
        <v>23560.221492822002</v>
      </c>
      <c r="U19" s="1"/>
      <c r="V19" s="5">
        <f t="shared" si="5"/>
        <v>0</v>
      </c>
      <c r="W19" s="1"/>
      <c r="X19" s="1">
        <f t="shared" si="6"/>
        <v>-15750.651492822</v>
      </c>
      <c r="Y19" s="1"/>
      <c r="Z19" s="5">
        <f t="shared" si="7"/>
        <v>-0.66852730979718034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534.96</v>
      </c>
      <c r="E20" s="2"/>
      <c r="F20" s="7">
        <f t="shared" si="0"/>
        <v>0</v>
      </c>
      <c r="G20" s="2"/>
      <c r="H20" s="6">
        <v>1474.577858895</v>
      </c>
      <c r="I20" s="2"/>
      <c r="J20" s="7">
        <f t="shared" si="1"/>
        <v>0</v>
      </c>
      <c r="K20" s="2"/>
      <c r="L20" s="6">
        <f t="shared" si="2"/>
        <v>-939.61785889499993</v>
      </c>
      <c r="M20" s="2"/>
      <c r="N20" s="7">
        <f t="shared" si="3"/>
        <v>-0.63721142510516104</v>
      </c>
      <c r="O20" s="11"/>
      <c r="P20" s="6">
        <v>2413.17</v>
      </c>
      <c r="Q20" s="2"/>
      <c r="R20" s="7">
        <f t="shared" si="4"/>
        <v>0</v>
      </c>
      <c r="S20" s="2"/>
      <c r="T20" s="6">
        <v>4605.169592022</v>
      </c>
      <c r="U20" s="2"/>
      <c r="V20" s="7">
        <f t="shared" si="5"/>
        <v>0</v>
      </c>
      <c r="W20" s="2"/>
      <c r="X20" s="6">
        <f t="shared" si="6"/>
        <v>-2191.9995920219999</v>
      </c>
      <c r="Y20" s="2"/>
      <c r="Z20" s="7">
        <f t="shared" si="7"/>
        <v>-0.47598672496652933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-66.92</v>
      </c>
      <c r="E21" s="2"/>
      <c r="F21" s="7">
        <f t="shared" si="0"/>
        <v>0</v>
      </c>
      <c r="G21" s="2"/>
      <c r="H21" s="6">
        <v>65.5111031</v>
      </c>
      <c r="I21" s="2"/>
      <c r="J21" s="7">
        <f t="shared" si="1"/>
        <v>0</v>
      </c>
      <c r="K21" s="2"/>
      <c r="L21" s="6">
        <f t="shared" si="2"/>
        <v>-132.4311031</v>
      </c>
      <c r="M21" s="2"/>
      <c r="N21" s="7">
        <f t="shared" si="3"/>
        <v>-2.0215062307506773</v>
      </c>
      <c r="O21" s="11"/>
      <c r="P21" s="6">
        <v>30.3</v>
      </c>
      <c r="Q21" s="2"/>
      <c r="R21" s="7">
        <f t="shared" si="4"/>
        <v>0</v>
      </c>
      <c r="S21" s="2"/>
      <c r="T21" s="6">
        <v>233.28147116</v>
      </c>
      <c r="U21" s="2"/>
      <c r="V21" s="7">
        <f t="shared" si="5"/>
        <v>0</v>
      </c>
      <c r="W21" s="2"/>
      <c r="X21" s="6">
        <f t="shared" si="6"/>
        <v>-202.98147115999998</v>
      </c>
      <c r="Y21" s="2"/>
      <c r="Z21" s="7">
        <f t="shared" si="7"/>
        <v>-0.87011398783910165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2742</v>
      </c>
      <c r="I22" s="2"/>
      <c r="J22" s="7">
        <f t="shared" si="1"/>
        <v>0</v>
      </c>
      <c r="K22" s="2"/>
      <c r="L22" s="6">
        <f t="shared" si="2"/>
        <v>-2041.0900000000001</v>
      </c>
      <c r="M22" s="2"/>
      <c r="N22" s="7">
        <f t="shared" si="3"/>
        <v>-0.74438001458789216</v>
      </c>
      <c r="O22" s="11"/>
      <c r="P22" s="6">
        <v>2803.64</v>
      </c>
      <c r="Q22" s="2"/>
      <c r="R22" s="7">
        <f t="shared" si="4"/>
        <v>0</v>
      </c>
      <c r="S22" s="2"/>
      <c r="T22" s="6">
        <v>10662</v>
      </c>
      <c r="U22" s="2"/>
      <c r="V22" s="7">
        <f t="shared" si="5"/>
        <v>0</v>
      </c>
      <c r="W22" s="2"/>
      <c r="X22" s="6">
        <f t="shared" si="6"/>
        <v>-7858.3600000000006</v>
      </c>
      <c r="Y22" s="2"/>
      <c r="Z22" s="7">
        <f t="shared" si="7"/>
        <v>-0.73704370662164698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24.98</v>
      </c>
      <c r="E23" s="2"/>
      <c r="F23" s="7">
        <f t="shared" si="0"/>
        <v>0</v>
      </c>
      <c r="G23" s="2"/>
      <c r="H23" s="6">
        <v>50.096725900000003</v>
      </c>
      <c r="I23" s="2"/>
      <c r="J23" s="7">
        <f t="shared" si="1"/>
        <v>0</v>
      </c>
      <c r="K23" s="2"/>
      <c r="L23" s="6">
        <f t="shared" si="2"/>
        <v>-25.116725900000002</v>
      </c>
      <c r="M23" s="2"/>
      <c r="N23" s="7">
        <f t="shared" si="3"/>
        <v>-0.50136461911974972</v>
      </c>
      <c r="O23" s="11"/>
      <c r="P23" s="6">
        <v>99.33</v>
      </c>
      <c r="Q23" s="2"/>
      <c r="R23" s="7">
        <f t="shared" si="4"/>
        <v>0</v>
      </c>
      <c r="S23" s="2"/>
      <c r="T23" s="6">
        <v>178.39171324</v>
      </c>
      <c r="U23" s="2"/>
      <c r="V23" s="7">
        <f t="shared" si="5"/>
        <v>0</v>
      </c>
      <c r="W23" s="2"/>
      <c r="X23" s="6">
        <f t="shared" si="6"/>
        <v>-79.061713240000003</v>
      </c>
      <c r="Y23" s="2"/>
      <c r="Z23" s="7">
        <f t="shared" si="7"/>
        <v>-0.44319162479051932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749.74554899999998</v>
      </c>
      <c r="I24" s="2"/>
      <c r="J24" s="7">
        <f t="shared" si="1"/>
        <v>0</v>
      </c>
      <c r="K24" s="2"/>
      <c r="L24" s="6">
        <f t="shared" si="2"/>
        <v>-749.74554899999998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2699.0839763999998</v>
      </c>
      <c r="U24" s="2"/>
      <c r="V24" s="7">
        <f t="shared" si="5"/>
        <v>0</v>
      </c>
      <c r="W24" s="2"/>
      <c r="X24" s="6">
        <f t="shared" si="6"/>
        <v>-2699.0839763999998</v>
      </c>
      <c r="Y24" s="2"/>
      <c r="Z24" s="7">
        <f t="shared" si="7"/>
        <v>-1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277.2</v>
      </c>
      <c r="E26" s="2"/>
      <c r="F26" s="7">
        <f t="shared" si="0"/>
        <v>0</v>
      </c>
      <c r="G26" s="2"/>
      <c r="H26" s="6">
        <v>693.39857500000005</v>
      </c>
      <c r="I26" s="2"/>
      <c r="J26" s="7">
        <f t="shared" si="1"/>
        <v>0</v>
      </c>
      <c r="K26" s="2"/>
      <c r="L26" s="6">
        <f t="shared" si="2"/>
        <v>-416.19857500000006</v>
      </c>
      <c r="M26" s="2"/>
      <c r="N26" s="7">
        <f t="shared" si="3"/>
        <v>-0.60022992547972864</v>
      </c>
      <c r="O26" s="11"/>
      <c r="P26" s="6">
        <v>831.6</v>
      </c>
      <c r="Q26" s="2"/>
      <c r="R26" s="7">
        <f t="shared" si="4"/>
        <v>0</v>
      </c>
      <c r="S26" s="2"/>
      <c r="T26" s="6">
        <v>2496.2348700000002</v>
      </c>
      <c r="U26" s="2"/>
      <c r="V26" s="7">
        <f t="shared" si="5"/>
        <v>0</v>
      </c>
      <c r="W26" s="2"/>
      <c r="X26" s="6">
        <f t="shared" si="6"/>
        <v>-1664.6348700000003</v>
      </c>
      <c r="Y26" s="2"/>
      <c r="Z26" s="7">
        <f t="shared" si="7"/>
        <v>-0.66685827123310726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332.1</v>
      </c>
      <c r="E27" s="2"/>
      <c r="F27" s="7">
        <f t="shared" si="0"/>
        <v>0</v>
      </c>
      <c r="G27" s="2"/>
      <c r="H27" s="6">
        <v>752.39857500000005</v>
      </c>
      <c r="I27" s="2"/>
      <c r="J27" s="7">
        <f t="shared" si="1"/>
        <v>0</v>
      </c>
      <c r="K27" s="2"/>
      <c r="L27" s="6">
        <f t="shared" si="2"/>
        <v>-420.29857500000003</v>
      </c>
      <c r="M27" s="2"/>
      <c r="N27" s="7">
        <f t="shared" si="3"/>
        <v>-0.55861160422851674</v>
      </c>
      <c r="O27" s="11"/>
      <c r="P27" s="6">
        <v>996.3</v>
      </c>
      <c r="Q27" s="2"/>
      <c r="R27" s="7">
        <f t="shared" si="4"/>
        <v>0</v>
      </c>
      <c r="S27" s="2"/>
      <c r="T27" s="6">
        <v>2686.05987</v>
      </c>
      <c r="U27" s="2"/>
      <c r="V27" s="7">
        <f t="shared" si="5"/>
        <v>0</v>
      </c>
      <c r="W27" s="2"/>
      <c r="X27" s="6">
        <f t="shared" si="6"/>
        <v>-1689.7598700000001</v>
      </c>
      <c r="Y27" s="2"/>
      <c r="Z27" s="7">
        <f t="shared" si="7"/>
        <v>-0.62908496153512772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173.19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173.19</v>
      </c>
      <c r="M28" s="2"/>
      <c r="N28" s="7">
        <f t="shared" si="3"/>
        <v>0</v>
      </c>
      <c r="O28" s="11"/>
      <c r="P28" s="6">
        <v>635.23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635.23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12636.369999999999</v>
      </c>
      <c r="E29" s="1"/>
      <c r="F29" s="5">
        <f t="shared" ref="F29:F39" si="8">IF(D$12=0,0,D29/D$12)</f>
        <v>0</v>
      </c>
      <c r="G29" s="1"/>
      <c r="H29" s="1">
        <f>SUM(OSRRefH22_1x_0)</f>
        <v>18241.674350000001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-5605.3043500000022</v>
      </c>
      <c r="M29" s="1"/>
      <c r="N29" s="5">
        <f t="shared" ref="N29:N39" si="11">IF(H29=0,0,L29/H29)</f>
        <v>-0.30728014558597805</v>
      </c>
      <c r="O29" s="13"/>
      <c r="P29" s="1">
        <f>SUM(OSRRefP22_1x_0)</f>
        <v>44163.97</v>
      </c>
      <c r="Q29" s="1"/>
      <c r="R29" s="5">
        <f t="shared" ref="R29:R39" si="12">IF(P$12=0,0,P29/P$12)</f>
        <v>0</v>
      </c>
      <c r="S29" s="1"/>
      <c r="T29" s="1">
        <f>SUM(OSRRefT22_1x_0)</f>
        <v>64917.52766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-20753.557659999999</v>
      </c>
      <c r="Y29" s="1"/>
      <c r="Z29" s="5">
        <f t="shared" ref="Z29:Z39" si="15">IF(T29=0,0,X29/T29)</f>
        <v>-0.31969112823727641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7846.1743500000002</v>
      </c>
      <c r="I30" s="2"/>
      <c r="J30" s="7">
        <f t="shared" si="9"/>
        <v>0</v>
      </c>
      <c r="K30" s="2"/>
      <c r="L30" s="6">
        <f t="shared" si="10"/>
        <v>-7846.1743500000002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28246.22766</v>
      </c>
      <c r="U30" s="2"/>
      <c r="V30" s="7">
        <f t="shared" si="13"/>
        <v>0</v>
      </c>
      <c r="W30" s="2"/>
      <c r="X30" s="6">
        <f t="shared" si="14"/>
        <v>-28246.22766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7128.75</v>
      </c>
      <c r="E33" s="2"/>
      <c r="F33" s="7">
        <f t="shared" si="8"/>
        <v>0</v>
      </c>
      <c r="G33" s="2"/>
      <c r="H33" s="6">
        <v>4995.5</v>
      </c>
      <c r="I33" s="2"/>
      <c r="J33" s="7">
        <f t="shared" si="9"/>
        <v>0</v>
      </c>
      <c r="K33" s="2"/>
      <c r="L33" s="6">
        <f t="shared" si="10"/>
        <v>2133.25</v>
      </c>
      <c r="M33" s="2"/>
      <c r="N33" s="7">
        <f t="shared" si="11"/>
        <v>0.42703433089780801</v>
      </c>
      <c r="O33" s="11"/>
      <c r="P33" s="6">
        <v>21847.5</v>
      </c>
      <c r="Q33" s="2"/>
      <c r="R33" s="7">
        <f t="shared" si="12"/>
        <v>0</v>
      </c>
      <c r="S33" s="2"/>
      <c r="T33" s="6">
        <v>17983.8</v>
      </c>
      <c r="U33" s="2"/>
      <c r="V33" s="7">
        <f t="shared" si="13"/>
        <v>0</v>
      </c>
      <c r="W33" s="2"/>
      <c r="X33" s="6">
        <f t="shared" si="14"/>
        <v>3863.7000000000007</v>
      </c>
      <c r="Y33" s="2"/>
      <c r="Z33" s="7">
        <f t="shared" si="15"/>
        <v>0.21484335902312085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3951.74</v>
      </c>
      <c r="E36" s="2"/>
      <c r="F36" s="7">
        <f t="shared" si="8"/>
        <v>0</v>
      </c>
      <c r="G36" s="2"/>
      <c r="H36" s="6">
        <v>5400</v>
      </c>
      <c r="I36" s="2"/>
      <c r="J36" s="7">
        <f t="shared" si="9"/>
        <v>0</v>
      </c>
      <c r="K36" s="2"/>
      <c r="L36" s="6">
        <f t="shared" si="10"/>
        <v>-1448.2600000000002</v>
      </c>
      <c r="M36" s="2"/>
      <c r="N36" s="7">
        <f t="shared" si="11"/>
        <v>-0.26819629629629632</v>
      </c>
      <c r="O36" s="11"/>
      <c r="P36" s="6">
        <v>17141.59</v>
      </c>
      <c r="Q36" s="2"/>
      <c r="R36" s="7">
        <f t="shared" si="12"/>
        <v>0</v>
      </c>
      <c r="S36" s="2"/>
      <c r="T36" s="6">
        <v>10250</v>
      </c>
      <c r="U36" s="2"/>
      <c r="V36" s="7">
        <f t="shared" si="13"/>
        <v>0</v>
      </c>
      <c r="W36" s="2"/>
      <c r="X36" s="6">
        <f t="shared" si="14"/>
        <v>6891.59</v>
      </c>
      <c r="Y36" s="2"/>
      <c r="Z36" s="7">
        <f t="shared" si="15"/>
        <v>0.67235024390243903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1555.88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1555.88</v>
      </c>
      <c r="M37" s="2"/>
      <c r="N37" s="7">
        <f t="shared" si="11"/>
        <v>0</v>
      </c>
      <c r="O37" s="11"/>
      <c r="P37" s="6">
        <v>2813.45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-5624.05</v>
      </c>
      <c r="Y37" s="2"/>
      <c r="Z37" s="7">
        <f t="shared" si="15"/>
        <v>-0.66655407407407408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-10524.95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-1524.9500000000007</v>
      </c>
      <c r="M40" s="1"/>
      <c r="N40" s="5">
        <f t="shared" ref="N40:N52" si="19">IF(H40=0,0,L40/H40)</f>
        <v>0.16943888888888897</v>
      </c>
      <c r="O40" s="13"/>
      <c r="P40" s="1">
        <f>SUM(OSRRefP22_2x_0)</f>
        <v>-24721.89</v>
      </c>
      <c r="Q40" s="1"/>
      <c r="R40" s="5">
        <f t="shared" ref="R40:R52" si="20">IF(P$12=0,0,P40/P$12)</f>
        <v>0</v>
      </c>
      <c r="S40" s="1"/>
      <c r="T40" s="1">
        <f>SUM(OSRRefT22_2x_0)</f>
        <v>-36000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11278.11</v>
      </c>
      <c r="Y40" s="1"/>
      <c r="Z40" s="5">
        <f t="shared" ref="Z40:Z52" si="23">IF(T40=0,0,X40/T40)</f>
        <v>-0.31328083333333334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-10524.95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-1524.9500000000007</v>
      </c>
      <c r="M41" s="2"/>
      <c r="N41" s="7">
        <f t="shared" si="19"/>
        <v>0.16943888888888897</v>
      </c>
      <c r="O41" s="11"/>
      <c r="P41" s="6">
        <v>-24721.89</v>
      </c>
      <c r="Q41" s="2"/>
      <c r="R41" s="7">
        <f t="shared" si="20"/>
        <v>0</v>
      </c>
      <c r="S41" s="2"/>
      <c r="T41" s="6">
        <v>-36000</v>
      </c>
      <c r="U41" s="2"/>
      <c r="V41" s="7">
        <f t="shared" si="21"/>
        <v>0</v>
      </c>
      <c r="W41" s="2"/>
      <c r="X41" s="6">
        <f t="shared" si="22"/>
        <v>11278.11</v>
      </c>
      <c r="Y41" s="2"/>
      <c r="Z41" s="7">
        <f t="shared" si="23"/>
        <v>-0.31328083333333334</v>
      </c>
    </row>
    <row r="42" spans="1:26" s="26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1182.68</v>
      </c>
      <c r="Q42" s="1"/>
      <c r="R42" s="5">
        <f t="shared" si="20"/>
        <v>0</v>
      </c>
      <c r="S42" s="1"/>
      <c r="T42" s="1">
        <f>SUM(OSRRefT22_3x_0)</f>
        <v>1156</v>
      </c>
      <c r="U42" s="1"/>
      <c r="V42" s="5">
        <f t="shared" si="21"/>
        <v>0</v>
      </c>
      <c r="W42" s="1"/>
      <c r="X42" s="1">
        <f t="shared" si="22"/>
        <v>26.680000000000064</v>
      </c>
      <c r="Y42" s="1"/>
      <c r="Z42" s="5">
        <f t="shared" si="23"/>
        <v>2.3079584775086561E-2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1182.68</v>
      </c>
      <c r="Q43" s="2"/>
      <c r="R43" s="7">
        <f t="shared" si="20"/>
        <v>0</v>
      </c>
      <c r="S43" s="2"/>
      <c r="T43" s="6">
        <v>1156</v>
      </c>
      <c r="U43" s="2"/>
      <c r="V43" s="7">
        <f t="shared" si="21"/>
        <v>0</v>
      </c>
      <c r="W43" s="2"/>
      <c r="X43" s="6">
        <f t="shared" si="22"/>
        <v>26.680000000000064</v>
      </c>
      <c r="Y43" s="2"/>
      <c r="Z43" s="7">
        <f t="shared" si="23"/>
        <v>2.3079584775086561E-2</v>
      </c>
    </row>
    <row r="44" spans="1:26" s="26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800</v>
      </c>
      <c r="U44" s="1"/>
      <c r="V44" s="5">
        <f t="shared" si="21"/>
        <v>0</v>
      </c>
      <c r="W44" s="1"/>
      <c r="X44" s="1">
        <f t="shared" si="22"/>
        <v>-800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800</v>
      </c>
      <c r="U45" s="2"/>
      <c r="V45" s="7">
        <f t="shared" si="21"/>
        <v>0</v>
      </c>
      <c r="W45" s="2"/>
      <c r="X45" s="6">
        <f t="shared" si="22"/>
        <v>-800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507.17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507.17</v>
      </c>
      <c r="Y46" s="1"/>
      <c r="Z46" s="5">
        <f t="shared" si="23"/>
        <v>0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>
        <v>173.21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173.21</v>
      </c>
      <c r="M47" s="2"/>
      <c r="N47" s="7">
        <f t="shared" si="19"/>
        <v>0</v>
      </c>
      <c r="O47" s="11"/>
      <c r="P47" s="6">
        <v>507.17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507.17</v>
      </c>
      <c r="Y47" s="2"/>
      <c r="Z47" s="7">
        <f t="shared" si="23"/>
        <v>0</v>
      </c>
    </row>
    <row r="48" spans="1:26" s="26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1600</v>
      </c>
      <c r="U48" s="1"/>
      <c r="V48" s="5">
        <f t="shared" si="21"/>
        <v>0</v>
      </c>
      <c r="W48" s="1"/>
      <c r="X48" s="1">
        <f t="shared" si="22"/>
        <v>-1600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1600</v>
      </c>
      <c r="U49" s="2"/>
      <c r="V49" s="7">
        <f t="shared" si="21"/>
        <v>0</v>
      </c>
      <c r="W49" s="2"/>
      <c r="X49" s="6">
        <f t="shared" si="22"/>
        <v>-1600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28.64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-946.36</v>
      </c>
      <c r="M50" s="1"/>
      <c r="N50" s="5">
        <f t="shared" si="19"/>
        <v>-0.97062564102564108</v>
      </c>
      <c r="O50" s="13"/>
      <c r="P50" s="1">
        <f>SUM(OSRRefP22_7x_0)</f>
        <v>726.1400000000001</v>
      </c>
      <c r="Q50" s="1"/>
      <c r="R50" s="5">
        <f t="shared" si="20"/>
        <v>0</v>
      </c>
      <c r="S50" s="1"/>
      <c r="T50" s="1">
        <f>SUM(OSRRefT22_7x_0)</f>
        <v>3900</v>
      </c>
      <c r="U50" s="1"/>
      <c r="V50" s="5">
        <f t="shared" si="21"/>
        <v>0</v>
      </c>
      <c r="W50" s="1"/>
      <c r="X50" s="1">
        <f t="shared" si="22"/>
        <v>-3173.8599999999997</v>
      </c>
      <c r="Y50" s="1"/>
      <c r="Z50" s="5">
        <f t="shared" si="23"/>
        <v>-0.81381025641025628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>
        <v>28.64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-946.36</v>
      </c>
      <c r="M51" s="2"/>
      <c r="N51" s="7">
        <f t="shared" si="19"/>
        <v>-0.97062564102564108</v>
      </c>
      <c r="O51" s="11"/>
      <c r="P51" s="6">
        <v>379.72</v>
      </c>
      <c r="Q51" s="2"/>
      <c r="R51" s="7">
        <f t="shared" si="20"/>
        <v>0</v>
      </c>
      <c r="S51" s="2"/>
      <c r="T51" s="6">
        <v>3900</v>
      </c>
      <c r="U51" s="2"/>
      <c r="V51" s="7">
        <f t="shared" si="21"/>
        <v>0</v>
      </c>
      <c r="W51" s="2"/>
      <c r="X51" s="6">
        <f t="shared" si="22"/>
        <v>-3520.2799999999997</v>
      </c>
      <c r="Y51" s="2"/>
      <c r="Z51" s="7">
        <f t="shared" si="23"/>
        <v>-0.90263589743589734</v>
      </c>
    </row>
    <row r="52" spans="1:26" s="24" customFormat="1" hidden="1" outlineLevel="2" x14ac:dyDescent="0.25">
      <c r="A52" s="27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6" customFormat="1" outlineLevel="1" collapsed="1" x14ac:dyDescent="0.25">
      <c r="A53" s="25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72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-78</v>
      </c>
      <c r="M53" s="1"/>
      <c r="N53" s="5">
        <f t="shared" ref="N53:N58" si="27">IF(H53=0,0,L53/H53)</f>
        <v>-0.52</v>
      </c>
      <c r="O53" s="13"/>
      <c r="P53" s="1">
        <f>SUM(OSRRefP22_8x_0)</f>
        <v>297.45</v>
      </c>
      <c r="Q53" s="1"/>
      <c r="R53" s="5">
        <f t="shared" ref="R53:R58" si="28">IF(P$12=0,0,P53/P$12)</f>
        <v>0</v>
      </c>
      <c r="S53" s="1"/>
      <c r="T53" s="1">
        <f>SUM(OSRRefT22_8x_0)</f>
        <v>600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-302.55</v>
      </c>
      <c r="Y53" s="1"/>
      <c r="Z53" s="5">
        <f t="shared" ref="Z53:Z58" si="31">IF(T53=0,0,X53/T53)</f>
        <v>-0.50424999999999998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6">
        <v>72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-78</v>
      </c>
      <c r="M54" s="2"/>
      <c r="N54" s="7">
        <f t="shared" si="27"/>
        <v>-0.52</v>
      </c>
      <c r="O54" s="11"/>
      <c r="P54" s="6">
        <v>297.45</v>
      </c>
      <c r="Q54" s="2"/>
      <c r="R54" s="7">
        <f t="shared" si="28"/>
        <v>0</v>
      </c>
      <c r="S54" s="2"/>
      <c r="T54" s="6">
        <v>600</v>
      </c>
      <c r="U54" s="2"/>
      <c r="V54" s="7">
        <f t="shared" si="29"/>
        <v>0</v>
      </c>
      <c r="W54" s="2"/>
      <c r="X54" s="6">
        <f t="shared" si="30"/>
        <v>-302.55</v>
      </c>
      <c r="Y54" s="2"/>
      <c r="Z54" s="7">
        <f t="shared" si="31"/>
        <v>-0.50424999999999998</v>
      </c>
    </row>
    <row r="55" spans="1:26" s="26" customFormat="1" outlineLevel="1" collapsed="1" x14ac:dyDescent="0.25">
      <c r="A55" s="25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800</v>
      </c>
      <c r="U55" s="1"/>
      <c r="V55" s="5">
        <f t="shared" si="29"/>
        <v>0</v>
      </c>
      <c r="W55" s="1"/>
      <c r="X55" s="1">
        <f t="shared" si="30"/>
        <v>-800</v>
      </c>
      <c r="Y55" s="1"/>
      <c r="Z55" s="5">
        <f t="shared" si="31"/>
        <v>-1</v>
      </c>
    </row>
    <row r="56" spans="1:26" s="24" customFormat="1" hidden="1" outlineLevel="2" x14ac:dyDescent="0.25">
      <c r="A56" s="27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800</v>
      </c>
      <c r="U56" s="2"/>
      <c r="V56" s="7">
        <f t="shared" si="29"/>
        <v>0</v>
      </c>
      <c r="W56" s="2"/>
      <c r="X56" s="6">
        <f t="shared" si="30"/>
        <v>-800</v>
      </c>
      <c r="Y56" s="2"/>
      <c r="Z56" s="7">
        <f t="shared" si="31"/>
        <v>-1</v>
      </c>
    </row>
    <row r="57" spans="1:26" s="26" customFormat="1" outlineLevel="1" collapsed="1" x14ac:dyDescent="0.25">
      <c r="A57" s="25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118.32</v>
      </c>
      <c r="Q57" s="1"/>
      <c r="R57" s="5">
        <f t="shared" si="28"/>
        <v>0</v>
      </c>
      <c r="S57" s="1"/>
      <c r="T57" s="1">
        <f>SUM(OSRRefT22_10x_0)</f>
        <v>2000</v>
      </c>
      <c r="U57" s="1"/>
      <c r="V57" s="5">
        <f t="shared" si="29"/>
        <v>0</v>
      </c>
      <c r="W57" s="1"/>
      <c r="X57" s="1">
        <f t="shared" si="30"/>
        <v>-1881.68</v>
      </c>
      <c r="Y57" s="1"/>
      <c r="Z57" s="5">
        <f t="shared" si="31"/>
        <v>-0.94084000000000001</v>
      </c>
    </row>
    <row r="58" spans="1:26" s="24" customFormat="1" hidden="1" outlineLevel="2" x14ac:dyDescent="0.25">
      <c r="A58" s="27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118.32</v>
      </c>
      <c r="Q58" s="2"/>
      <c r="R58" s="7">
        <f t="shared" si="28"/>
        <v>0</v>
      </c>
      <c r="S58" s="2"/>
      <c r="T58" s="6">
        <v>2000</v>
      </c>
      <c r="U58" s="2"/>
      <c r="V58" s="7">
        <f t="shared" si="29"/>
        <v>0</v>
      </c>
      <c r="W58" s="2"/>
      <c r="X58" s="6">
        <f t="shared" si="30"/>
        <v>-1881.68</v>
      </c>
      <c r="Y58" s="2"/>
      <c r="Z58" s="7">
        <f t="shared" si="31"/>
        <v>-0.94084000000000001</v>
      </c>
    </row>
    <row r="59" spans="1:26" s="61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3</v>
      </c>
      <c r="C62" s="28"/>
      <c r="D62" s="22">
        <f>+D16-D18+D60</f>
        <v>-4657.3600000000006</v>
      </c>
      <c r="E62" s="14"/>
      <c r="F62" s="20">
        <f>IF(D$12=0,0,D62/D$12)</f>
        <v>0</v>
      </c>
      <c r="G62" s="14"/>
      <c r="H62" s="22">
        <f>+H16-H18+H60</f>
        <v>-18483.402736895001</v>
      </c>
      <c r="I62" s="14"/>
      <c r="J62" s="20">
        <f>IF(H$12=0,0,H62/H$12)</f>
        <v>0</v>
      </c>
      <c r="K62" s="16"/>
      <c r="L62" s="22">
        <f>+D62-H62</f>
        <v>13826.042736895</v>
      </c>
      <c r="M62" s="16"/>
      <c r="N62" s="20">
        <f>IF(H62=0,0,L62/H62)</f>
        <v>-0.74802475137852331</v>
      </c>
      <c r="O62" s="29"/>
      <c r="P62" s="22">
        <f>+P16-P18+P60</f>
        <v>-30083.409999999993</v>
      </c>
      <c r="Q62" s="14"/>
      <c r="R62" s="20">
        <f>IF(P$12=0,0,P62/P$12)</f>
        <v>0</v>
      </c>
      <c r="S62" s="14"/>
      <c r="T62" s="22">
        <f>+T16-T18+T60</f>
        <v>-63333.749152821998</v>
      </c>
      <c r="U62" s="14"/>
      <c r="V62" s="20">
        <f>IF(T$12=0,0,T62/T$12)</f>
        <v>0</v>
      </c>
      <c r="W62" s="16"/>
      <c r="X62" s="22">
        <f>+P62-T62</f>
        <v>33250.339152822009</v>
      </c>
      <c r="Y62" s="16"/>
      <c r="Z62" s="20">
        <f>IF(T62=0,0,X62/T62)</f>
        <v>-0.5250019081073215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4</v>
      </c>
      <c r="C66" s="28"/>
      <c r="D66" s="31">
        <f>+D62-D64</f>
        <v>-4657.3600000000006</v>
      </c>
      <c r="E66" s="14"/>
      <c r="F66" s="33">
        <f>IF(D$12=0,0,D66/D$12)</f>
        <v>0</v>
      </c>
      <c r="G66" s="14"/>
      <c r="H66" s="31">
        <f>+H62-H64</f>
        <v>-18483.402736895001</v>
      </c>
      <c r="I66" s="14"/>
      <c r="J66" s="33">
        <f>IF(H$12=0,0,H66/H$12)</f>
        <v>0</v>
      </c>
      <c r="K66" s="16"/>
      <c r="L66" s="31">
        <f>D66-H66</f>
        <v>13826.042736895</v>
      </c>
      <c r="M66" s="16"/>
      <c r="N66" s="33">
        <f>IF(H66=0,0,L66/H66)</f>
        <v>-0.74802475137852331</v>
      </c>
      <c r="O66" s="29"/>
      <c r="P66" s="31">
        <f>+P62-P64</f>
        <v>-30083.409999999993</v>
      </c>
      <c r="Q66" s="14"/>
      <c r="R66" s="33">
        <f>IF(P$12=0,0,P66/P$12)</f>
        <v>0</v>
      </c>
      <c r="S66" s="14"/>
      <c r="T66" s="31">
        <f>+T62-T64</f>
        <v>-63333.749152821998</v>
      </c>
      <c r="U66" s="14"/>
      <c r="V66" s="33">
        <f>IF(T$12=0,0,T66/T$12)</f>
        <v>0</v>
      </c>
      <c r="W66" s="16"/>
      <c r="X66" s="31">
        <f>P66-T66</f>
        <v>33250.339152822009</v>
      </c>
      <c r="Y66" s="16"/>
      <c r="Z66" s="33">
        <f>IF(T66=0,0,X66/T66)</f>
        <v>-0.5250019081073215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5</v>
      </c>
      <c r="C69" s="28"/>
      <c r="D69" s="32">
        <f>SUM(D66:D68)</f>
        <v>-4657.3600000000006</v>
      </c>
      <c r="E69" s="14"/>
      <c r="F69" s="34">
        <f>IF(D$12=0,0,D69/D$12)</f>
        <v>0</v>
      </c>
      <c r="G69" s="14"/>
      <c r="H69" s="32">
        <f>SUM(H66:H68)</f>
        <v>-18483.402736895001</v>
      </c>
      <c r="I69" s="14"/>
      <c r="J69" s="34">
        <f>IF(H$12=0,0,H69/H$12)</f>
        <v>0</v>
      </c>
      <c r="K69" s="16"/>
      <c r="L69" s="32">
        <f>+D69-H69</f>
        <v>13826.042736895</v>
      </c>
      <c r="M69" s="16"/>
      <c r="N69" s="34">
        <f>IF(H69=0,0,L69/H69)</f>
        <v>-0.74802475137852331</v>
      </c>
      <c r="O69" s="29"/>
      <c r="P69" s="32">
        <f>SUM(P66:P68)</f>
        <v>-30083.409999999993</v>
      </c>
      <c r="Q69" s="14"/>
      <c r="R69" s="34">
        <f>IF(P$12=0,0,P69/P$12)</f>
        <v>0</v>
      </c>
      <c r="S69" s="14"/>
      <c r="T69" s="32">
        <f>SUM(T66:T68)</f>
        <v>-63333.749152821998</v>
      </c>
      <c r="U69" s="14"/>
      <c r="V69" s="34">
        <f>IF(T$12=0,0,T69/T$12)</f>
        <v>0</v>
      </c>
      <c r="W69" s="16"/>
      <c r="X69" s="32">
        <f>+P69-T69</f>
        <v>33250.339152822009</v>
      </c>
      <c r="Y69" s="16"/>
      <c r="Z69" s="34">
        <f>IF(T69=0,0,X69/T69)</f>
        <v>-0.5250019081073215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0">
        <v>43791.347991319446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4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5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1008399.3400000003</v>
      </c>
      <c r="E12" s="4"/>
      <c r="F12" s="12"/>
      <c r="G12" s="4"/>
      <c r="H12" s="4">
        <f>SUM(OSRRefH13x_0)</f>
        <v>1000002.6086600001</v>
      </c>
      <c r="I12" s="4"/>
      <c r="J12" s="12"/>
      <c r="K12" s="4"/>
      <c r="L12" s="4">
        <f t="shared" ref="L12:L105" si="0">+D12-H12</f>
        <v>8396.7313400001731</v>
      </c>
      <c r="M12" s="4"/>
      <c r="N12" s="12">
        <f t="shared" ref="N12:N105" si="1">IF(H12=0,0,L12/H12)</f>
        <v>8.3967094358401353E-3</v>
      </c>
      <c r="O12" s="10"/>
      <c r="P12" s="4">
        <f>SUM(OSRRefP13x_0)</f>
        <v>5738888.5099999988</v>
      </c>
      <c r="Q12" s="4"/>
      <c r="R12" s="12"/>
      <c r="S12" s="4"/>
      <c r="T12" s="4">
        <f>SUM(OSRRefT13x_0)</f>
        <v>6004054.5838600006</v>
      </c>
      <c r="U12" s="4"/>
      <c r="V12" s="12"/>
      <c r="W12" s="4"/>
      <c r="X12" s="4">
        <f t="shared" ref="X12:X105" si="2">+P12-T12</f>
        <v>-265166.07386000175</v>
      </c>
      <c r="Y12" s="4"/>
      <c r="Z12" s="12">
        <f t="shared" ref="Z12:Z105" si="3">IF(T12=0,0,X12/T12)</f>
        <v>-4.4164500864601858E-2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519783.60866000003</v>
      </c>
      <c r="I13" s="2"/>
      <c r="J13" s="19"/>
      <c r="K13" s="2"/>
      <c r="L13" s="2">
        <f t="shared" si="0"/>
        <v>-519783.60866000003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1935351.5838600001</v>
      </c>
      <c r="U13" s="2"/>
      <c r="V13" s="19"/>
      <c r="W13" s="2"/>
      <c r="X13" s="2">
        <f t="shared" si="2"/>
        <v>-1935351.5838600001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--31204.32</f>
        <v>31204.32</v>
      </c>
      <c r="E14" s="2"/>
      <c r="F14" s="19"/>
      <c r="G14" s="2"/>
      <c r="H14" s="2"/>
      <c r="I14" s="2"/>
      <c r="J14" s="19"/>
      <c r="K14" s="2"/>
      <c r="L14" s="2">
        <f t="shared" si="0"/>
        <v>31204.32</v>
      </c>
      <c r="M14" s="2"/>
      <c r="N14" s="19">
        <f t="shared" si="1"/>
        <v>0</v>
      </c>
      <c r="O14" s="11"/>
      <c r="P14" s="2">
        <f>--1495159.74</f>
        <v>1495159.74</v>
      </c>
      <c r="Q14" s="2"/>
      <c r="R14" s="19"/>
      <c r="S14" s="2"/>
      <c r="T14" s="2"/>
      <c r="U14" s="2"/>
      <c r="V14" s="19"/>
      <c r="W14" s="2"/>
      <c r="X14" s="2">
        <f t="shared" si="2"/>
        <v>1495159.74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--8985.78</f>
        <v>8985.7800000000007</v>
      </c>
      <c r="E15" s="2"/>
      <c r="F15" s="19"/>
      <c r="G15" s="2"/>
      <c r="H15" s="2"/>
      <c r="I15" s="2"/>
      <c r="J15" s="19"/>
      <c r="K15" s="2"/>
      <c r="L15" s="2">
        <f t="shared" si="0"/>
        <v>8985.7800000000007</v>
      </c>
      <c r="M15" s="2"/>
      <c r="N15" s="19">
        <f t="shared" si="1"/>
        <v>0</v>
      </c>
      <c r="O15" s="11"/>
      <c r="P15" s="2">
        <f>--666296.36</f>
        <v>666296.36</v>
      </c>
      <c r="Q15" s="2"/>
      <c r="R15" s="19"/>
      <c r="S15" s="2"/>
      <c r="T15" s="2"/>
      <c r="U15" s="2"/>
      <c r="V15" s="19"/>
      <c r="W15" s="2"/>
      <c r="X15" s="2">
        <f t="shared" si="2"/>
        <v>666296.36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--307.97</f>
        <v>307.97000000000003</v>
      </c>
      <c r="E16" s="2"/>
      <c r="F16" s="19"/>
      <c r="G16" s="2"/>
      <c r="H16" s="2"/>
      <c r="I16" s="2"/>
      <c r="J16" s="19"/>
      <c r="K16" s="2"/>
      <c r="L16" s="2">
        <f t="shared" si="0"/>
        <v>307.97000000000003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--460.04</f>
        <v>460.04</v>
      </c>
      <c r="E17" s="2"/>
      <c r="F17" s="19"/>
      <c r="G17" s="2"/>
      <c r="H17" s="2"/>
      <c r="I17" s="2"/>
      <c r="J17" s="19"/>
      <c r="K17" s="2"/>
      <c r="L17" s="2">
        <f t="shared" si="0"/>
        <v>460.04</v>
      </c>
      <c r="M17" s="2"/>
      <c r="N17" s="19">
        <f t="shared" si="1"/>
        <v>0</v>
      </c>
      <c r="O17" s="11"/>
      <c r="P17" s="2">
        <f>--30160.48</f>
        <v>30160.48</v>
      </c>
      <c r="Q17" s="2"/>
      <c r="R17" s="19"/>
      <c r="S17" s="2"/>
      <c r="T17" s="2"/>
      <c r="U17" s="2"/>
      <c r="V17" s="19"/>
      <c r="W17" s="2"/>
      <c r="X17" s="2">
        <f t="shared" si="2"/>
        <v>30160.48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--686.63</f>
        <v>686.63</v>
      </c>
      <c r="E19" s="2"/>
      <c r="F19" s="19"/>
      <c r="G19" s="2"/>
      <c r="H19" s="2"/>
      <c r="I19" s="2"/>
      <c r="J19" s="19"/>
      <c r="K19" s="2"/>
      <c r="L19" s="2">
        <f t="shared" si="0"/>
        <v>686.63</v>
      </c>
      <c r="M19" s="2"/>
      <c r="N19" s="19">
        <f t="shared" si="1"/>
        <v>0</v>
      </c>
      <c r="O19" s="11"/>
      <c r="P19" s="2">
        <f>--827.39</f>
        <v>827.39</v>
      </c>
      <c r="Q19" s="2"/>
      <c r="R19" s="19"/>
      <c r="S19" s="2"/>
      <c r="T19" s="2"/>
      <c r="U19" s="2"/>
      <c r="V19" s="19"/>
      <c r="W19" s="2"/>
      <c r="X19" s="2">
        <f t="shared" si="2"/>
        <v>827.39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--171.13</f>
        <v>171.13</v>
      </c>
      <c r="E20" s="2"/>
      <c r="F20" s="19"/>
      <c r="G20" s="2"/>
      <c r="H20" s="2"/>
      <c r="I20" s="2"/>
      <c r="J20" s="19"/>
      <c r="K20" s="2"/>
      <c r="L20" s="2">
        <f t="shared" si="0"/>
        <v>171.13</v>
      </c>
      <c r="M20" s="2"/>
      <c r="N20" s="19">
        <f t="shared" si="1"/>
        <v>0</v>
      </c>
      <c r="O20" s="11"/>
      <c r="P20" s="2">
        <f>--694.22</f>
        <v>694.22</v>
      </c>
      <c r="Q20" s="2"/>
      <c r="R20" s="19"/>
      <c r="S20" s="2"/>
      <c r="T20" s="2"/>
      <c r="U20" s="2"/>
      <c r="V20" s="19"/>
      <c r="W20" s="2"/>
      <c r="X20" s="2">
        <f t="shared" si="2"/>
        <v>694.22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--2.98</f>
        <v>2.98</v>
      </c>
      <c r="E21" s="2"/>
      <c r="F21" s="19"/>
      <c r="G21" s="2"/>
      <c r="H21" s="2"/>
      <c r="I21" s="2"/>
      <c r="J21" s="19"/>
      <c r="K21" s="2"/>
      <c r="L21" s="2">
        <f t="shared" si="0"/>
        <v>2.98</v>
      </c>
      <c r="M21" s="2"/>
      <c r="N21" s="19">
        <f t="shared" si="1"/>
        <v>0</v>
      </c>
      <c r="O21" s="11"/>
      <c r="P21" s="2">
        <f>--225.67</f>
        <v>225.67</v>
      </c>
      <c r="Q21" s="2"/>
      <c r="R21" s="19"/>
      <c r="S21" s="2"/>
      <c r="T21" s="2"/>
      <c r="U21" s="2"/>
      <c r="V21" s="19"/>
      <c r="W21" s="2"/>
      <c r="X21" s="2">
        <f t="shared" si="2"/>
        <v>225.67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--394.68</f>
        <v>394.68</v>
      </c>
      <c r="E22" s="2"/>
      <c r="F22" s="19"/>
      <c r="G22" s="2"/>
      <c r="H22" s="2"/>
      <c r="I22" s="2"/>
      <c r="J22" s="19"/>
      <c r="K22" s="2"/>
      <c r="L22" s="2">
        <f t="shared" si="0"/>
        <v>394.68</v>
      </c>
      <c r="M22" s="2"/>
      <c r="N22" s="19">
        <f t="shared" si="1"/>
        <v>0</v>
      </c>
      <c r="O22" s="11"/>
      <c r="P22" s="2">
        <f>--2454.83</f>
        <v>2454.83</v>
      </c>
      <c r="Q22" s="2"/>
      <c r="R22" s="19"/>
      <c r="S22" s="2"/>
      <c r="T22" s="2"/>
      <c r="U22" s="2"/>
      <c r="V22" s="19"/>
      <c r="W22" s="2"/>
      <c r="X22" s="2">
        <f t="shared" si="2"/>
        <v>2454.83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--14.95</f>
        <v>14.95</v>
      </c>
      <c r="E23" s="2"/>
      <c r="F23" s="19"/>
      <c r="G23" s="2"/>
      <c r="H23" s="2"/>
      <c r="I23" s="2"/>
      <c r="J23" s="19"/>
      <c r="K23" s="2"/>
      <c r="L23" s="2">
        <f t="shared" si="0"/>
        <v>14.95</v>
      </c>
      <c r="M23" s="2"/>
      <c r="N23" s="19">
        <f t="shared" si="1"/>
        <v>0</v>
      </c>
      <c r="O23" s="11"/>
      <c r="P23" s="2">
        <f>--29.9</f>
        <v>29.9</v>
      </c>
      <c r="Q23" s="2"/>
      <c r="R23" s="19"/>
      <c r="S23" s="2"/>
      <c r="T23" s="2"/>
      <c r="U23" s="2"/>
      <c r="V23" s="19"/>
      <c r="W23" s="2"/>
      <c r="X23" s="2">
        <f t="shared" si="2"/>
        <v>29.9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--10035.97</f>
        <v>10035.969999999999</v>
      </c>
      <c r="E24" s="2"/>
      <c r="F24" s="19"/>
      <c r="G24" s="2"/>
      <c r="H24" s="2"/>
      <c r="I24" s="2"/>
      <c r="J24" s="19"/>
      <c r="K24" s="2"/>
      <c r="L24" s="2">
        <f t="shared" si="0"/>
        <v>10035.969999999999</v>
      </c>
      <c r="M24" s="2"/>
      <c r="N24" s="19">
        <f t="shared" si="1"/>
        <v>0</v>
      </c>
      <c r="O24" s="11"/>
      <c r="P24" s="2">
        <f>--26332.04</f>
        <v>26332.04</v>
      </c>
      <c r="Q24" s="2"/>
      <c r="R24" s="19"/>
      <c r="S24" s="2"/>
      <c r="T24" s="2"/>
      <c r="U24" s="2"/>
      <c r="V24" s="19"/>
      <c r="W24" s="2"/>
      <c r="X24" s="2">
        <f t="shared" si="2"/>
        <v>26332.04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--12565.24</f>
        <v>12565.24</v>
      </c>
      <c r="E25" s="2"/>
      <c r="F25" s="19"/>
      <c r="G25" s="2"/>
      <c r="H25" s="2"/>
      <c r="I25" s="2"/>
      <c r="J25" s="19"/>
      <c r="K25" s="2"/>
      <c r="L25" s="2">
        <f t="shared" si="0"/>
        <v>12565.24</v>
      </c>
      <c r="M25" s="2"/>
      <c r="N25" s="19">
        <f t="shared" si="1"/>
        <v>0</v>
      </c>
      <c r="O25" s="11"/>
      <c r="P25" s="2">
        <f>--37064.54</f>
        <v>37064.54</v>
      </c>
      <c r="Q25" s="2"/>
      <c r="R25" s="19"/>
      <c r="S25" s="2"/>
      <c r="T25" s="2"/>
      <c r="U25" s="2"/>
      <c r="V25" s="19"/>
      <c r="W25" s="2"/>
      <c r="X25" s="2">
        <f t="shared" si="2"/>
        <v>37064.54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--20952.95</f>
        <v>20952.95</v>
      </c>
      <c r="E26" s="2"/>
      <c r="F26" s="19"/>
      <c r="G26" s="2"/>
      <c r="H26" s="2"/>
      <c r="I26" s="2"/>
      <c r="J26" s="19"/>
      <c r="K26" s="2"/>
      <c r="L26" s="2">
        <f t="shared" si="0"/>
        <v>20952.95</v>
      </c>
      <c r="M26" s="2"/>
      <c r="N26" s="19">
        <f t="shared" si="1"/>
        <v>0</v>
      </c>
      <c r="O26" s="11"/>
      <c r="P26" s="2">
        <f>--144273.54</f>
        <v>144273.54</v>
      </c>
      <c r="Q26" s="2"/>
      <c r="R26" s="19"/>
      <c r="S26" s="2"/>
      <c r="T26" s="2"/>
      <c r="U26" s="2"/>
      <c r="V26" s="19"/>
      <c r="W26" s="2"/>
      <c r="X26" s="2">
        <f t="shared" si="2"/>
        <v>144273.54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--45836.99</f>
        <v>45836.99</v>
      </c>
      <c r="E27" s="2"/>
      <c r="F27" s="19"/>
      <c r="G27" s="2"/>
      <c r="H27" s="2"/>
      <c r="I27" s="2"/>
      <c r="J27" s="19"/>
      <c r="K27" s="2"/>
      <c r="L27" s="2">
        <f t="shared" si="0"/>
        <v>45836.99</v>
      </c>
      <c r="M27" s="2"/>
      <c r="N27" s="19">
        <f t="shared" si="1"/>
        <v>0</v>
      </c>
      <c r="O27" s="11"/>
      <c r="P27" s="2">
        <f>--146564.67</f>
        <v>146564.67000000001</v>
      </c>
      <c r="Q27" s="2"/>
      <c r="R27" s="19"/>
      <c r="S27" s="2"/>
      <c r="T27" s="2"/>
      <c r="U27" s="2"/>
      <c r="V27" s="19"/>
      <c r="W27" s="2"/>
      <c r="X27" s="2">
        <f t="shared" si="2"/>
        <v>146564.67000000001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--100.46</f>
        <v>100.46</v>
      </c>
      <c r="E28" s="2"/>
      <c r="F28" s="19"/>
      <c r="G28" s="2"/>
      <c r="H28" s="2"/>
      <c r="I28" s="2"/>
      <c r="J28" s="19"/>
      <c r="K28" s="2"/>
      <c r="L28" s="2">
        <f t="shared" si="0"/>
        <v>100.46</v>
      </c>
      <c r="M28" s="2"/>
      <c r="N28" s="19">
        <f t="shared" si="1"/>
        <v>0</v>
      </c>
      <c r="O28" s="11"/>
      <c r="P28" s="2">
        <f>--221.28</f>
        <v>221.28</v>
      </c>
      <c r="Q28" s="2"/>
      <c r="R28" s="19"/>
      <c r="S28" s="2"/>
      <c r="T28" s="2"/>
      <c r="U28" s="2"/>
      <c r="V28" s="19"/>
      <c r="W28" s="2"/>
      <c r="X28" s="2">
        <f t="shared" si="2"/>
        <v>221.28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--59190.6</f>
        <v>59190.6</v>
      </c>
      <c r="E29" s="2"/>
      <c r="F29" s="19"/>
      <c r="G29" s="2"/>
      <c r="H29" s="2"/>
      <c r="I29" s="2"/>
      <c r="J29" s="19"/>
      <c r="K29" s="2"/>
      <c r="L29" s="2">
        <f t="shared" si="0"/>
        <v>59190.6</v>
      </c>
      <c r="M29" s="2"/>
      <c r="N29" s="19">
        <f t="shared" si="1"/>
        <v>0</v>
      </c>
      <c r="O29" s="11"/>
      <c r="P29" s="2">
        <f>--131868.29</f>
        <v>131868.29</v>
      </c>
      <c r="Q29" s="2"/>
      <c r="R29" s="19"/>
      <c r="S29" s="2"/>
      <c r="T29" s="2"/>
      <c r="U29" s="2"/>
      <c r="V29" s="19"/>
      <c r="W29" s="2"/>
      <c r="X29" s="2">
        <f t="shared" si="2"/>
        <v>131868.29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--44.43</f>
        <v>44.43</v>
      </c>
      <c r="E30" s="2"/>
      <c r="F30" s="19"/>
      <c r="G30" s="2"/>
      <c r="H30" s="2"/>
      <c r="I30" s="2"/>
      <c r="J30" s="19"/>
      <c r="K30" s="2"/>
      <c r="L30" s="2">
        <f t="shared" si="0"/>
        <v>44.43</v>
      </c>
      <c r="M30" s="2"/>
      <c r="N30" s="19">
        <f t="shared" si="1"/>
        <v>0</v>
      </c>
      <c r="O30" s="11"/>
      <c r="P30" s="2">
        <f>--85.4</f>
        <v>85.4</v>
      </c>
      <c r="Q30" s="2"/>
      <c r="R30" s="19"/>
      <c r="S30" s="2"/>
      <c r="T30" s="2"/>
      <c r="U30" s="2"/>
      <c r="V30" s="19"/>
      <c r="W30" s="2"/>
      <c r="X30" s="2">
        <f t="shared" si="2"/>
        <v>85.4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--2386.44</f>
        <v>2386.44</v>
      </c>
      <c r="E31" s="2"/>
      <c r="F31" s="19"/>
      <c r="G31" s="2"/>
      <c r="H31" s="2"/>
      <c r="I31" s="2"/>
      <c r="J31" s="19"/>
      <c r="K31" s="2"/>
      <c r="L31" s="2">
        <f t="shared" si="0"/>
        <v>2386.44</v>
      </c>
      <c r="M31" s="2"/>
      <c r="N31" s="19">
        <f t="shared" si="1"/>
        <v>0</v>
      </c>
      <c r="O31" s="11"/>
      <c r="P31" s="2">
        <f>--5396.32</f>
        <v>5396.32</v>
      </c>
      <c r="Q31" s="2"/>
      <c r="R31" s="19"/>
      <c r="S31" s="2"/>
      <c r="T31" s="2"/>
      <c r="U31" s="2"/>
      <c r="V31" s="19"/>
      <c r="W31" s="2"/>
      <c r="X31" s="2">
        <f t="shared" si="2"/>
        <v>5396.32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--425.93</f>
        <v>425.93</v>
      </c>
      <c r="E32" s="2"/>
      <c r="F32" s="19"/>
      <c r="G32" s="2"/>
      <c r="H32" s="2"/>
      <c r="I32" s="2"/>
      <c r="J32" s="19"/>
      <c r="K32" s="2"/>
      <c r="L32" s="2">
        <f t="shared" si="0"/>
        <v>425.93</v>
      </c>
      <c r="M32" s="2"/>
      <c r="N32" s="19">
        <f t="shared" si="1"/>
        <v>0</v>
      </c>
      <c r="O32" s="11"/>
      <c r="P32" s="2">
        <f>--864.36</f>
        <v>864.36</v>
      </c>
      <c r="Q32" s="2"/>
      <c r="R32" s="19"/>
      <c r="S32" s="2"/>
      <c r="T32" s="2"/>
      <c r="U32" s="2"/>
      <c r="V32" s="19"/>
      <c r="W32" s="2"/>
      <c r="X32" s="2">
        <f t="shared" si="2"/>
        <v>864.36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--128.42</f>
        <v>128.41999999999999</v>
      </c>
      <c r="E33" s="2"/>
      <c r="F33" s="19"/>
      <c r="G33" s="2"/>
      <c r="H33" s="2"/>
      <c r="I33" s="2"/>
      <c r="J33" s="19"/>
      <c r="K33" s="2"/>
      <c r="L33" s="2">
        <f t="shared" si="0"/>
        <v>128.41999999999999</v>
      </c>
      <c r="M33" s="2"/>
      <c r="N33" s="19">
        <f t="shared" si="1"/>
        <v>0</v>
      </c>
      <c r="O33" s="11"/>
      <c r="P33" s="2">
        <f>--302.57</f>
        <v>302.57</v>
      </c>
      <c r="Q33" s="2"/>
      <c r="R33" s="19"/>
      <c r="S33" s="2"/>
      <c r="T33" s="2"/>
      <c r="U33" s="2"/>
      <c r="V33" s="19"/>
      <c r="W33" s="2"/>
      <c r="X33" s="2">
        <f t="shared" si="2"/>
        <v>302.57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--215340.93</f>
        <v>215340.93</v>
      </c>
      <c r="E34" s="2"/>
      <c r="F34" s="19"/>
      <c r="G34" s="2"/>
      <c r="H34" s="2"/>
      <c r="I34" s="2"/>
      <c r="J34" s="19"/>
      <c r="K34" s="2"/>
      <c r="L34" s="2">
        <f t="shared" si="0"/>
        <v>215340.93</v>
      </c>
      <c r="M34" s="2"/>
      <c r="N34" s="19">
        <f t="shared" si="1"/>
        <v>0</v>
      </c>
      <c r="O34" s="11"/>
      <c r="P34" s="2">
        <f>--848240.45</f>
        <v>848240.45</v>
      </c>
      <c r="Q34" s="2"/>
      <c r="R34" s="19"/>
      <c r="S34" s="2"/>
      <c r="T34" s="2"/>
      <c r="U34" s="2"/>
      <c r="V34" s="19"/>
      <c r="W34" s="2"/>
      <c r="X34" s="2">
        <f t="shared" si="2"/>
        <v>848240.45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--27181.29</f>
        <v>27181.29</v>
      </c>
      <c r="E35" s="2"/>
      <c r="F35" s="19"/>
      <c r="G35" s="2"/>
      <c r="H35" s="2"/>
      <c r="I35" s="2"/>
      <c r="J35" s="19"/>
      <c r="K35" s="2"/>
      <c r="L35" s="2">
        <f t="shared" si="0"/>
        <v>27181.29</v>
      </c>
      <c r="M35" s="2"/>
      <c r="N35" s="19">
        <f t="shared" si="1"/>
        <v>0</v>
      </c>
      <c r="O35" s="11"/>
      <c r="P35" s="2">
        <f>--228813.9</f>
        <v>228813.9</v>
      </c>
      <c r="Q35" s="2"/>
      <c r="R35" s="19"/>
      <c r="S35" s="2"/>
      <c r="T35" s="2"/>
      <c r="U35" s="2"/>
      <c r="V35" s="19"/>
      <c r="W35" s="2"/>
      <c r="X35" s="2">
        <f t="shared" si="2"/>
        <v>228813.9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--29192.1</f>
        <v>29192.1</v>
      </c>
      <c r="E36" s="2"/>
      <c r="F36" s="19"/>
      <c r="G36" s="2"/>
      <c r="H36" s="2"/>
      <c r="I36" s="2"/>
      <c r="J36" s="19"/>
      <c r="K36" s="2"/>
      <c r="L36" s="2">
        <f t="shared" si="0"/>
        <v>29192.1</v>
      </c>
      <c r="M36" s="2"/>
      <c r="N36" s="19">
        <f t="shared" si="1"/>
        <v>0</v>
      </c>
      <c r="O36" s="11"/>
      <c r="P36" s="2">
        <f>--124310.37</f>
        <v>124310.37</v>
      </c>
      <c r="Q36" s="2"/>
      <c r="R36" s="19"/>
      <c r="S36" s="2"/>
      <c r="T36" s="2"/>
      <c r="U36" s="2"/>
      <c r="V36" s="19"/>
      <c r="W36" s="2"/>
      <c r="X36" s="2">
        <f t="shared" si="2"/>
        <v>124310.37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--63.04</f>
        <v>63.04</v>
      </c>
      <c r="E37" s="2"/>
      <c r="F37" s="19"/>
      <c r="G37" s="2"/>
      <c r="H37" s="2"/>
      <c r="I37" s="2"/>
      <c r="J37" s="19"/>
      <c r="K37" s="2"/>
      <c r="L37" s="2">
        <f t="shared" si="0"/>
        <v>63.04</v>
      </c>
      <c r="M37" s="2"/>
      <c r="N37" s="19">
        <f t="shared" si="1"/>
        <v>0</v>
      </c>
      <c r="O37" s="11"/>
      <c r="P37" s="2">
        <f>--520.85</f>
        <v>520.85</v>
      </c>
      <c r="Q37" s="2"/>
      <c r="R37" s="19"/>
      <c r="S37" s="2"/>
      <c r="T37" s="2"/>
      <c r="U37" s="2"/>
      <c r="V37" s="19"/>
      <c r="W37" s="2"/>
      <c r="X37" s="2">
        <f t="shared" si="2"/>
        <v>520.85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--4838.74</f>
        <v>4838.74</v>
      </c>
      <c r="E38" s="2"/>
      <c r="F38" s="19"/>
      <c r="G38" s="2"/>
      <c r="H38" s="2"/>
      <c r="I38" s="2"/>
      <c r="J38" s="19"/>
      <c r="K38" s="2"/>
      <c r="L38" s="2">
        <f t="shared" si="0"/>
        <v>4838.74</v>
      </c>
      <c r="M38" s="2"/>
      <c r="N38" s="19">
        <f t="shared" si="1"/>
        <v>0</v>
      </c>
      <c r="O38" s="11"/>
      <c r="P38" s="2">
        <f>--33067.15</f>
        <v>33067.15</v>
      </c>
      <c r="Q38" s="2"/>
      <c r="R38" s="19"/>
      <c r="S38" s="2"/>
      <c r="T38" s="2"/>
      <c r="U38" s="2"/>
      <c r="V38" s="19"/>
      <c r="W38" s="2"/>
      <c r="X38" s="2">
        <f t="shared" si="2"/>
        <v>33067.15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--4525.99</f>
        <v>4525.99</v>
      </c>
      <c r="E39" s="2"/>
      <c r="F39" s="19"/>
      <c r="G39" s="2"/>
      <c r="H39" s="2"/>
      <c r="I39" s="2"/>
      <c r="J39" s="19"/>
      <c r="K39" s="2"/>
      <c r="L39" s="2">
        <f t="shared" si="0"/>
        <v>4525.99</v>
      </c>
      <c r="M39" s="2"/>
      <c r="N39" s="19">
        <f t="shared" si="1"/>
        <v>0</v>
      </c>
      <c r="O39" s="11"/>
      <c r="P39" s="2">
        <f>--35853.1</f>
        <v>35853.1</v>
      </c>
      <c r="Q39" s="2"/>
      <c r="R39" s="19"/>
      <c r="S39" s="2"/>
      <c r="T39" s="2"/>
      <c r="U39" s="2"/>
      <c r="V39" s="19"/>
      <c r="W39" s="2"/>
      <c r="X39" s="2">
        <f t="shared" si="2"/>
        <v>35853.1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--402.65</f>
        <v>402.65</v>
      </c>
      <c r="E40" s="2"/>
      <c r="F40" s="19"/>
      <c r="G40" s="2"/>
      <c r="H40" s="2"/>
      <c r="I40" s="2"/>
      <c r="J40" s="19"/>
      <c r="K40" s="2"/>
      <c r="L40" s="2">
        <f t="shared" si="0"/>
        <v>402.65</v>
      </c>
      <c r="M40" s="2"/>
      <c r="N40" s="19">
        <f t="shared" si="1"/>
        <v>0</v>
      </c>
      <c r="O40" s="11"/>
      <c r="P40" s="2">
        <f>--1374</f>
        <v>1374</v>
      </c>
      <c r="Q40" s="2"/>
      <c r="R40" s="19"/>
      <c r="S40" s="2"/>
      <c r="T40" s="2"/>
      <c r="U40" s="2"/>
      <c r="V40" s="19"/>
      <c r="W40" s="2"/>
      <c r="X40" s="2">
        <f t="shared" si="2"/>
        <v>1374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--35500.4</f>
        <v>35500.400000000001</v>
      </c>
      <c r="E41" s="2"/>
      <c r="F41" s="19"/>
      <c r="G41" s="2"/>
      <c r="H41" s="2"/>
      <c r="I41" s="2"/>
      <c r="J41" s="19"/>
      <c r="K41" s="2"/>
      <c r="L41" s="2">
        <f t="shared" si="0"/>
        <v>35500.400000000001</v>
      </c>
      <c r="M41" s="2"/>
      <c r="N41" s="19">
        <f t="shared" si="1"/>
        <v>0</v>
      </c>
      <c r="O41" s="11"/>
      <c r="P41" s="2">
        <f>--74419.27</f>
        <v>74419.27</v>
      </c>
      <c r="Q41" s="2"/>
      <c r="R41" s="19"/>
      <c r="S41" s="2"/>
      <c r="T41" s="2"/>
      <c r="U41" s="2"/>
      <c r="V41" s="19"/>
      <c r="W41" s="2"/>
      <c r="X41" s="2">
        <f t="shared" si="2"/>
        <v>74419.27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--873.49</f>
        <v>873.49</v>
      </c>
      <c r="E42" s="2"/>
      <c r="F42" s="19"/>
      <c r="G42" s="2"/>
      <c r="H42" s="2"/>
      <c r="I42" s="2"/>
      <c r="J42" s="19"/>
      <c r="K42" s="2"/>
      <c r="L42" s="2">
        <f t="shared" si="0"/>
        <v>873.49</v>
      </c>
      <c r="M42" s="2"/>
      <c r="N42" s="19">
        <f t="shared" si="1"/>
        <v>0</v>
      </c>
      <c r="O42" s="11"/>
      <c r="P42" s="2">
        <f>--1792.91</f>
        <v>1792.91</v>
      </c>
      <c r="Q42" s="2"/>
      <c r="R42" s="19"/>
      <c r="S42" s="2"/>
      <c r="T42" s="2"/>
      <c r="U42" s="2"/>
      <c r="V42" s="19"/>
      <c r="W42" s="2"/>
      <c r="X42" s="2">
        <f t="shared" si="2"/>
        <v>1792.91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--162</f>
        <v>162</v>
      </c>
      <c r="Q43" s="2"/>
      <c r="R43" s="19"/>
      <c r="S43" s="2"/>
      <c r="T43" s="2"/>
      <c r="U43" s="2"/>
      <c r="V43" s="19"/>
      <c r="W43" s="2"/>
      <c r="X43" s="2">
        <f t="shared" si="2"/>
        <v>162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--129.89</f>
        <v>129.88999999999999</v>
      </c>
      <c r="E44" s="2"/>
      <c r="F44" s="19"/>
      <c r="G44" s="2"/>
      <c r="H44" s="2"/>
      <c r="I44" s="2"/>
      <c r="J44" s="19"/>
      <c r="K44" s="2"/>
      <c r="L44" s="2">
        <f t="shared" si="0"/>
        <v>129.88999999999999</v>
      </c>
      <c r="M44" s="2"/>
      <c r="N44" s="19">
        <f t="shared" si="1"/>
        <v>0</v>
      </c>
      <c r="O44" s="11"/>
      <c r="P44" s="2">
        <f>--429.69</f>
        <v>429.69</v>
      </c>
      <c r="Q44" s="2"/>
      <c r="R44" s="19"/>
      <c r="S44" s="2"/>
      <c r="T44" s="2"/>
      <c r="U44" s="2"/>
      <c r="V44" s="19"/>
      <c r="W44" s="2"/>
      <c r="X44" s="2">
        <f t="shared" si="2"/>
        <v>429.69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--80.97</f>
        <v>80.97</v>
      </c>
      <c r="E45" s="2"/>
      <c r="F45" s="19"/>
      <c r="G45" s="2"/>
      <c r="H45" s="2"/>
      <c r="I45" s="2"/>
      <c r="J45" s="19"/>
      <c r="K45" s="2"/>
      <c r="L45" s="2">
        <f t="shared" si="0"/>
        <v>80.97</v>
      </c>
      <c r="M45" s="2"/>
      <c r="N45" s="19">
        <f t="shared" si="1"/>
        <v>0</v>
      </c>
      <c r="O45" s="11"/>
      <c r="P45" s="2">
        <f>--534.79</f>
        <v>534.79</v>
      </c>
      <c r="Q45" s="2"/>
      <c r="R45" s="19"/>
      <c r="S45" s="2"/>
      <c r="T45" s="2"/>
      <c r="U45" s="2"/>
      <c r="V45" s="19"/>
      <c r="W45" s="2"/>
      <c r="X45" s="2">
        <f t="shared" si="2"/>
        <v>534.79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--1178.45</f>
        <v>1178.45</v>
      </c>
      <c r="E46" s="2"/>
      <c r="F46" s="19"/>
      <c r="G46" s="2"/>
      <c r="H46" s="2"/>
      <c r="I46" s="2"/>
      <c r="J46" s="19"/>
      <c r="K46" s="2"/>
      <c r="L46" s="2">
        <f t="shared" si="0"/>
        <v>1178.45</v>
      </c>
      <c r="M46" s="2"/>
      <c r="N46" s="19">
        <f t="shared" si="1"/>
        <v>0</v>
      </c>
      <c r="O46" s="11"/>
      <c r="P46" s="2">
        <f>--5051.08</f>
        <v>5051.08</v>
      </c>
      <c r="Q46" s="2"/>
      <c r="R46" s="19"/>
      <c r="S46" s="2"/>
      <c r="T46" s="2"/>
      <c r="U46" s="2"/>
      <c r="V46" s="19"/>
      <c r="W46" s="2"/>
      <c r="X46" s="2">
        <f t="shared" si="2"/>
        <v>5051.08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--43.76</f>
        <v>43.76</v>
      </c>
      <c r="E47" s="2"/>
      <c r="F47" s="19"/>
      <c r="G47" s="2"/>
      <c r="H47" s="2"/>
      <c r="I47" s="2"/>
      <c r="J47" s="19"/>
      <c r="K47" s="2"/>
      <c r="L47" s="2">
        <f t="shared" si="0"/>
        <v>43.76</v>
      </c>
      <c r="M47" s="2"/>
      <c r="N47" s="19">
        <f t="shared" si="1"/>
        <v>0</v>
      </c>
      <c r="O47" s="11"/>
      <c r="P47" s="2">
        <f>--244.61</f>
        <v>244.61</v>
      </c>
      <c r="Q47" s="2"/>
      <c r="R47" s="19"/>
      <c r="S47" s="2"/>
      <c r="T47" s="2"/>
      <c r="U47" s="2"/>
      <c r="V47" s="19"/>
      <c r="W47" s="2"/>
      <c r="X47" s="2">
        <f t="shared" si="2"/>
        <v>244.61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--3713.9</f>
        <v>3713.9</v>
      </c>
      <c r="E48" s="2"/>
      <c r="F48" s="19"/>
      <c r="G48" s="2"/>
      <c r="H48" s="2">
        <v>480219.00000000006</v>
      </c>
      <c r="I48" s="2"/>
      <c r="J48" s="19"/>
      <c r="K48" s="2"/>
      <c r="L48" s="2">
        <f t="shared" si="0"/>
        <v>-476505.10000000003</v>
      </c>
      <c r="M48" s="2"/>
      <c r="N48" s="19">
        <f t="shared" si="1"/>
        <v>-0.99226623686276461</v>
      </c>
      <c r="O48" s="11"/>
      <c r="P48" s="2">
        <f>--335381.67</f>
        <v>335381.67</v>
      </c>
      <c r="Q48" s="2"/>
      <c r="R48" s="19"/>
      <c r="S48" s="2"/>
      <c r="T48" s="2">
        <v>4068703</v>
      </c>
      <c r="U48" s="2"/>
      <c r="V48" s="19"/>
      <c r="W48" s="2"/>
      <c r="X48" s="2">
        <f t="shared" si="2"/>
        <v>-3733321.33</v>
      </c>
      <c r="Y48" s="2"/>
      <c r="Z48" s="19">
        <f t="shared" si="3"/>
        <v>-0.91757037316314316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--8438.54</f>
        <v>8438.5400000000009</v>
      </c>
      <c r="E49" s="2"/>
      <c r="F49" s="19"/>
      <c r="G49" s="2"/>
      <c r="H49" s="2"/>
      <c r="I49" s="2"/>
      <c r="J49" s="19"/>
      <c r="K49" s="2"/>
      <c r="L49" s="2">
        <f t="shared" si="0"/>
        <v>8438.5400000000009</v>
      </c>
      <c r="M49" s="2"/>
      <c r="N49" s="19">
        <f t="shared" si="1"/>
        <v>0</v>
      </c>
      <c r="O49" s="11"/>
      <c r="P49" s="2">
        <f>--92331.09</f>
        <v>92331.09</v>
      </c>
      <c r="Q49" s="2"/>
      <c r="R49" s="19"/>
      <c r="S49" s="2"/>
      <c r="T49" s="2"/>
      <c r="U49" s="2"/>
      <c r="V49" s="19"/>
      <c r="W49" s="2"/>
      <c r="X49" s="2">
        <f t="shared" si="2"/>
        <v>92331.09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--578.81</f>
        <v>578.80999999999995</v>
      </c>
      <c r="E50" s="2"/>
      <c r="F50" s="19"/>
      <c r="G50" s="2"/>
      <c r="H50" s="2"/>
      <c r="I50" s="2"/>
      <c r="J50" s="19"/>
      <c r="K50" s="2"/>
      <c r="L50" s="2">
        <f t="shared" si="0"/>
        <v>578.80999999999995</v>
      </c>
      <c r="M50" s="2"/>
      <c r="N50" s="19">
        <f t="shared" si="1"/>
        <v>0</v>
      </c>
      <c r="O50" s="11"/>
      <c r="P50" s="2">
        <f>--37022.32</f>
        <v>37022.32</v>
      </c>
      <c r="Q50" s="2"/>
      <c r="R50" s="19"/>
      <c r="S50" s="2"/>
      <c r="T50" s="2"/>
      <c r="U50" s="2"/>
      <c r="V50" s="19"/>
      <c r="W50" s="2"/>
      <c r="X50" s="2">
        <f t="shared" si="2"/>
        <v>37022.32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--329.98</f>
        <v>329.98</v>
      </c>
      <c r="Q51" s="2"/>
      <c r="R51" s="19"/>
      <c r="S51" s="2"/>
      <c r="T51" s="2"/>
      <c r="U51" s="2"/>
      <c r="V51" s="19"/>
      <c r="W51" s="2"/>
      <c r="X51" s="2">
        <f t="shared" si="2"/>
        <v>329.98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--1559.03</f>
        <v>1559.03</v>
      </c>
      <c r="E52" s="2"/>
      <c r="F52" s="19"/>
      <c r="G52" s="2"/>
      <c r="H52" s="2"/>
      <c r="I52" s="2"/>
      <c r="J52" s="19"/>
      <c r="K52" s="2"/>
      <c r="L52" s="2">
        <f t="shared" si="0"/>
        <v>1559.03</v>
      </c>
      <c r="M52" s="2"/>
      <c r="N52" s="19">
        <f t="shared" si="1"/>
        <v>0</v>
      </c>
      <c r="O52" s="11"/>
      <c r="P52" s="2">
        <f>--320492.85</f>
        <v>320492.84999999998</v>
      </c>
      <c r="Q52" s="2"/>
      <c r="R52" s="19"/>
      <c r="S52" s="2"/>
      <c r="T52" s="2"/>
      <c r="U52" s="2"/>
      <c r="V52" s="19"/>
      <c r="W52" s="2"/>
      <c r="X52" s="2">
        <f t="shared" si="2"/>
        <v>320492.84999999998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--757.3</f>
        <v>757.3</v>
      </c>
      <c r="E53" s="2"/>
      <c r="F53" s="19"/>
      <c r="G53" s="2"/>
      <c r="H53" s="2"/>
      <c r="I53" s="2"/>
      <c r="J53" s="19"/>
      <c r="K53" s="2"/>
      <c r="L53" s="2">
        <f t="shared" si="0"/>
        <v>757.3</v>
      </c>
      <c r="M53" s="2"/>
      <c r="N53" s="19">
        <f t="shared" si="1"/>
        <v>0</v>
      </c>
      <c r="O53" s="11"/>
      <c r="P53" s="2">
        <f>--7099.47</f>
        <v>7099.47</v>
      </c>
      <c r="Q53" s="2"/>
      <c r="R53" s="19"/>
      <c r="S53" s="2"/>
      <c r="T53" s="2"/>
      <c r="U53" s="2"/>
      <c r="V53" s="19"/>
      <c r="W53" s="2"/>
      <c r="X53" s="2">
        <f t="shared" si="2"/>
        <v>7099.47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ref="D54:D56" si="4"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/>
      <c r="U54" s="2"/>
      <c r="V54" s="19"/>
      <c r="W54" s="2"/>
      <c r="X54" s="2">
        <f t="shared" si="2"/>
        <v>1146.72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 t="shared" si="4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--20.92</f>
        <v>20.92</v>
      </c>
      <c r="Q55" s="2"/>
      <c r="R55" s="19"/>
      <c r="S55" s="2"/>
      <c r="T55" s="2"/>
      <c r="U55" s="2"/>
      <c r="V55" s="19"/>
      <c r="W55" s="2"/>
      <c r="X55" s="2">
        <f t="shared" si="2"/>
        <v>20.92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si="4"/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--124.18</f>
        <v>124.18</v>
      </c>
      <c r="Q56" s="2"/>
      <c r="R56" s="19"/>
      <c r="S56" s="2"/>
      <c r="T56" s="2"/>
      <c r="U56" s="2"/>
      <c r="V56" s="19"/>
      <c r="W56" s="2"/>
      <c r="X56" s="2">
        <f t="shared" si="2"/>
        <v>124.18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--115.27</f>
        <v>115.27</v>
      </c>
      <c r="E57" s="2"/>
      <c r="F57" s="19"/>
      <c r="G57" s="2"/>
      <c r="H57" s="2"/>
      <c r="I57" s="2"/>
      <c r="J57" s="19"/>
      <c r="K57" s="2"/>
      <c r="L57" s="2">
        <f t="shared" si="0"/>
        <v>115.27</v>
      </c>
      <c r="M57" s="2"/>
      <c r="N57" s="19">
        <f t="shared" si="1"/>
        <v>0</v>
      </c>
      <c r="O57" s="11"/>
      <c r="P57" s="2">
        <f>--1458.53</f>
        <v>1458.53</v>
      </c>
      <c r="Q57" s="2"/>
      <c r="R57" s="19"/>
      <c r="S57" s="2"/>
      <c r="T57" s="2"/>
      <c r="U57" s="2"/>
      <c r="V57" s="19"/>
      <c r="W57" s="2"/>
      <c r="X57" s="2">
        <f t="shared" si="2"/>
        <v>1458.53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--179.63</f>
        <v>179.63</v>
      </c>
      <c r="E58" s="2"/>
      <c r="F58" s="19"/>
      <c r="G58" s="2"/>
      <c r="H58" s="2"/>
      <c r="I58" s="2"/>
      <c r="J58" s="19"/>
      <c r="K58" s="2"/>
      <c r="L58" s="2">
        <f t="shared" si="0"/>
        <v>179.63</v>
      </c>
      <c r="M58" s="2"/>
      <c r="N58" s="19">
        <f t="shared" si="1"/>
        <v>0</v>
      </c>
      <c r="O58" s="11"/>
      <c r="P58" s="2">
        <f>--2597.12</f>
        <v>2597.12</v>
      </c>
      <c r="Q58" s="2"/>
      <c r="R58" s="19"/>
      <c r="S58" s="2"/>
      <c r="T58" s="2"/>
      <c r="U58" s="2"/>
      <c r="V58" s="19"/>
      <c r="W58" s="2"/>
      <c r="X58" s="2">
        <f t="shared" si="2"/>
        <v>2597.12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--85.82</f>
        <v>85.82</v>
      </c>
      <c r="E59" s="2"/>
      <c r="F59" s="19"/>
      <c r="G59" s="2"/>
      <c r="H59" s="2"/>
      <c r="I59" s="2"/>
      <c r="J59" s="19"/>
      <c r="K59" s="2"/>
      <c r="L59" s="2">
        <f t="shared" si="0"/>
        <v>85.82</v>
      </c>
      <c r="M59" s="2"/>
      <c r="N59" s="19">
        <f t="shared" si="1"/>
        <v>0</v>
      </c>
      <c r="O59" s="11"/>
      <c r="P59" s="2">
        <f>--348.72</f>
        <v>348.72</v>
      </c>
      <c r="Q59" s="2"/>
      <c r="R59" s="19"/>
      <c r="S59" s="2"/>
      <c r="T59" s="2"/>
      <c r="U59" s="2"/>
      <c r="V59" s="19"/>
      <c r="W59" s="2"/>
      <c r="X59" s="2">
        <f t="shared" si="2"/>
        <v>348.72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--13457.13</f>
        <v>13457.13</v>
      </c>
      <c r="E60" s="2"/>
      <c r="F60" s="19"/>
      <c r="G60" s="2"/>
      <c r="H60" s="2"/>
      <c r="I60" s="2"/>
      <c r="J60" s="19"/>
      <c r="K60" s="2"/>
      <c r="L60" s="2">
        <f t="shared" si="0"/>
        <v>13457.13</v>
      </c>
      <c r="M60" s="2"/>
      <c r="N60" s="19">
        <f t="shared" si="1"/>
        <v>0</v>
      </c>
      <c r="O60" s="11"/>
      <c r="P60" s="2">
        <f>--26722.42</f>
        <v>26722.42</v>
      </c>
      <c r="Q60" s="2"/>
      <c r="R60" s="19"/>
      <c r="S60" s="2"/>
      <c r="T60" s="2"/>
      <c r="U60" s="2"/>
      <c r="V60" s="19"/>
      <c r="W60" s="2"/>
      <c r="X60" s="2">
        <f t="shared" si="2"/>
        <v>26722.42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--243120.09</f>
        <v>243120.09</v>
      </c>
      <c r="E61" s="2"/>
      <c r="F61" s="19"/>
      <c r="G61" s="2"/>
      <c r="H61" s="2"/>
      <c r="I61" s="2"/>
      <c r="J61" s="19"/>
      <c r="K61" s="2"/>
      <c r="L61" s="2">
        <f t="shared" si="0"/>
        <v>243120.09</v>
      </c>
      <c r="M61" s="2"/>
      <c r="N61" s="19">
        <f t="shared" si="1"/>
        <v>0</v>
      </c>
      <c r="O61" s="11"/>
      <c r="P61" s="2">
        <f>--522872.45</f>
        <v>522872.45</v>
      </c>
      <c r="Q61" s="2"/>
      <c r="R61" s="19"/>
      <c r="S61" s="2"/>
      <c r="T61" s="2"/>
      <c r="U61" s="2"/>
      <c r="V61" s="19"/>
      <c r="W61" s="2"/>
      <c r="X61" s="2">
        <f t="shared" si="2"/>
        <v>522872.45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--3801.88</f>
        <v>3801.88</v>
      </c>
      <c r="E62" s="2"/>
      <c r="F62" s="19"/>
      <c r="G62" s="2"/>
      <c r="H62" s="2"/>
      <c r="I62" s="2"/>
      <c r="J62" s="19"/>
      <c r="K62" s="2"/>
      <c r="L62" s="2">
        <f t="shared" si="0"/>
        <v>3801.88</v>
      </c>
      <c r="M62" s="2"/>
      <c r="N62" s="19">
        <f t="shared" si="1"/>
        <v>0</v>
      </c>
      <c r="O62" s="11"/>
      <c r="P62" s="2">
        <f>--8466.86</f>
        <v>8466.86</v>
      </c>
      <c r="Q62" s="2"/>
      <c r="R62" s="19"/>
      <c r="S62" s="2"/>
      <c r="T62" s="2"/>
      <c r="U62" s="2"/>
      <c r="V62" s="19"/>
      <c r="W62" s="2"/>
      <c r="X62" s="2">
        <f t="shared" si="2"/>
        <v>8466.86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--0.39</f>
        <v>0.39</v>
      </c>
      <c r="Q63" s="2"/>
      <c r="R63" s="19"/>
      <c r="S63" s="2"/>
      <c r="T63" s="2"/>
      <c r="U63" s="2"/>
      <c r="V63" s="19"/>
      <c r="W63" s="2"/>
      <c r="X63" s="2">
        <f t="shared" si="2"/>
        <v>0.39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--17.9</f>
        <v>17.899999999999999</v>
      </c>
      <c r="E64" s="2"/>
      <c r="F64" s="19"/>
      <c r="G64" s="2"/>
      <c r="H64" s="2"/>
      <c r="I64" s="2"/>
      <c r="J64" s="19"/>
      <c r="K64" s="2"/>
      <c r="L64" s="2">
        <f t="shared" si="0"/>
        <v>17.899999999999999</v>
      </c>
      <c r="M64" s="2"/>
      <c r="N64" s="19">
        <f t="shared" si="1"/>
        <v>0</v>
      </c>
      <c r="O64" s="11"/>
      <c r="P64" s="2">
        <f>--103.96</f>
        <v>103.96</v>
      </c>
      <c r="Q64" s="2"/>
      <c r="R64" s="19"/>
      <c r="S64" s="2"/>
      <c r="T64" s="2"/>
      <c r="U64" s="2"/>
      <c r="V64" s="19"/>
      <c r="W64" s="2"/>
      <c r="X64" s="2">
        <f t="shared" si="2"/>
        <v>103.96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--2252.19</f>
        <v>2252.19</v>
      </c>
      <c r="E65" s="2"/>
      <c r="F65" s="19"/>
      <c r="G65" s="2"/>
      <c r="H65" s="2"/>
      <c r="I65" s="2"/>
      <c r="J65" s="19"/>
      <c r="K65" s="2"/>
      <c r="L65" s="2">
        <f t="shared" si="0"/>
        <v>2252.19</v>
      </c>
      <c r="M65" s="2"/>
      <c r="N65" s="19">
        <f t="shared" si="1"/>
        <v>0</v>
      </c>
      <c r="O65" s="11"/>
      <c r="P65" s="2">
        <f>--5114.15</f>
        <v>5114.1499999999996</v>
      </c>
      <c r="Q65" s="2"/>
      <c r="R65" s="19"/>
      <c r="S65" s="2"/>
      <c r="T65" s="2"/>
      <c r="U65" s="2"/>
      <c r="V65" s="19"/>
      <c r="W65" s="2"/>
      <c r="X65" s="2">
        <f t="shared" si="2"/>
        <v>5114.1499999999996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--4377.82</f>
        <v>4377.82</v>
      </c>
      <c r="E66" s="2"/>
      <c r="F66" s="19"/>
      <c r="G66" s="2"/>
      <c r="H66" s="2"/>
      <c r="I66" s="2"/>
      <c r="J66" s="19"/>
      <c r="K66" s="2"/>
      <c r="L66" s="2">
        <f t="shared" si="0"/>
        <v>4377.82</v>
      </c>
      <c r="M66" s="2"/>
      <c r="N66" s="19">
        <f t="shared" si="1"/>
        <v>0</v>
      </c>
      <c r="O66" s="11"/>
      <c r="P66" s="2">
        <f>--12635.52</f>
        <v>12635.52</v>
      </c>
      <c r="Q66" s="2"/>
      <c r="R66" s="19"/>
      <c r="S66" s="2"/>
      <c r="T66" s="2"/>
      <c r="U66" s="2"/>
      <c r="V66" s="19"/>
      <c r="W66" s="2"/>
      <c r="X66" s="2">
        <f t="shared" si="2"/>
        <v>12635.52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--581.29</f>
        <v>581.29</v>
      </c>
      <c r="E67" s="2"/>
      <c r="F67" s="19"/>
      <c r="G67" s="2"/>
      <c r="H67" s="2"/>
      <c r="I67" s="2"/>
      <c r="J67" s="19"/>
      <c r="K67" s="2"/>
      <c r="L67" s="2">
        <f t="shared" si="0"/>
        <v>581.29</v>
      </c>
      <c r="M67" s="2"/>
      <c r="N67" s="19">
        <f t="shared" si="1"/>
        <v>0</v>
      </c>
      <c r="O67" s="11"/>
      <c r="P67" s="2">
        <f>--1395.93</f>
        <v>1395.93</v>
      </c>
      <c r="Q67" s="2"/>
      <c r="R67" s="19"/>
      <c r="S67" s="2"/>
      <c r="T67" s="2"/>
      <c r="U67" s="2"/>
      <c r="V67" s="19"/>
      <c r="W67" s="2"/>
      <c r="X67" s="2">
        <f t="shared" si="2"/>
        <v>1395.93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--2883.11</f>
        <v>2883.11</v>
      </c>
      <c r="E68" s="2"/>
      <c r="F68" s="19"/>
      <c r="G68" s="2"/>
      <c r="H68" s="2"/>
      <c r="I68" s="2"/>
      <c r="J68" s="19"/>
      <c r="K68" s="2"/>
      <c r="L68" s="2">
        <f t="shared" si="0"/>
        <v>2883.11</v>
      </c>
      <c r="M68" s="2"/>
      <c r="N68" s="19">
        <f t="shared" si="1"/>
        <v>0</v>
      </c>
      <c r="O68" s="11"/>
      <c r="P68" s="2">
        <f>--5919.61</f>
        <v>5919.61</v>
      </c>
      <c r="Q68" s="2"/>
      <c r="R68" s="19"/>
      <c r="S68" s="2"/>
      <c r="T68" s="2"/>
      <c r="U68" s="2"/>
      <c r="V68" s="19"/>
      <c r="W68" s="2"/>
      <c r="X68" s="2">
        <f t="shared" si="2"/>
        <v>5919.61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--71.85</f>
        <v>71.849999999999994</v>
      </c>
      <c r="E69" s="2"/>
      <c r="F69" s="19"/>
      <c r="G69" s="2"/>
      <c r="H69" s="2"/>
      <c r="I69" s="2"/>
      <c r="J69" s="19"/>
      <c r="K69" s="2"/>
      <c r="L69" s="2">
        <f t="shared" si="0"/>
        <v>71.849999999999994</v>
      </c>
      <c r="M69" s="2"/>
      <c r="N69" s="19">
        <f t="shared" si="1"/>
        <v>0</v>
      </c>
      <c r="O69" s="11"/>
      <c r="P69" s="2">
        <f>--211.61</f>
        <v>211.61</v>
      </c>
      <c r="Q69" s="2"/>
      <c r="R69" s="19"/>
      <c r="S69" s="2"/>
      <c r="T69" s="2"/>
      <c r="U69" s="2"/>
      <c r="V69" s="19"/>
      <c r="W69" s="2"/>
      <c r="X69" s="2">
        <f t="shared" si="2"/>
        <v>211.61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--90</f>
        <v>90</v>
      </c>
      <c r="Q70" s="2"/>
      <c r="R70" s="19"/>
      <c r="S70" s="2"/>
      <c r="T70" s="2"/>
      <c r="U70" s="2"/>
      <c r="V70" s="19"/>
      <c r="W70" s="2"/>
      <c r="X70" s="2">
        <f t="shared" si="2"/>
        <v>90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--40316.8</f>
        <v>40316.800000000003</v>
      </c>
      <c r="E71" s="2"/>
      <c r="F71" s="19"/>
      <c r="G71" s="2"/>
      <c r="H71" s="2"/>
      <c r="I71" s="2"/>
      <c r="J71" s="19"/>
      <c r="K71" s="2"/>
      <c r="L71" s="2">
        <f t="shared" si="0"/>
        <v>40316.800000000003</v>
      </c>
      <c r="M71" s="2"/>
      <c r="N71" s="19">
        <f t="shared" si="1"/>
        <v>0</v>
      </c>
      <c r="O71" s="11"/>
      <c r="P71" s="2">
        <f>--90410.3</f>
        <v>90410.3</v>
      </c>
      <c r="Q71" s="2"/>
      <c r="R71" s="19"/>
      <c r="S71" s="2"/>
      <c r="T71" s="2"/>
      <c r="U71" s="2"/>
      <c r="V71" s="19"/>
      <c r="W71" s="2"/>
      <c r="X71" s="2">
        <f t="shared" si="2"/>
        <v>90410.3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-240</f>
        <v>-240</v>
      </c>
      <c r="E72" s="2"/>
      <c r="F72" s="19"/>
      <c r="G72" s="2"/>
      <c r="H72" s="2"/>
      <c r="I72" s="2"/>
      <c r="J72" s="19"/>
      <c r="K72" s="2"/>
      <c r="L72" s="2">
        <f t="shared" si="0"/>
        <v>-240</v>
      </c>
      <c r="M72" s="2"/>
      <c r="N72" s="19">
        <f t="shared" si="1"/>
        <v>0</v>
      </c>
      <c r="O72" s="11"/>
      <c r="P72" s="2">
        <f>--174.9</f>
        <v>174.9</v>
      </c>
      <c r="Q72" s="2"/>
      <c r="R72" s="19"/>
      <c r="S72" s="2"/>
      <c r="T72" s="2"/>
      <c r="U72" s="2"/>
      <c r="V72" s="19"/>
      <c r="W72" s="2"/>
      <c r="X72" s="2">
        <f t="shared" si="2"/>
        <v>174.9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--192132.5</f>
        <v>192132.5</v>
      </c>
      <c r="E73" s="2"/>
      <c r="F73" s="19"/>
      <c r="G73" s="2"/>
      <c r="H73" s="2"/>
      <c r="I73" s="2"/>
      <c r="J73" s="19"/>
      <c r="K73" s="2"/>
      <c r="L73" s="2">
        <f t="shared" si="0"/>
        <v>192132.5</v>
      </c>
      <c r="M73" s="2"/>
      <c r="N73" s="19">
        <f t="shared" si="1"/>
        <v>0</v>
      </c>
      <c r="O73" s="11"/>
      <c r="P73" s="2">
        <f>--388922.83</f>
        <v>388922.83</v>
      </c>
      <c r="Q73" s="2"/>
      <c r="R73" s="19"/>
      <c r="S73" s="2"/>
      <c r="T73" s="2"/>
      <c r="U73" s="2"/>
      <c r="V73" s="19"/>
      <c r="W73" s="2"/>
      <c r="X73" s="2">
        <f t="shared" si="2"/>
        <v>388922.83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--2874</f>
        <v>2874</v>
      </c>
      <c r="E74" s="2"/>
      <c r="F74" s="19"/>
      <c r="G74" s="2"/>
      <c r="H74" s="2"/>
      <c r="I74" s="2"/>
      <c r="J74" s="19"/>
      <c r="K74" s="2"/>
      <c r="L74" s="2">
        <f t="shared" si="0"/>
        <v>2874</v>
      </c>
      <c r="M74" s="2"/>
      <c r="N74" s="19">
        <f t="shared" si="1"/>
        <v>0</v>
      </c>
      <c r="O74" s="11"/>
      <c r="P74" s="2">
        <f>--5280.5</f>
        <v>5280.5</v>
      </c>
      <c r="Q74" s="2"/>
      <c r="R74" s="19"/>
      <c r="S74" s="2"/>
      <c r="T74" s="2"/>
      <c r="U74" s="2"/>
      <c r="V74" s="19"/>
      <c r="W74" s="2"/>
      <c r="X74" s="2">
        <f t="shared" si="2"/>
        <v>5280.5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--4.01</f>
        <v>4.01</v>
      </c>
      <c r="E75" s="2"/>
      <c r="F75" s="19"/>
      <c r="G75" s="2"/>
      <c r="H75" s="2"/>
      <c r="I75" s="2"/>
      <c r="J75" s="19"/>
      <c r="K75" s="2"/>
      <c r="L75" s="2">
        <f t="shared" si="0"/>
        <v>4.01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/>
      <c r="U75" s="2"/>
      <c r="V75" s="19"/>
      <c r="W75" s="2"/>
      <c r="X75" s="2">
        <f t="shared" si="2"/>
        <v>-30.97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-4543.92</f>
        <v>-4543.92</v>
      </c>
      <c r="E76" s="2"/>
      <c r="F76" s="19"/>
      <c r="G76" s="2"/>
      <c r="H76" s="2"/>
      <c r="I76" s="2"/>
      <c r="J76" s="19"/>
      <c r="K76" s="2"/>
      <c r="L76" s="2">
        <f t="shared" si="0"/>
        <v>-4543.92</v>
      </c>
      <c r="M76" s="2"/>
      <c r="N76" s="19">
        <f t="shared" si="1"/>
        <v>0</v>
      </c>
      <c r="O76" s="11"/>
      <c r="P76" s="2">
        <f>-77783.67</f>
        <v>-77783.67</v>
      </c>
      <c r="Q76" s="2"/>
      <c r="R76" s="19"/>
      <c r="S76" s="2"/>
      <c r="T76" s="2"/>
      <c r="U76" s="2"/>
      <c r="V76" s="19"/>
      <c r="W76" s="2"/>
      <c r="X76" s="2">
        <f t="shared" si="2"/>
        <v>-77783.67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-3577.9</f>
        <v>-3577.9</v>
      </c>
      <c r="E77" s="2"/>
      <c r="F77" s="19"/>
      <c r="G77" s="2"/>
      <c r="H77" s="2"/>
      <c r="I77" s="2"/>
      <c r="J77" s="19"/>
      <c r="K77" s="2"/>
      <c r="L77" s="2">
        <f t="shared" si="0"/>
        <v>-3577.9</v>
      </c>
      <c r="M77" s="2"/>
      <c r="N77" s="19">
        <f t="shared" si="1"/>
        <v>0</v>
      </c>
      <c r="O77" s="11"/>
      <c r="P77" s="2">
        <f>-26929</f>
        <v>-26929</v>
      </c>
      <c r="Q77" s="2"/>
      <c r="R77" s="19"/>
      <c r="S77" s="2"/>
      <c r="T77" s="2"/>
      <c r="U77" s="2"/>
      <c r="V77" s="19"/>
      <c r="W77" s="2"/>
      <c r="X77" s="2">
        <f t="shared" si="2"/>
        <v>-26929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>-193.34</f>
        <v>-193.34</v>
      </c>
      <c r="E79" s="2"/>
      <c r="F79" s="19"/>
      <c r="G79" s="2"/>
      <c r="H79" s="2"/>
      <c r="I79" s="2"/>
      <c r="J79" s="19"/>
      <c r="K79" s="2"/>
      <c r="L79" s="2">
        <f t="shared" si="0"/>
        <v>-193.34</v>
      </c>
      <c r="M79" s="2"/>
      <c r="N79" s="19">
        <f t="shared" si="1"/>
        <v>0</v>
      </c>
      <c r="O79" s="11"/>
      <c r="P79" s="2">
        <f>-11250.06</f>
        <v>-11250.06</v>
      </c>
      <c r="Q79" s="2"/>
      <c r="R79" s="19"/>
      <c r="S79" s="2"/>
      <c r="T79" s="2"/>
      <c r="U79" s="2"/>
      <c r="V79" s="19"/>
      <c r="W79" s="2"/>
      <c r="X79" s="2">
        <f t="shared" si="2"/>
        <v>-11250.06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-35.37</f>
        <v>-35.369999999999997</v>
      </c>
      <c r="E80" s="2"/>
      <c r="F80" s="19"/>
      <c r="G80" s="2"/>
      <c r="H80" s="2"/>
      <c r="I80" s="2"/>
      <c r="J80" s="19"/>
      <c r="K80" s="2"/>
      <c r="L80" s="2">
        <f t="shared" si="0"/>
        <v>-35.369999999999997</v>
      </c>
      <c r="M80" s="2"/>
      <c r="N80" s="19">
        <f t="shared" si="1"/>
        <v>0</v>
      </c>
      <c r="O80" s="11"/>
      <c r="P80" s="2">
        <f>-35.37</f>
        <v>-35.369999999999997</v>
      </c>
      <c r="Q80" s="2"/>
      <c r="R80" s="19"/>
      <c r="S80" s="2"/>
      <c r="T80" s="2"/>
      <c r="U80" s="2"/>
      <c r="V80" s="19"/>
      <c r="W80" s="2"/>
      <c r="X80" s="2">
        <f t="shared" si="2"/>
        <v>-35.369999999999997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"4217", " - ", "NON-TAXABLE SALES-DORM/HOUSEWA")</f>
        <v xml:space="preserve">          4217 - NON-TAXABLE SALES-DORM/HOUSEWA</v>
      </c>
      <c r="C81" s="11"/>
      <c r="D81" s="2">
        <f>-2.98</f>
        <v>-2.98</v>
      </c>
      <c r="E81" s="2"/>
      <c r="F81" s="19"/>
      <c r="G81" s="2"/>
      <c r="H81" s="2"/>
      <c r="I81" s="2"/>
      <c r="J81" s="19"/>
      <c r="K81" s="2"/>
      <c r="L81" s="2">
        <f t="shared" si="0"/>
        <v>-2.98</v>
      </c>
      <c r="M81" s="2"/>
      <c r="N81" s="19">
        <f t="shared" si="1"/>
        <v>0</v>
      </c>
      <c r="O81" s="11"/>
      <c r="P81" s="2">
        <f>-2.98</f>
        <v>-2.98</v>
      </c>
      <c r="Q81" s="2"/>
      <c r="R81" s="19"/>
      <c r="S81" s="2"/>
      <c r="T81" s="2"/>
      <c r="U81" s="2"/>
      <c r="V81" s="19"/>
      <c r="W81" s="2"/>
      <c r="X81" s="2">
        <f t="shared" si="2"/>
        <v>-2.98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"4218", " - ", "SALES RETURN TAXABLE-STUDY GUI")</f>
        <v xml:space="preserve">          4218 - SALES RETURN TAXABLE-STUDY GUI</v>
      </c>
      <c r="C82" s="11"/>
      <c r="D82" s="2">
        <f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-32.75</f>
        <v>-32.75</v>
      </c>
      <c r="Q82" s="2"/>
      <c r="R82" s="19"/>
      <c r="S82" s="2"/>
      <c r="T82" s="2"/>
      <c r="U82" s="2"/>
      <c r="V82" s="19"/>
      <c r="W82" s="2"/>
      <c r="X82" s="2">
        <f t="shared" si="2"/>
        <v>-32.75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"4225", " - ", "SALES RETURN TAXABLE-TEST FORM")</f>
        <v xml:space="preserve">          4225 - SALES RETURN TAXABLE-TEST FORM</v>
      </c>
      <c r="C83" s="11"/>
      <c r="D83" s="2">
        <f>-8.45</f>
        <v>-8.4499999999999993</v>
      </c>
      <c r="E83" s="2"/>
      <c r="F83" s="19"/>
      <c r="G83" s="2"/>
      <c r="H83" s="2"/>
      <c r="I83" s="2"/>
      <c r="J83" s="19"/>
      <c r="K83" s="2"/>
      <c r="L83" s="2">
        <f t="shared" si="0"/>
        <v>-8.4499999999999993</v>
      </c>
      <c r="M83" s="2"/>
      <c r="N83" s="19">
        <f t="shared" si="1"/>
        <v>0</v>
      </c>
      <c r="O83" s="11"/>
      <c r="P83" s="2">
        <f>-41.55</f>
        <v>-41.55</v>
      </c>
      <c r="Q83" s="2"/>
      <c r="R83" s="19"/>
      <c r="S83" s="2"/>
      <c r="T83" s="2"/>
      <c r="U83" s="2"/>
      <c r="V83" s="19"/>
      <c r="W83" s="2"/>
      <c r="X83" s="2">
        <f t="shared" si="2"/>
        <v>-41.55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"4226", " - ", "SALES RETURN TAXABLE-WRITING I")</f>
        <v xml:space="preserve">          4226 - SALES RETURN TAXABLE-WRITING I</v>
      </c>
      <c r="C84" s="11"/>
      <c r="D84" s="2">
        <f>-166.9</f>
        <v>-166.9</v>
      </c>
      <c r="E84" s="2"/>
      <c r="F84" s="19"/>
      <c r="G84" s="2"/>
      <c r="H84" s="2"/>
      <c r="I84" s="2"/>
      <c r="J84" s="19"/>
      <c r="K84" s="2"/>
      <c r="L84" s="2">
        <f t="shared" si="0"/>
        <v>-166.9</v>
      </c>
      <c r="M84" s="2"/>
      <c r="N84" s="19">
        <f t="shared" si="1"/>
        <v>0</v>
      </c>
      <c r="O84" s="11"/>
      <c r="P84" s="2">
        <f>-475.97</f>
        <v>-475.97</v>
      </c>
      <c r="Q84" s="2"/>
      <c r="R84" s="19"/>
      <c r="S84" s="2"/>
      <c r="T84" s="2"/>
      <c r="U84" s="2"/>
      <c r="V84" s="19"/>
      <c r="W84" s="2"/>
      <c r="X84" s="2">
        <f t="shared" si="2"/>
        <v>-475.97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"4227", " - ", "SALES RETURN TAXABLE-SCHOOL SU")</f>
        <v xml:space="preserve">          4227 - SALES RETURN TAXABLE-SCHOOL SU</v>
      </c>
      <c r="C85" s="11"/>
      <c r="D85" s="2">
        <f>-324.85</f>
        <v>-324.85000000000002</v>
      </c>
      <c r="E85" s="2"/>
      <c r="F85" s="19"/>
      <c r="G85" s="2"/>
      <c r="H85" s="2"/>
      <c r="I85" s="2"/>
      <c r="J85" s="19"/>
      <c r="K85" s="2"/>
      <c r="L85" s="2">
        <f t="shared" si="0"/>
        <v>-324.85000000000002</v>
      </c>
      <c r="M85" s="2"/>
      <c r="N85" s="19">
        <f t="shared" si="1"/>
        <v>0</v>
      </c>
      <c r="O85" s="11"/>
      <c r="P85" s="2">
        <f>-4826.48</f>
        <v>-4826.4799999999996</v>
      </c>
      <c r="Q85" s="2"/>
      <c r="R85" s="19"/>
      <c r="S85" s="2"/>
      <c r="T85" s="2"/>
      <c r="U85" s="2"/>
      <c r="V85" s="19"/>
      <c r="W85" s="2"/>
      <c r="X85" s="2">
        <f t="shared" si="2"/>
        <v>-4826.4799999999996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"4228", " - ", "SALES RETURN TAXABLE-ART/TECH")</f>
        <v xml:space="preserve">          4228 - SALES RETURN TAXABLE-ART/TECH</v>
      </c>
      <c r="C86" s="11"/>
      <c r="D86" s="2">
        <f>-502.99</f>
        <v>-502.99</v>
      </c>
      <c r="E86" s="2"/>
      <c r="F86" s="19"/>
      <c r="G86" s="2"/>
      <c r="H86" s="2"/>
      <c r="I86" s="2"/>
      <c r="J86" s="19"/>
      <c r="K86" s="2"/>
      <c r="L86" s="2">
        <f t="shared" si="0"/>
        <v>-502.99</v>
      </c>
      <c r="M86" s="2"/>
      <c r="N86" s="19">
        <f t="shared" si="1"/>
        <v>0</v>
      </c>
      <c r="O86" s="11"/>
      <c r="P86" s="2">
        <f>-2430.26</f>
        <v>-2430.2600000000002</v>
      </c>
      <c r="Q86" s="2"/>
      <c r="R86" s="19"/>
      <c r="S86" s="2"/>
      <c r="T86" s="2"/>
      <c r="U86" s="2"/>
      <c r="V86" s="19"/>
      <c r="W86" s="2"/>
      <c r="X86" s="2">
        <f t="shared" si="2"/>
        <v>-2430.2600000000002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-9501.82</f>
        <v>-9501.82</v>
      </c>
      <c r="E87" s="2"/>
      <c r="F87" s="19"/>
      <c r="G87" s="2"/>
      <c r="H87" s="2"/>
      <c r="I87" s="2"/>
      <c r="J87" s="19"/>
      <c r="K87" s="2"/>
      <c r="L87" s="2">
        <f t="shared" si="0"/>
        <v>-9501.82</v>
      </c>
      <c r="M87" s="2"/>
      <c r="N87" s="19">
        <f t="shared" si="1"/>
        <v>0</v>
      </c>
      <c r="O87" s="11"/>
      <c r="P87" s="2">
        <f>-30294.8</f>
        <v>-30294.799999999999</v>
      </c>
      <c r="Q87" s="2"/>
      <c r="R87" s="19"/>
      <c r="S87" s="2"/>
      <c r="T87" s="2"/>
      <c r="U87" s="2"/>
      <c r="V87" s="19"/>
      <c r="W87" s="2"/>
      <c r="X87" s="2">
        <f t="shared" si="2"/>
        <v>-30294.799999999999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-327.07</f>
        <v>-327.07</v>
      </c>
      <c r="E88" s="2"/>
      <c r="F88" s="19"/>
      <c r="G88" s="2"/>
      <c r="H88" s="2"/>
      <c r="I88" s="2"/>
      <c r="J88" s="19"/>
      <c r="K88" s="2"/>
      <c r="L88" s="2">
        <f t="shared" si="0"/>
        <v>-327.07</v>
      </c>
      <c r="M88" s="2"/>
      <c r="N88" s="19">
        <f t="shared" si="1"/>
        <v>0</v>
      </c>
      <c r="O88" s="11"/>
      <c r="P88" s="2">
        <f>-2717.95</f>
        <v>-2717.95</v>
      </c>
      <c r="Q88" s="2"/>
      <c r="R88" s="19"/>
      <c r="S88" s="2"/>
      <c r="T88" s="2"/>
      <c r="U88" s="2"/>
      <c r="V88" s="19"/>
      <c r="W88" s="2"/>
      <c r="X88" s="2">
        <f t="shared" si="2"/>
        <v>-2717.95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-165.1</f>
        <v>-165.1</v>
      </c>
      <c r="E89" s="2"/>
      <c r="F89" s="19"/>
      <c r="G89" s="2"/>
      <c r="H89" s="2"/>
      <c r="I89" s="2"/>
      <c r="J89" s="19"/>
      <c r="K89" s="2"/>
      <c r="L89" s="2">
        <f t="shared" si="0"/>
        <v>-165.1</v>
      </c>
      <c r="M89" s="2"/>
      <c r="N89" s="19">
        <f t="shared" si="1"/>
        <v>0</v>
      </c>
      <c r="O89" s="11"/>
      <c r="P89" s="2">
        <f>-1159.57</f>
        <v>-1159.57</v>
      </c>
      <c r="Q89" s="2"/>
      <c r="R89" s="19"/>
      <c r="S89" s="2"/>
      <c r="T89" s="2"/>
      <c r="U89" s="2"/>
      <c r="V89" s="19"/>
      <c r="W89" s="2"/>
      <c r="X89" s="2">
        <f t="shared" si="2"/>
        <v>-1159.57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0</f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-4.5</f>
        <v>-4.5</v>
      </c>
      <c r="Q90" s="2"/>
      <c r="R90" s="19"/>
      <c r="S90" s="2"/>
      <c r="T90" s="2"/>
      <c r="U90" s="2"/>
      <c r="V90" s="19"/>
      <c r="W90" s="2"/>
      <c r="X90" s="2">
        <f t="shared" si="2"/>
        <v>-4.5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-177.85</f>
        <v>-177.85</v>
      </c>
      <c r="E91" s="2"/>
      <c r="F91" s="19"/>
      <c r="G91" s="2"/>
      <c r="H91" s="2"/>
      <c r="I91" s="2"/>
      <c r="J91" s="19"/>
      <c r="K91" s="2"/>
      <c r="L91" s="2">
        <f t="shared" si="0"/>
        <v>-177.85</v>
      </c>
      <c r="M91" s="2"/>
      <c r="N91" s="19">
        <f t="shared" si="1"/>
        <v>0</v>
      </c>
      <c r="O91" s="11"/>
      <c r="P91" s="2">
        <f>-1432.36</f>
        <v>-1432.36</v>
      </c>
      <c r="Q91" s="2"/>
      <c r="R91" s="19"/>
      <c r="S91" s="2"/>
      <c r="T91" s="2"/>
      <c r="U91" s="2"/>
      <c r="V91" s="19"/>
      <c r="W91" s="2"/>
      <c r="X91" s="2">
        <f t="shared" si="2"/>
        <v>-1432.36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-91.96</f>
        <v>-91.96</v>
      </c>
      <c r="Q92" s="2"/>
      <c r="R92" s="19"/>
      <c r="S92" s="2"/>
      <c r="T92" s="2"/>
      <c r="U92" s="2"/>
      <c r="V92" s="19"/>
      <c r="W92" s="2"/>
      <c r="X92" s="2">
        <f t="shared" si="2"/>
        <v>-91.96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>-19.99</f>
        <v>-19.989999999999998</v>
      </c>
      <c r="E93" s="2"/>
      <c r="F93" s="19"/>
      <c r="G93" s="2"/>
      <c r="H93" s="2"/>
      <c r="I93" s="2"/>
      <c r="J93" s="19"/>
      <c r="K93" s="2"/>
      <c r="L93" s="2">
        <f t="shared" si="0"/>
        <v>-19.989999999999998</v>
      </c>
      <c r="M93" s="2"/>
      <c r="N93" s="19">
        <f t="shared" si="1"/>
        <v>0</v>
      </c>
      <c r="O93" s="11"/>
      <c r="P93" s="2">
        <f>-44.98</f>
        <v>-44.98</v>
      </c>
      <c r="Q93" s="2"/>
      <c r="R93" s="19"/>
      <c r="S93" s="2"/>
      <c r="T93" s="2"/>
      <c r="U93" s="2"/>
      <c r="V93" s="19"/>
      <c r="W93" s="2"/>
      <c r="X93" s="2">
        <f t="shared" si="2"/>
        <v>-44.98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>-39.95</f>
        <v>-39.950000000000003</v>
      </c>
      <c r="E94" s="2"/>
      <c r="F94" s="19"/>
      <c r="G94" s="2"/>
      <c r="H94" s="2"/>
      <c r="I94" s="2"/>
      <c r="J94" s="19"/>
      <c r="K94" s="2"/>
      <c r="L94" s="2">
        <f t="shared" si="0"/>
        <v>-39.950000000000003</v>
      </c>
      <c r="M94" s="2"/>
      <c r="N94" s="19">
        <f t="shared" si="1"/>
        <v>0</v>
      </c>
      <c r="O94" s="11"/>
      <c r="P94" s="2">
        <f>-409.1</f>
        <v>-409.1</v>
      </c>
      <c r="Q94" s="2"/>
      <c r="R94" s="19"/>
      <c r="S94" s="2"/>
      <c r="T94" s="2"/>
      <c r="U94" s="2"/>
      <c r="V94" s="19"/>
      <c r="W94" s="2"/>
      <c r="X94" s="2">
        <f t="shared" si="2"/>
        <v>-409.1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/>
      <c r="U95" s="2"/>
      <c r="V95" s="19"/>
      <c r="W95" s="2"/>
      <c r="X95" s="2">
        <f t="shared" si="2"/>
        <v>0.99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-5585.76</f>
        <v>-5585.76</v>
      </c>
      <c r="E96" s="2"/>
      <c r="F96" s="19"/>
      <c r="G96" s="2"/>
      <c r="H96" s="2"/>
      <c r="I96" s="2"/>
      <c r="J96" s="19"/>
      <c r="K96" s="2"/>
      <c r="L96" s="2">
        <f t="shared" si="0"/>
        <v>-5585.76</v>
      </c>
      <c r="M96" s="2"/>
      <c r="N96" s="19">
        <f t="shared" si="1"/>
        <v>0</v>
      </c>
      <c r="O96" s="11"/>
      <c r="P96" s="2">
        <f>-12310.98</f>
        <v>-12310.98</v>
      </c>
      <c r="Q96" s="2"/>
      <c r="R96" s="19"/>
      <c r="S96" s="2"/>
      <c r="T96" s="2"/>
      <c r="U96" s="2"/>
      <c r="V96" s="19"/>
      <c r="W96" s="2"/>
      <c r="X96" s="2">
        <f t="shared" si="2"/>
        <v>-12310.98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>-35.1</f>
        <v>-35.1</v>
      </c>
      <c r="E97" s="2"/>
      <c r="F97" s="19"/>
      <c r="G97" s="2"/>
      <c r="H97" s="2"/>
      <c r="I97" s="2"/>
      <c r="J97" s="19"/>
      <c r="K97" s="2"/>
      <c r="L97" s="2">
        <f t="shared" si="0"/>
        <v>-35.1</v>
      </c>
      <c r="M97" s="2"/>
      <c r="N97" s="19">
        <f t="shared" si="1"/>
        <v>0</v>
      </c>
      <c r="O97" s="11"/>
      <c r="P97" s="2">
        <f>-683.8</f>
        <v>-683.8</v>
      </c>
      <c r="Q97" s="2"/>
      <c r="R97" s="19"/>
      <c r="S97" s="2"/>
      <c r="T97" s="2"/>
      <c r="U97" s="2"/>
      <c r="V97" s="19"/>
      <c r="W97" s="2"/>
      <c r="X97" s="2">
        <f t="shared" si="2"/>
        <v>-683.8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-184.99</f>
        <v>-184.99</v>
      </c>
      <c r="Q98" s="2"/>
      <c r="R98" s="19"/>
      <c r="S98" s="2"/>
      <c r="T98" s="2"/>
      <c r="U98" s="2"/>
      <c r="V98" s="19"/>
      <c r="W98" s="2"/>
      <c r="X98" s="2">
        <f t="shared" si="2"/>
        <v>-184.99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>-617.98</f>
        <v>-617.98</v>
      </c>
      <c r="E99" s="2"/>
      <c r="F99" s="19"/>
      <c r="G99" s="2"/>
      <c r="H99" s="2"/>
      <c r="I99" s="2"/>
      <c r="J99" s="19"/>
      <c r="K99" s="2"/>
      <c r="L99" s="2">
        <f t="shared" si="0"/>
        <v>-617.98</v>
      </c>
      <c r="M99" s="2"/>
      <c r="N99" s="19">
        <f t="shared" si="1"/>
        <v>0</v>
      </c>
      <c r="O99" s="11"/>
      <c r="P99" s="2">
        <f>-13133.29</f>
        <v>-13133.29</v>
      </c>
      <c r="Q99" s="2"/>
      <c r="R99" s="19"/>
      <c r="S99" s="2"/>
      <c r="T99" s="2"/>
      <c r="U99" s="2"/>
      <c r="V99" s="19"/>
      <c r="W99" s="2"/>
      <c r="X99" s="2">
        <f t="shared" si="2"/>
        <v>-13133.29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-0.02</f>
        <v>-0.02</v>
      </c>
      <c r="E100" s="2"/>
      <c r="F100" s="19"/>
      <c r="G100" s="2"/>
      <c r="H100" s="2"/>
      <c r="I100" s="2"/>
      <c r="J100" s="19"/>
      <c r="K100" s="2"/>
      <c r="L100" s="2">
        <f t="shared" si="0"/>
        <v>-0.02</v>
      </c>
      <c r="M100" s="2"/>
      <c r="N100" s="19">
        <f t="shared" si="1"/>
        <v>0</v>
      </c>
      <c r="O100" s="11"/>
      <c r="P100" s="2">
        <f>-387.96</f>
        <v>-387.96</v>
      </c>
      <c r="Q100" s="2"/>
      <c r="R100" s="19"/>
      <c r="S100" s="2"/>
      <c r="T100" s="2"/>
      <c r="U100" s="2"/>
      <c r="V100" s="19"/>
      <c r="W100" s="2"/>
      <c r="X100" s="2">
        <f t="shared" si="2"/>
        <v>-387.96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"4327", " - ", "SALES RETURN NON TAXABLE-SCHOO")</f>
        <v xml:space="preserve">          4327 - SALES RETURN NON TAXABLE-SCHOO</v>
      </c>
      <c r="C101" s="11"/>
      <c r="D101" s="2">
        <f t="shared" ref="D101:D102" si="5"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-21.87</f>
        <v>-21.87</v>
      </c>
      <c r="Q101" s="2"/>
      <c r="R101" s="19"/>
      <c r="S101" s="2"/>
      <c r="T101" s="2"/>
      <c r="U101" s="2"/>
      <c r="V101" s="19"/>
      <c r="W101" s="2"/>
      <c r="X101" s="2">
        <f t="shared" si="2"/>
        <v>-21.87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"4340", " - ", "SALES RETURN NON TAXABLE-LOGO")</f>
        <v xml:space="preserve">          4340 - SALES RETURN NON TAXABLE-LOGO</v>
      </c>
      <c r="C102" s="11"/>
      <c r="D102" s="2">
        <f t="shared" si="5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-293.45</f>
        <v>-293.45</v>
      </c>
      <c r="Q102" s="2"/>
      <c r="R102" s="19"/>
      <c r="S102" s="2"/>
      <c r="T102" s="2"/>
      <c r="U102" s="2"/>
      <c r="V102" s="19"/>
      <c r="W102" s="2"/>
      <c r="X102" s="2">
        <f t="shared" si="2"/>
        <v>-293.45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"4341", " - ", "SALES RETURN NON TAXABLE-LOGO")</f>
        <v xml:space="preserve">          4341 - SALES RETURN NON TAXABLE-LOGO</v>
      </c>
      <c r="C103" s="11"/>
      <c r="D103" s="2">
        <f>-6.95</f>
        <v>-6.95</v>
      </c>
      <c r="E103" s="2"/>
      <c r="F103" s="19"/>
      <c r="G103" s="2"/>
      <c r="H103" s="2"/>
      <c r="I103" s="2"/>
      <c r="J103" s="19"/>
      <c r="K103" s="2"/>
      <c r="L103" s="2">
        <f t="shared" si="0"/>
        <v>-6.95</v>
      </c>
      <c r="M103" s="2"/>
      <c r="N103" s="19">
        <f t="shared" si="1"/>
        <v>0</v>
      </c>
      <c r="O103" s="11"/>
      <c r="P103" s="2">
        <f>-10.9</f>
        <v>-10.9</v>
      </c>
      <c r="Q103" s="2"/>
      <c r="R103" s="19"/>
      <c r="S103" s="2"/>
      <c r="T103" s="2"/>
      <c r="U103" s="2"/>
      <c r="V103" s="19"/>
      <c r="W103" s="2"/>
      <c r="X103" s="2">
        <f t="shared" si="2"/>
        <v>-10.9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"4342", " - ", "SALES RETURN NON TAXABLE-EVERY")</f>
        <v xml:space="preserve">          4342 - SALES RETURN NON TAXABLE-EVERY</v>
      </c>
      <c r="C104" s="11"/>
      <c r="D104" s="2">
        <f>-92.85</f>
        <v>-92.85</v>
      </c>
      <c r="E104" s="2"/>
      <c r="F104" s="19"/>
      <c r="G104" s="2"/>
      <c r="H104" s="2"/>
      <c r="I104" s="2"/>
      <c r="J104" s="19"/>
      <c r="K104" s="2"/>
      <c r="L104" s="2">
        <f t="shared" si="0"/>
        <v>-92.85</v>
      </c>
      <c r="M104" s="2"/>
      <c r="N104" s="19">
        <f t="shared" si="1"/>
        <v>0</v>
      </c>
      <c r="O104" s="11"/>
      <c r="P104" s="2">
        <f>-102.85</f>
        <v>-102.85</v>
      </c>
      <c r="Q104" s="2"/>
      <c r="R104" s="19"/>
      <c r="S104" s="2"/>
      <c r="T104" s="2"/>
      <c r="U104" s="2"/>
      <c r="V104" s="19"/>
      <c r="W104" s="2"/>
      <c r="X104" s="2">
        <f t="shared" si="2"/>
        <v>-102.85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"4346", " - ", "SALES RETURN NON TAXABLE-COIN-")</f>
        <v xml:space="preserve">          4346 - SALES RETURN NON TAXABLE-COIN-</v>
      </c>
      <c r="C105" s="11"/>
      <c r="D105" s="2">
        <f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-8.15</f>
        <v>-8.15</v>
      </c>
      <c r="Q105" s="2"/>
      <c r="R105" s="19"/>
      <c r="S105" s="2"/>
      <c r="T105" s="2"/>
      <c r="U105" s="2"/>
      <c r="V105" s="19"/>
      <c r="W105" s="2"/>
      <c r="X105" s="2">
        <f t="shared" si="2"/>
        <v>-8.15</v>
      </c>
      <c r="Y105" s="2"/>
      <c r="Z105" s="19">
        <f t="shared" si="3"/>
        <v>0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collapsed="1" x14ac:dyDescent="0.25">
      <c r="A107" s="10"/>
      <c r="B107" s="29" t="s">
        <v>8</v>
      </c>
      <c r="C107" s="10"/>
      <c r="D107" s="4">
        <f>SUM(OSRRefD16x_0)</f>
        <v>472591.70999999996</v>
      </c>
      <c r="E107" s="4"/>
      <c r="F107" s="12">
        <f t="shared" ref="F107:F158" si="6">IF(D$12=0,0,D107/D$12)</f>
        <v>0.46865531466928551</v>
      </c>
      <c r="G107" s="4"/>
      <c r="H107" s="4">
        <f>SUM(OSRRefH16x_0)</f>
        <v>457703.45127999998</v>
      </c>
      <c r="I107" s="4"/>
      <c r="J107" s="12">
        <f t="shared" ref="J107:J158" si="7">IF(H$12=0,0,H107/H$12)</f>
        <v>0.4577022572904294</v>
      </c>
      <c r="K107" s="4"/>
      <c r="L107" s="4">
        <f t="shared" ref="L107:L158" si="8">+D107-H107</f>
        <v>14888.258719999983</v>
      </c>
      <c r="M107" s="4"/>
      <c r="N107" s="12">
        <f t="shared" ref="N107:N158" si="9">IF(H107=0,0,L107/H107)</f>
        <v>3.2528176657536483E-2</v>
      </c>
      <c r="O107" s="10"/>
      <c r="P107" s="4">
        <f>SUM(OSRRefP16x_0)</f>
        <v>3348731.82</v>
      </c>
      <c r="Q107" s="4"/>
      <c r="R107" s="12">
        <f t="shared" ref="R107:R158" si="10">IF(P$12=0,0,P107/P$12)</f>
        <v>0.58351574772098169</v>
      </c>
      <c r="S107" s="4"/>
      <c r="T107" s="4">
        <f>SUM(OSRRefT16x_0)</f>
        <v>3481895.7184700002</v>
      </c>
      <c r="U107" s="4"/>
      <c r="V107" s="12">
        <f t="shared" ref="V107:V158" si="11">IF(T$12=0,0,T107/T$12)</f>
        <v>0.57992406128851226</v>
      </c>
      <c r="W107" s="4"/>
      <c r="X107" s="4">
        <f t="shared" ref="X107:X158" si="12">+P107-T107</f>
        <v>-133163.89847000036</v>
      </c>
      <c r="Y107" s="4"/>
      <c r="Z107" s="12">
        <f t="shared" ref="Z107:Z158" si="13">IF(T107=0,0,X107/T107)</f>
        <v>-3.8244654417311119E-2</v>
      </c>
    </row>
    <row r="108" spans="1:26" s="24" customFormat="1" hidden="1" outlineLevel="1" x14ac:dyDescent="0.25">
      <c r="A108" s="44"/>
      <c r="B108" s="11" t="str">
        <f>CONCATENATE("          ", "5000", " - ", "PURCHASES @ COST")</f>
        <v xml:space="preserve">          5000 - PURCHASES @ COST</v>
      </c>
      <c r="C108" s="11"/>
      <c r="D108" s="2"/>
      <c r="E108" s="2"/>
      <c r="F108" s="19">
        <f t="shared" si="6"/>
        <v>0</v>
      </c>
      <c r="G108" s="2"/>
      <c r="H108" s="2">
        <v>457703.45127999998</v>
      </c>
      <c r="I108" s="2"/>
      <c r="J108" s="19">
        <f t="shared" si="7"/>
        <v>0.4577022572904294</v>
      </c>
      <c r="K108" s="2"/>
      <c r="L108" s="2">
        <f t="shared" si="8"/>
        <v>-457703.45127999998</v>
      </c>
      <c r="M108" s="2"/>
      <c r="N108" s="19">
        <f t="shared" si="9"/>
        <v>-1</v>
      </c>
      <c r="O108" s="11"/>
      <c r="P108" s="2"/>
      <c r="Q108" s="2"/>
      <c r="R108" s="19">
        <f t="shared" si="10"/>
        <v>0</v>
      </c>
      <c r="S108" s="2"/>
      <c r="T108" s="2">
        <v>3481895.7184700002</v>
      </c>
      <c r="U108" s="2"/>
      <c r="V108" s="19">
        <f t="shared" si="11"/>
        <v>0.57992406128851226</v>
      </c>
      <c r="W108" s="2"/>
      <c r="X108" s="2">
        <f t="shared" si="12"/>
        <v>-3481895.7184700002</v>
      </c>
      <c r="Y108" s="2"/>
      <c r="Z108" s="19">
        <f t="shared" si="13"/>
        <v>-1</v>
      </c>
    </row>
    <row r="109" spans="1:26" s="24" customFormat="1" hidden="1" outlineLevel="1" x14ac:dyDescent="0.25">
      <c r="A109" s="44"/>
      <c r="B109" s="11" t="str">
        <f>CONCATENATE("          ", "5001", " - ", "PURCHASES @ COST-NEW TEXT")</f>
        <v xml:space="preserve">          5001 - PURCHASES @ COST-NEW TEXT</v>
      </c>
      <c r="C109" s="11"/>
      <c r="D109" s="2">
        <v>-175502.53</v>
      </c>
      <c r="E109" s="2"/>
      <c r="F109" s="19">
        <f t="shared" si="6"/>
        <v>-0.17404070296198323</v>
      </c>
      <c r="G109" s="2"/>
      <c r="H109" s="2"/>
      <c r="I109" s="2"/>
      <c r="J109" s="19">
        <f t="shared" si="7"/>
        <v>0</v>
      </c>
      <c r="K109" s="2"/>
      <c r="L109" s="2">
        <f t="shared" si="8"/>
        <v>-175502.53</v>
      </c>
      <c r="M109" s="2"/>
      <c r="N109" s="19">
        <f t="shared" si="9"/>
        <v>0</v>
      </c>
      <c r="O109" s="11"/>
      <c r="P109" s="2">
        <v>1757148.42</v>
      </c>
      <c r="Q109" s="2"/>
      <c r="R109" s="19">
        <f t="shared" si="10"/>
        <v>0.30618270714584772</v>
      </c>
      <c r="S109" s="2"/>
      <c r="T109" s="2"/>
      <c r="U109" s="2"/>
      <c r="V109" s="19">
        <f t="shared" si="11"/>
        <v>0</v>
      </c>
      <c r="W109" s="2"/>
      <c r="X109" s="2">
        <f t="shared" si="12"/>
        <v>1757148.42</v>
      </c>
      <c r="Y109" s="2"/>
      <c r="Z109" s="19">
        <f t="shared" si="13"/>
        <v>0</v>
      </c>
    </row>
    <row r="110" spans="1:26" s="24" customFormat="1" hidden="1" outlineLevel="1" x14ac:dyDescent="0.25">
      <c r="A110" s="44"/>
      <c r="B110" s="11" t="str">
        <f>CONCATENATE("          ", "5002", " - ", "PURCHASES @ COST-USED TEXT")</f>
        <v xml:space="preserve">          5002 - PURCHASES @ COST-USED TEXT</v>
      </c>
      <c r="C110" s="11"/>
      <c r="D110" s="2">
        <v>14221.93</v>
      </c>
      <c r="E110" s="2"/>
      <c r="F110" s="19">
        <f t="shared" si="6"/>
        <v>1.4103470158955078E-2</v>
      </c>
      <c r="G110" s="2"/>
      <c r="H110" s="2"/>
      <c r="I110" s="2"/>
      <c r="J110" s="19">
        <f t="shared" si="7"/>
        <v>0</v>
      </c>
      <c r="K110" s="2"/>
      <c r="L110" s="2">
        <f t="shared" si="8"/>
        <v>14221.93</v>
      </c>
      <c r="M110" s="2"/>
      <c r="N110" s="19">
        <f t="shared" si="9"/>
        <v>0</v>
      </c>
      <c r="O110" s="11"/>
      <c r="P110" s="2">
        <v>368033.17</v>
      </c>
      <c r="Q110" s="2"/>
      <c r="R110" s="19">
        <f t="shared" si="10"/>
        <v>6.4129695037410658E-2</v>
      </c>
      <c r="S110" s="2"/>
      <c r="T110" s="2"/>
      <c r="U110" s="2"/>
      <c r="V110" s="19">
        <f t="shared" si="11"/>
        <v>0</v>
      </c>
      <c r="W110" s="2"/>
      <c r="X110" s="2">
        <f t="shared" si="12"/>
        <v>368033.17</v>
      </c>
      <c r="Y110" s="2"/>
      <c r="Z110" s="19">
        <f t="shared" si="13"/>
        <v>0</v>
      </c>
    </row>
    <row r="111" spans="1:26" s="24" customFormat="1" hidden="1" outlineLevel="1" x14ac:dyDescent="0.25">
      <c r="A111" s="44"/>
      <c r="B111" s="11" t="str">
        <f>CONCATENATE("          ", "5003", " - ", "PURCHASES @ COST-RENTAL TEXT")</f>
        <v xml:space="preserve">          5003 - PURCHASES @ COST-RENTAL TEXT</v>
      </c>
      <c r="C111" s="11"/>
      <c r="D111" s="2"/>
      <c r="E111" s="2"/>
      <c r="F111" s="19">
        <f t="shared" si="6"/>
        <v>0</v>
      </c>
      <c r="G111" s="2"/>
      <c r="H111" s="2"/>
      <c r="I111" s="2"/>
      <c r="J111" s="19">
        <f t="shared" si="7"/>
        <v>0</v>
      </c>
      <c r="K111" s="2"/>
      <c r="L111" s="2">
        <f t="shared" si="8"/>
        <v>0</v>
      </c>
      <c r="M111" s="2"/>
      <c r="N111" s="19">
        <f t="shared" si="9"/>
        <v>0</v>
      </c>
      <c r="O111" s="11"/>
      <c r="P111" s="2">
        <v>-78.400000000000006</v>
      </c>
      <c r="Q111" s="2"/>
      <c r="R111" s="19">
        <f t="shared" si="10"/>
        <v>-1.366118192806642E-5</v>
      </c>
      <c r="S111" s="2"/>
      <c r="T111" s="2"/>
      <c r="U111" s="2"/>
      <c r="V111" s="19">
        <f t="shared" si="11"/>
        <v>0</v>
      </c>
      <c r="W111" s="2"/>
      <c r="X111" s="2">
        <f t="shared" si="12"/>
        <v>-78.400000000000006</v>
      </c>
      <c r="Y111" s="2"/>
      <c r="Z111" s="19">
        <f t="shared" si="13"/>
        <v>0</v>
      </c>
    </row>
    <row r="112" spans="1:26" s="24" customFormat="1" hidden="1" outlineLevel="1" x14ac:dyDescent="0.25">
      <c r="A112" s="44"/>
      <c r="B112" s="11" t="str">
        <f>CONCATENATE("          ", "5004", " - ", "PURCHASES @ COST-DIGITAL TEXT")</f>
        <v xml:space="preserve">          5004 - PURCHASES @ COST-DIGITAL TEXT</v>
      </c>
      <c r="C112" s="11"/>
      <c r="D112" s="2">
        <v>-30949.360000000001</v>
      </c>
      <c r="E112" s="2"/>
      <c r="F112" s="19">
        <f t="shared" si="6"/>
        <v>-3.0691571059536783E-2</v>
      </c>
      <c r="G112" s="2"/>
      <c r="H112" s="2"/>
      <c r="I112" s="2"/>
      <c r="J112" s="19">
        <f t="shared" si="7"/>
        <v>0</v>
      </c>
      <c r="K112" s="2"/>
      <c r="L112" s="2">
        <f t="shared" si="8"/>
        <v>-30949.360000000001</v>
      </c>
      <c r="M112" s="2"/>
      <c r="N112" s="19">
        <f t="shared" si="9"/>
        <v>0</v>
      </c>
      <c r="O112" s="11"/>
      <c r="P112" s="2">
        <v>322779.02999999997</v>
      </c>
      <c r="Q112" s="2"/>
      <c r="R112" s="19">
        <f t="shared" si="10"/>
        <v>5.6244171573913364E-2</v>
      </c>
      <c r="S112" s="2"/>
      <c r="T112" s="2"/>
      <c r="U112" s="2"/>
      <c r="V112" s="19">
        <f t="shared" si="11"/>
        <v>0</v>
      </c>
      <c r="W112" s="2"/>
      <c r="X112" s="2">
        <f t="shared" si="12"/>
        <v>322779.02999999997</v>
      </c>
      <c r="Y112" s="2"/>
      <c r="Z112" s="19">
        <f t="shared" si="13"/>
        <v>0</v>
      </c>
    </row>
    <row r="113" spans="1:26" s="24" customFormat="1" hidden="1" outlineLevel="1" x14ac:dyDescent="0.25">
      <c r="A113" s="44"/>
      <c r="B113" s="11" t="str">
        <f>CONCATENATE("          ", "5011", " - ", "PURCHASES @ COST-NO VALUE TEXT")</f>
        <v xml:space="preserve">          5011 - PURCHASES @ COST-NO VALUE TEXT</v>
      </c>
      <c r="C113" s="11"/>
      <c r="D113" s="2">
        <v>90</v>
      </c>
      <c r="E113" s="2"/>
      <c r="F113" s="19">
        <f t="shared" si="6"/>
        <v>8.9250355915544298E-5</v>
      </c>
      <c r="G113" s="2"/>
      <c r="H113" s="2"/>
      <c r="I113" s="2"/>
      <c r="J113" s="19">
        <f t="shared" si="7"/>
        <v>0</v>
      </c>
      <c r="K113" s="2"/>
      <c r="L113" s="2">
        <f t="shared" si="8"/>
        <v>90</v>
      </c>
      <c r="M113" s="2"/>
      <c r="N113" s="19">
        <f t="shared" si="9"/>
        <v>0</v>
      </c>
      <c r="O113" s="11"/>
      <c r="P113" s="2">
        <v>3675</v>
      </c>
      <c r="Q113" s="2"/>
      <c r="R113" s="19">
        <f t="shared" si="10"/>
        <v>6.403679028781134E-4</v>
      </c>
      <c r="S113" s="2"/>
      <c r="T113" s="2"/>
      <c r="U113" s="2"/>
      <c r="V113" s="19">
        <f t="shared" si="11"/>
        <v>0</v>
      </c>
      <c r="W113" s="2"/>
      <c r="X113" s="2">
        <f t="shared" si="12"/>
        <v>3675</v>
      </c>
      <c r="Y113" s="2"/>
      <c r="Z113" s="19">
        <f t="shared" si="13"/>
        <v>0</v>
      </c>
    </row>
    <row r="114" spans="1:26" s="24" customFormat="1" hidden="1" outlineLevel="1" x14ac:dyDescent="0.25">
      <c r="A114" s="44"/>
      <c r="B114" s="11" t="str">
        <f>CONCATENATE("          ", "5013", " - ", "PURCHASES @ COST-TRADE BOOKS")</f>
        <v xml:space="preserve">          5013 - PURCHASES @ COST-TRADE BOOKS</v>
      </c>
      <c r="C114" s="11"/>
      <c r="D114" s="2">
        <v>212.56</v>
      </c>
      <c r="E114" s="2"/>
      <c r="F114" s="19">
        <f t="shared" si="6"/>
        <v>2.1078950726008996E-4</v>
      </c>
      <c r="G114" s="2"/>
      <c r="H114" s="2"/>
      <c r="I114" s="2"/>
      <c r="J114" s="19">
        <f t="shared" si="7"/>
        <v>0</v>
      </c>
      <c r="K114" s="2"/>
      <c r="L114" s="2">
        <f t="shared" si="8"/>
        <v>212.56</v>
      </c>
      <c r="M114" s="2"/>
      <c r="N114" s="19">
        <f t="shared" si="9"/>
        <v>0</v>
      </c>
      <c r="O114" s="11"/>
      <c r="P114" s="2">
        <v>687.35</v>
      </c>
      <c r="Q114" s="2"/>
      <c r="R114" s="19">
        <f t="shared" si="10"/>
        <v>1.1977057905939353E-4</v>
      </c>
      <c r="S114" s="2"/>
      <c r="T114" s="2"/>
      <c r="U114" s="2"/>
      <c r="V114" s="19">
        <f t="shared" si="11"/>
        <v>0</v>
      </c>
      <c r="W114" s="2"/>
      <c r="X114" s="2">
        <f t="shared" si="12"/>
        <v>687.35</v>
      </c>
      <c r="Y114" s="2"/>
      <c r="Z114" s="19">
        <f t="shared" si="13"/>
        <v>0</v>
      </c>
    </row>
    <row r="115" spans="1:26" s="24" customFormat="1" hidden="1" outlineLevel="1" x14ac:dyDescent="0.25">
      <c r="A115" s="44"/>
      <c r="B115" s="11" t="str">
        <f>CONCATENATE("          ", "5014", " - ", "PURCHASES @ COST-REMAINDERS")</f>
        <v xml:space="preserve">          5014 - PURCHASES @ COST-REMAINDERS</v>
      </c>
      <c r="C115" s="11"/>
      <c r="D115" s="2">
        <v>52</v>
      </c>
      <c r="E115" s="2"/>
      <c r="F115" s="19">
        <f t="shared" si="6"/>
        <v>5.1566872306758931E-5</v>
      </c>
      <c r="G115" s="2"/>
      <c r="H115" s="2"/>
      <c r="I115" s="2"/>
      <c r="J115" s="19">
        <f t="shared" si="7"/>
        <v>0</v>
      </c>
      <c r="K115" s="2"/>
      <c r="L115" s="2">
        <f t="shared" si="8"/>
        <v>52</v>
      </c>
      <c r="M115" s="2"/>
      <c r="N115" s="19">
        <f t="shared" si="9"/>
        <v>0</v>
      </c>
      <c r="O115" s="11"/>
      <c r="P115" s="2">
        <v>341.97</v>
      </c>
      <c r="Q115" s="2"/>
      <c r="R115" s="19">
        <f t="shared" si="10"/>
        <v>5.9588193672715221E-5</v>
      </c>
      <c r="S115" s="2"/>
      <c r="T115" s="2"/>
      <c r="U115" s="2"/>
      <c r="V115" s="19">
        <f t="shared" si="11"/>
        <v>0</v>
      </c>
      <c r="W115" s="2"/>
      <c r="X115" s="2">
        <f t="shared" si="12"/>
        <v>341.97</v>
      </c>
      <c r="Y115" s="2"/>
      <c r="Z115" s="19">
        <f t="shared" si="13"/>
        <v>0</v>
      </c>
    </row>
    <row r="116" spans="1:26" s="24" customFormat="1" hidden="1" outlineLevel="1" x14ac:dyDescent="0.25">
      <c r="A116" s="44"/>
      <c r="B116" s="11" t="str">
        <f>CONCATENATE("          ", "5017", " - ", "PURCHASES @ COST-DORM/HOUSEWAR")</f>
        <v xml:space="preserve">          5017 - PURCHASES @ COST-DORM/HOUSEWAR</v>
      </c>
      <c r="C116" s="11"/>
      <c r="D116" s="2"/>
      <c r="E116" s="2"/>
      <c r="F116" s="19">
        <f t="shared" si="6"/>
        <v>0</v>
      </c>
      <c r="G116" s="2"/>
      <c r="H116" s="2"/>
      <c r="I116" s="2"/>
      <c r="J116" s="19">
        <f t="shared" si="7"/>
        <v>0</v>
      </c>
      <c r="K116" s="2"/>
      <c r="L116" s="2">
        <f t="shared" si="8"/>
        <v>0</v>
      </c>
      <c r="M116" s="2"/>
      <c r="N116" s="19">
        <f t="shared" si="9"/>
        <v>0</v>
      </c>
      <c r="O116" s="11"/>
      <c r="P116" s="2">
        <v>0</v>
      </c>
      <c r="Q116" s="2"/>
      <c r="R116" s="19">
        <f t="shared" si="10"/>
        <v>0</v>
      </c>
      <c r="S116" s="2"/>
      <c r="T116" s="2"/>
      <c r="U116" s="2"/>
      <c r="V116" s="19">
        <f t="shared" si="11"/>
        <v>0</v>
      </c>
      <c r="W116" s="2"/>
      <c r="X116" s="2">
        <f t="shared" si="12"/>
        <v>0</v>
      </c>
      <c r="Y116" s="2"/>
      <c r="Z116" s="19">
        <f t="shared" si="13"/>
        <v>0</v>
      </c>
    </row>
    <row r="117" spans="1:26" s="24" customFormat="1" hidden="1" outlineLevel="1" x14ac:dyDescent="0.25">
      <c r="A117" s="44"/>
      <c r="B117" s="11" t="str">
        <f>CONCATENATE("          ", "5018", " - ", "PURCHASES @ COST-STUDY GUIDES")</f>
        <v xml:space="preserve">          5018 - PURCHASES @ COST-STUDY GUIDES</v>
      </c>
      <c r="C117" s="11"/>
      <c r="D117" s="2">
        <v>298.16000000000003</v>
      </c>
      <c r="E117" s="2"/>
      <c r="F117" s="19">
        <f t="shared" si="6"/>
        <v>2.9567651244198547E-4</v>
      </c>
      <c r="G117" s="2"/>
      <c r="H117" s="2"/>
      <c r="I117" s="2"/>
      <c r="J117" s="19">
        <f t="shared" si="7"/>
        <v>0</v>
      </c>
      <c r="K117" s="2"/>
      <c r="L117" s="2">
        <f t="shared" si="8"/>
        <v>298.16000000000003</v>
      </c>
      <c r="M117" s="2"/>
      <c r="N117" s="19">
        <f t="shared" si="9"/>
        <v>0</v>
      </c>
      <c r="O117" s="11"/>
      <c r="P117" s="2">
        <v>802.09</v>
      </c>
      <c r="Q117" s="2"/>
      <c r="R117" s="19">
        <f t="shared" si="10"/>
        <v>1.3976399761074992E-4</v>
      </c>
      <c r="S117" s="2"/>
      <c r="T117" s="2"/>
      <c r="U117" s="2"/>
      <c r="V117" s="19">
        <f t="shared" si="11"/>
        <v>0</v>
      </c>
      <c r="W117" s="2"/>
      <c r="X117" s="2">
        <f t="shared" si="12"/>
        <v>802.09</v>
      </c>
      <c r="Y117" s="2"/>
      <c r="Z117" s="19">
        <f t="shared" si="13"/>
        <v>0</v>
      </c>
    </row>
    <row r="118" spans="1:26" s="24" customFormat="1" hidden="1" outlineLevel="1" x14ac:dyDescent="0.25">
      <c r="A118" s="44"/>
      <c r="B118" s="11" t="str">
        <f>CONCATENATE("          ", "5025", " - ", "PURCHASES @ COST-TEST FORMS")</f>
        <v xml:space="preserve">          5025 - PURCHASES @ COST-TEST FORMS</v>
      </c>
      <c r="C118" s="11"/>
      <c r="D118" s="2">
        <v>0</v>
      </c>
      <c r="E118" s="2"/>
      <c r="F118" s="19">
        <f t="shared" si="6"/>
        <v>0</v>
      </c>
      <c r="G118" s="2"/>
      <c r="H118" s="2"/>
      <c r="I118" s="2"/>
      <c r="J118" s="19">
        <f t="shared" si="7"/>
        <v>0</v>
      </c>
      <c r="K118" s="2"/>
      <c r="L118" s="2">
        <f t="shared" si="8"/>
        <v>0</v>
      </c>
      <c r="M118" s="2"/>
      <c r="N118" s="19">
        <f t="shared" si="9"/>
        <v>0</v>
      </c>
      <c r="O118" s="11"/>
      <c r="P118" s="2">
        <v>3252.39</v>
      </c>
      <c r="Q118" s="2"/>
      <c r="R118" s="19">
        <f t="shared" si="10"/>
        <v>5.6672820779367263E-4</v>
      </c>
      <c r="S118" s="2"/>
      <c r="T118" s="2"/>
      <c r="U118" s="2"/>
      <c r="V118" s="19">
        <f t="shared" si="11"/>
        <v>0</v>
      </c>
      <c r="W118" s="2"/>
      <c r="X118" s="2">
        <f t="shared" si="12"/>
        <v>3252.39</v>
      </c>
      <c r="Y118" s="2"/>
      <c r="Z118" s="19">
        <f t="shared" si="13"/>
        <v>0</v>
      </c>
    </row>
    <row r="119" spans="1:26" s="24" customFormat="1" hidden="1" outlineLevel="1" x14ac:dyDescent="0.25">
      <c r="A119" s="44"/>
      <c r="B119" s="11" t="str">
        <f>CONCATENATE("          ", "5026", " - ", "PURCHASES @ COST-WRITING INSTR")</f>
        <v xml:space="preserve">          5026 - PURCHASES @ COST-WRITING INSTR</v>
      </c>
      <c r="C119" s="11"/>
      <c r="D119" s="2">
        <v>10530.19</v>
      </c>
      <c r="E119" s="2"/>
      <c r="F119" s="19">
        <f t="shared" si="6"/>
        <v>1.0442480059536728E-2</v>
      </c>
      <c r="G119" s="2"/>
      <c r="H119" s="2"/>
      <c r="I119" s="2"/>
      <c r="J119" s="19">
        <f t="shared" si="7"/>
        <v>0</v>
      </c>
      <c r="K119" s="2"/>
      <c r="L119" s="2">
        <f t="shared" si="8"/>
        <v>10530.19</v>
      </c>
      <c r="M119" s="2"/>
      <c r="N119" s="19">
        <f t="shared" si="9"/>
        <v>0</v>
      </c>
      <c r="O119" s="11"/>
      <c r="P119" s="2">
        <v>25317.57</v>
      </c>
      <c r="Q119" s="2"/>
      <c r="R119" s="19">
        <f t="shared" si="10"/>
        <v>4.411580736563221E-3</v>
      </c>
      <c r="S119" s="2"/>
      <c r="T119" s="2"/>
      <c r="U119" s="2"/>
      <c r="V119" s="19">
        <f t="shared" si="11"/>
        <v>0</v>
      </c>
      <c r="W119" s="2"/>
      <c r="X119" s="2">
        <f t="shared" si="12"/>
        <v>25317.57</v>
      </c>
      <c r="Y119" s="2"/>
      <c r="Z119" s="19">
        <f t="shared" si="13"/>
        <v>0</v>
      </c>
    </row>
    <row r="120" spans="1:26" s="24" customFormat="1" hidden="1" outlineLevel="1" x14ac:dyDescent="0.25">
      <c r="A120" s="44"/>
      <c r="B120" s="11" t="str">
        <f>CONCATENATE("          ", "5027", " - ", "PURCHASES @ COST-SCHOOL SUPPLI")</f>
        <v xml:space="preserve">          5027 - PURCHASES @ COST-SCHOOL SUPPLI</v>
      </c>
      <c r="C120" s="11"/>
      <c r="D120" s="2">
        <v>9839.7000000000007</v>
      </c>
      <c r="E120" s="2"/>
      <c r="F120" s="19">
        <f t="shared" si="6"/>
        <v>9.7577414122464595E-3</v>
      </c>
      <c r="G120" s="2"/>
      <c r="H120" s="2"/>
      <c r="I120" s="2"/>
      <c r="J120" s="19">
        <f t="shared" si="7"/>
        <v>0</v>
      </c>
      <c r="K120" s="2"/>
      <c r="L120" s="2">
        <f t="shared" si="8"/>
        <v>9839.7000000000007</v>
      </c>
      <c r="M120" s="2"/>
      <c r="N120" s="19">
        <f t="shared" si="9"/>
        <v>0</v>
      </c>
      <c r="O120" s="11"/>
      <c r="P120" s="2">
        <v>72022.38</v>
      </c>
      <c r="Q120" s="2"/>
      <c r="R120" s="19">
        <f t="shared" si="10"/>
        <v>1.2549883113167504E-2</v>
      </c>
      <c r="S120" s="2"/>
      <c r="T120" s="2"/>
      <c r="U120" s="2"/>
      <c r="V120" s="19">
        <f t="shared" si="11"/>
        <v>0</v>
      </c>
      <c r="W120" s="2"/>
      <c r="X120" s="2">
        <f t="shared" si="12"/>
        <v>72022.38</v>
      </c>
      <c r="Y120" s="2"/>
      <c r="Z120" s="19">
        <f t="shared" si="13"/>
        <v>0</v>
      </c>
    </row>
    <row r="121" spans="1:26" s="24" customFormat="1" hidden="1" outlineLevel="1" x14ac:dyDescent="0.25">
      <c r="A121" s="44"/>
      <c r="B121" s="11" t="str">
        <f>CONCATENATE("          ", "5028", " - ", "PURCHASES @ COST-ART/TECH")</f>
        <v xml:space="preserve">          5028 - PURCHASES @ COST-ART/TECH</v>
      </c>
      <c r="C121" s="11"/>
      <c r="D121" s="2">
        <v>19494.289999999997</v>
      </c>
      <c r="E121" s="2"/>
      <c r="F121" s="19">
        <f t="shared" si="6"/>
        <v>1.9331914675787067E-2</v>
      </c>
      <c r="G121" s="2"/>
      <c r="H121" s="2"/>
      <c r="I121" s="2"/>
      <c r="J121" s="19">
        <f t="shared" si="7"/>
        <v>0</v>
      </c>
      <c r="K121" s="2"/>
      <c r="L121" s="2">
        <f t="shared" si="8"/>
        <v>19494.289999999997</v>
      </c>
      <c r="M121" s="2"/>
      <c r="N121" s="19">
        <f t="shared" si="9"/>
        <v>0</v>
      </c>
      <c r="O121" s="11"/>
      <c r="P121" s="2">
        <v>90339.069999999992</v>
      </c>
      <c r="Q121" s="2"/>
      <c r="R121" s="19">
        <f t="shared" si="10"/>
        <v>1.5741562123499069E-2</v>
      </c>
      <c r="S121" s="2"/>
      <c r="T121" s="2"/>
      <c r="U121" s="2"/>
      <c r="V121" s="19">
        <f t="shared" si="11"/>
        <v>0</v>
      </c>
      <c r="W121" s="2"/>
      <c r="X121" s="2">
        <f t="shared" si="12"/>
        <v>90339.069999999992</v>
      </c>
      <c r="Y121" s="2"/>
      <c r="Z121" s="19">
        <f t="shared" si="13"/>
        <v>0</v>
      </c>
    </row>
    <row r="122" spans="1:26" s="24" customFormat="1" hidden="1" outlineLevel="1" x14ac:dyDescent="0.25">
      <c r="A122" s="44"/>
      <c r="B122" s="11" t="str">
        <f>CONCATENATE("          ", "5031", " - ", "PURCHASES @ COST-FOOD")</f>
        <v xml:space="preserve">          5031 - PURCHASES @ COST-FOOD</v>
      </c>
      <c r="C122" s="11"/>
      <c r="D122" s="2">
        <v>7839.04</v>
      </c>
      <c r="E122" s="2"/>
      <c r="F122" s="19">
        <f t="shared" si="6"/>
        <v>7.7737456670687599E-3</v>
      </c>
      <c r="G122" s="2"/>
      <c r="H122" s="2"/>
      <c r="I122" s="2"/>
      <c r="J122" s="19">
        <f t="shared" si="7"/>
        <v>0</v>
      </c>
      <c r="K122" s="2"/>
      <c r="L122" s="2">
        <f t="shared" si="8"/>
        <v>7839.04</v>
      </c>
      <c r="M122" s="2"/>
      <c r="N122" s="19">
        <f t="shared" si="9"/>
        <v>0</v>
      </c>
      <c r="O122" s="11"/>
      <c r="P122" s="2">
        <v>15989.089999999998</v>
      </c>
      <c r="Q122" s="2"/>
      <c r="R122" s="19">
        <f t="shared" si="10"/>
        <v>2.7860952468651461E-3</v>
      </c>
      <c r="S122" s="2"/>
      <c r="T122" s="2"/>
      <c r="U122" s="2"/>
      <c r="V122" s="19">
        <f t="shared" si="11"/>
        <v>0</v>
      </c>
      <c r="W122" s="2"/>
      <c r="X122" s="2">
        <f t="shared" si="12"/>
        <v>15989.089999999998</v>
      </c>
      <c r="Y122" s="2"/>
      <c r="Z122" s="19">
        <f t="shared" si="13"/>
        <v>0</v>
      </c>
    </row>
    <row r="123" spans="1:26" s="24" customFormat="1" hidden="1" outlineLevel="1" x14ac:dyDescent="0.25">
      <c r="A123" s="44"/>
      <c r="B123" s="11" t="str">
        <f>CONCATENATE("          ", "5032", " - ", "PURCHASES @ COST-JUICE")</f>
        <v xml:space="preserve">          5032 - PURCHASES @ COST-JUICE</v>
      </c>
      <c r="C123" s="11"/>
      <c r="D123" s="2">
        <v>2565.13</v>
      </c>
      <c r="E123" s="2"/>
      <c r="F123" s="19">
        <f t="shared" si="6"/>
        <v>2.5437640607737797E-3</v>
      </c>
      <c r="G123" s="2"/>
      <c r="H123" s="2"/>
      <c r="I123" s="2"/>
      <c r="J123" s="19">
        <f t="shared" si="7"/>
        <v>0</v>
      </c>
      <c r="K123" s="2"/>
      <c r="L123" s="2">
        <f t="shared" si="8"/>
        <v>2565.13</v>
      </c>
      <c r="M123" s="2"/>
      <c r="N123" s="19">
        <f t="shared" si="9"/>
        <v>0</v>
      </c>
      <c r="O123" s="11"/>
      <c r="P123" s="2">
        <v>3384.28</v>
      </c>
      <c r="Q123" s="2"/>
      <c r="R123" s="19">
        <f t="shared" si="10"/>
        <v>5.8971000989179367E-4</v>
      </c>
      <c r="S123" s="2"/>
      <c r="T123" s="2"/>
      <c r="U123" s="2"/>
      <c r="V123" s="19">
        <f t="shared" si="11"/>
        <v>0</v>
      </c>
      <c r="W123" s="2"/>
      <c r="X123" s="2">
        <f t="shared" si="12"/>
        <v>3384.28</v>
      </c>
      <c r="Y123" s="2"/>
      <c r="Z123" s="19">
        <f t="shared" si="13"/>
        <v>0</v>
      </c>
    </row>
    <row r="124" spans="1:26" s="24" customFormat="1" hidden="1" outlineLevel="1" x14ac:dyDescent="0.25">
      <c r="A124" s="44"/>
      <c r="B124" s="11" t="str">
        <f>CONCATENATE("          ", "5033", " - ", "PURCHASES @ COST-CANDY")</f>
        <v xml:space="preserve">          5033 - PURCHASES @ COST-CANDY</v>
      </c>
      <c r="C124" s="11"/>
      <c r="D124" s="2">
        <v>2102.09</v>
      </c>
      <c r="E124" s="2"/>
      <c r="F124" s="19">
        <f t="shared" si="6"/>
        <v>2.0845808962945173E-3</v>
      </c>
      <c r="G124" s="2"/>
      <c r="H124" s="2"/>
      <c r="I124" s="2"/>
      <c r="J124" s="19">
        <f t="shared" si="7"/>
        <v>0</v>
      </c>
      <c r="K124" s="2"/>
      <c r="L124" s="2">
        <f t="shared" si="8"/>
        <v>2102.09</v>
      </c>
      <c r="M124" s="2"/>
      <c r="N124" s="19">
        <f t="shared" si="9"/>
        <v>0</v>
      </c>
      <c r="O124" s="11"/>
      <c r="P124" s="2">
        <v>4455.2</v>
      </c>
      <c r="Q124" s="2"/>
      <c r="R124" s="19">
        <f t="shared" si="10"/>
        <v>7.7631757303471311E-4</v>
      </c>
      <c r="S124" s="2"/>
      <c r="T124" s="2"/>
      <c r="U124" s="2"/>
      <c r="V124" s="19">
        <f t="shared" si="11"/>
        <v>0</v>
      </c>
      <c r="W124" s="2"/>
      <c r="X124" s="2">
        <f t="shared" si="12"/>
        <v>4455.2</v>
      </c>
      <c r="Y124" s="2"/>
      <c r="Z124" s="19">
        <f t="shared" si="13"/>
        <v>0</v>
      </c>
    </row>
    <row r="125" spans="1:26" s="24" customFormat="1" hidden="1" outlineLevel="1" x14ac:dyDescent="0.25">
      <c r="A125" s="44"/>
      <c r="B125" s="11" t="str">
        <f>CONCATENATE("          ", "5034", " - ", "PURCHASES @ COST-SODA")</f>
        <v xml:space="preserve">          5034 - PURCHASES @ COST-SODA</v>
      </c>
      <c r="C125" s="11"/>
      <c r="D125" s="2">
        <v>876</v>
      </c>
      <c r="E125" s="2"/>
      <c r="F125" s="19">
        <f t="shared" si="6"/>
        <v>8.687034642446312E-4</v>
      </c>
      <c r="G125" s="2"/>
      <c r="H125" s="2"/>
      <c r="I125" s="2"/>
      <c r="J125" s="19">
        <f t="shared" si="7"/>
        <v>0</v>
      </c>
      <c r="K125" s="2"/>
      <c r="L125" s="2">
        <f t="shared" si="8"/>
        <v>876</v>
      </c>
      <c r="M125" s="2"/>
      <c r="N125" s="19">
        <f t="shared" si="9"/>
        <v>0</v>
      </c>
      <c r="O125" s="11"/>
      <c r="P125" s="2">
        <v>1494.54</v>
      </c>
      <c r="Q125" s="2"/>
      <c r="R125" s="19">
        <f t="shared" si="10"/>
        <v>2.604232504945457E-4</v>
      </c>
      <c r="S125" s="2"/>
      <c r="T125" s="2"/>
      <c r="U125" s="2"/>
      <c r="V125" s="19">
        <f t="shared" si="11"/>
        <v>0</v>
      </c>
      <c r="W125" s="2"/>
      <c r="X125" s="2">
        <f t="shared" si="12"/>
        <v>1494.54</v>
      </c>
      <c r="Y125" s="2"/>
      <c r="Z125" s="19">
        <f t="shared" si="13"/>
        <v>0</v>
      </c>
    </row>
    <row r="126" spans="1:26" s="24" customFormat="1" hidden="1" outlineLevel="1" x14ac:dyDescent="0.25">
      <c r="A126" s="44"/>
      <c r="B126" s="11" t="str">
        <f>CONCATENATE("          ", "5035", " - ", "PURCHASES @ COST-HEALTH &amp; BEAU")</f>
        <v xml:space="preserve">          5035 - PURCHASES @ COST-HEALTH &amp; BEAU</v>
      </c>
      <c r="C126" s="11"/>
      <c r="D126" s="2">
        <v>291.13</v>
      </c>
      <c r="E126" s="2"/>
      <c r="F126" s="19">
        <f t="shared" si="6"/>
        <v>2.8870506797436013E-4</v>
      </c>
      <c r="G126" s="2"/>
      <c r="H126" s="2"/>
      <c r="I126" s="2"/>
      <c r="J126" s="19">
        <f t="shared" si="7"/>
        <v>0</v>
      </c>
      <c r="K126" s="2"/>
      <c r="L126" s="2">
        <f t="shared" si="8"/>
        <v>291.13</v>
      </c>
      <c r="M126" s="2"/>
      <c r="N126" s="19">
        <f t="shared" si="9"/>
        <v>0</v>
      </c>
      <c r="O126" s="11"/>
      <c r="P126" s="2">
        <v>578.69000000000005</v>
      </c>
      <c r="Q126" s="2"/>
      <c r="R126" s="19">
        <f t="shared" si="10"/>
        <v>1.0083659910654026E-4</v>
      </c>
      <c r="S126" s="2"/>
      <c r="T126" s="2"/>
      <c r="U126" s="2"/>
      <c r="V126" s="19">
        <f t="shared" si="11"/>
        <v>0</v>
      </c>
      <c r="W126" s="2"/>
      <c r="X126" s="2">
        <f t="shared" si="12"/>
        <v>578.69000000000005</v>
      </c>
      <c r="Y126" s="2"/>
      <c r="Z126" s="19">
        <f t="shared" si="13"/>
        <v>0</v>
      </c>
    </row>
    <row r="127" spans="1:26" s="24" customFormat="1" hidden="1" outlineLevel="1" x14ac:dyDescent="0.25">
      <c r="A127" s="44"/>
      <c r="B127" s="11" t="str">
        <f>CONCATENATE("          ", "5037", " - ", "PURCHASES @ COST-WATER")</f>
        <v xml:space="preserve">          5037 - PURCHASES @ COST-WATER</v>
      </c>
      <c r="C127" s="11"/>
      <c r="D127" s="2">
        <v>1463.27</v>
      </c>
      <c r="E127" s="2"/>
      <c r="F127" s="19">
        <f t="shared" si="6"/>
        <v>1.4510818700059834E-3</v>
      </c>
      <c r="G127" s="2"/>
      <c r="H127" s="2"/>
      <c r="I127" s="2"/>
      <c r="J127" s="19">
        <f t="shared" si="7"/>
        <v>0</v>
      </c>
      <c r="K127" s="2"/>
      <c r="L127" s="2">
        <f t="shared" si="8"/>
        <v>1463.27</v>
      </c>
      <c r="M127" s="2"/>
      <c r="N127" s="19">
        <f t="shared" si="9"/>
        <v>0</v>
      </c>
      <c r="O127" s="11"/>
      <c r="P127" s="2">
        <v>2855.85</v>
      </c>
      <c r="Q127" s="2"/>
      <c r="R127" s="19">
        <f t="shared" si="10"/>
        <v>4.9763120419985311E-4</v>
      </c>
      <c r="S127" s="2"/>
      <c r="T127" s="2"/>
      <c r="U127" s="2"/>
      <c r="V127" s="19">
        <f t="shared" si="11"/>
        <v>0</v>
      </c>
      <c r="W127" s="2"/>
      <c r="X127" s="2">
        <f t="shared" si="12"/>
        <v>2855.85</v>
      </c>
      <c r="Y127" s="2"/>
      <c r="Z127" s="19">
        <f t="shared" si="13"/>
        <v>0</v>
      </c>
    </row>
    <row r="128" spans="1:26" s="24" customFormat="1" hidden="1" outlineLevel="1" x14ac:dyDescent="0.25">
      <c r="A128" s="44"/>
      <c r="B128" s="11" t="str">
        <f>CONCATENATE("          ", "5040", " - ", "PURCHASES @ COST-LOGO CLOTHING")</f>
        <v xml:space="preserve">          5040 - PURCHASES @ COST-LOGO CLOTHING</v>
      </c>
      <c r="C128" s="11"/>
      <c r="D128" s="2">
        <v>176749.05</v>
      </c>
      <c r="E128" s="2"/>
      <c r="F128" s="19">
        <f t="shared" si="6"/>
        <v>0.17527684022482595</v>
      </c>
      <c r="G128" s="2"/>
      <c r="H128" s="2"/>
      <c r="I128" s="2"/>
      <c r="J128" s="19">
        <f t="shared" si="7"/>
        <v>0</v>
      </c>
      <c r="K128" s="2"/>
      <c r="L128" s="2">
        <f t="shared" si="8"/>
        <v>176749.05</v>
      </c>
      <c r="M128" s="2"/>
      <c r="N128" s="19">
        <f t="shared" si="9"/>
        <v>0</v>
      </c>
      <c r="O128" s="11"/>
      <c r="P128" s="2">
        <v>512600.91000000003</v>
      </c>
      <c r="Q128" s="2"/>
      <c r="R128" s="19">
        <f t="shared" si="10"/>
        <v>8.9320590408193887E-2</v>
      </c>
      <c r="S128" s="2"/>
      <c r="T128" s="2"/>
      <c r="U128" s="2"/>
      <c r="V128" s="19">
        <f t="shared" si="11"/>
        <v>0</v>
      </c>
      <c r="W128" s="2"/>
      <c r="X128" s="2">
        <f t="shared" si="12"/>
        <v>512600.91000000003</v>
      </c>
      <c r="Y128" s="2"/>
      <c r="Z128" s="19">
        <f t="shared" si="13"/>
        <v>0</v>
      </c>
    </row>
    <row r="129" spans="1:26" s="24" customFormat="1" hidden="1" outlineLevel="1" x14ac:dyDescent="0.25">
      <c r="A129" s="44"/>
      <c r="B129" s="11" t="str">
        <f>CONCATENATE("          ", "5041", " - ", "PURCHASES @ COST-LOGO GIFTS")</f>
        <v xml:space="preserve">          5041 - PURCHASES @ COST-LOGO GIFTS</v>
      </c>
      <c r="C129" s="11"/>
      <c r="D129" s="2">
        <v>27759.98</v>
      </c>
      <c r="E129" s="2"/>
      <c r="F129" s="19">
        <f t="shared" si="6"/>
        <v>2.7528756613426571E-2</v>
      </c>
      <c r="G129" s="2"/>
      <c r="H129" s="2"/>
      <c r="I129" s="2"/>
      <c r="J129" s="19">
        <f t="shared" si="7"/>
        <v>0</v>
      </c>
      <c r="K129" s="2"/>
      <c r="L129" s="2">
        <f t="shared" si="8"/>
        <v>27759.98</v>
      </c>
      <c r="M129" s="2"/>
      <c r="N129" s="19">
        <f t="shared" si="9"/>
        <v>0</v>
      </c>
      <c r="O129" s="11"/>
      <c r="P129" s="2">
        <v>70456.460000000006</v>
      </c>
      <c r="Q129" s="2"/>
      <c r="R129" s="19">
        <f t="shared" si="10"/>
        <v>1.2277021914126716E-2</v>
      </c>
      <c r="S129" s="2"/>
      <c r="T129" s="2"/>
      <c r="U129" s="2"/>
      <c r="V129" s="19">
        <f t="shared" si="11"/>
        <v>0</v>
      </c>
      <c r="W129" s="2"/>
      <c r="X129" s="2">
        <f t="shared" si="12"/>
        <v>70456.460000000006</v>
      </c>
      <c r="Y129" s="2"/>
      <c r="Z129" s="19">
        <f t="shared" si="13"/>
        <v>0</v>
      </c>
    </row>
    <row r="130" spans="1:26" s="24" customFormat="1" hidden="1" outlineLevel="1" x14ac:dyDescent="0.25">
      <c r="A130" s="44"/>
      <c r="B130" s="11" t="str">
        <f>CONCATENATE("          ", "5042", " - ", "PURCHASES @ COST-EVERYDAY GIFT")</f>
        <v xml:space="preserve">          5042 - PURCHASES @ COST-EVERYDAY GIFT</v>
      </c>
      <c r="C130" s="11"/>
      <c r="D130" s="2">
        <v>13956.79</v>
      </c>
      <c r="E130" s="2"/>
      <c r="F130" s="19">
        <f t="shared" si="6"/>
        <v>1.3840538610427885E-2</v>
      </c>
      <c r="G130" s="2"/>
      <c r="H130" s="2"/>
      <c r="I130" s="2"/>
      <c r="J130" s="19">
        <f t="shared" si="7"/>
        <v>0</v>
      </c>
      <c r="K130" s="2"/>
      <c r="L130" s="2">
        <f t="shared" si="8"/>
        <v>13956.79</v>
      </c>
      <c r="M130" s="2"/>
      <c r="N130" s="19">
        <f t="shared" si="9"/>
        <v>0</v>
      </c>
      <c r="O130" s="11"/>
      <c r="P130" s="2">
        <v>49248.47</v>
      </c>
      <c r="Q130" s="2"/>
      <c r="R130" s="19">
        <f t="shared" si="10"/>
        <v>8.5815345452668525E-3</v>
      </c>
      <c r="S130" s="2"/>
      <c r="T130" s="2"/>
      <c r="U130" s="2"/>
      <c r="V130" s="19">
        <f t="shared" si="11"/>
        <v>0</v>
      </c>
      <c r="W130" s="2"/>
      <c r="X130" s="2">
        <f t="shared" si="12"/>
        <v>49248.47</v>
      </c>
      <c r="Y130" s="2"/>
      <c r="Z130" s="19">
        <f t="shared" si="13"/>
        <v>0</v>
      </c>
    </row>
    <row r="131" spans="1:26" s="24" customFormat="1" hidden="1" outlineLevel="1" x14ac:dyDescent="0.25">
      <c r="A131" s="44"/>
      <c r="B131" s="11" t="str">
        <f>CONCATENATE("          ", "5043", " - ", "PURCHASES @ COST-CARDS")</f>
        <v xml:space="preserve">          5043 - PURCHASES @ COST-CARDS</v>
      </c>
      <c r="C131" s="11"/>
      <c r="D131" s="2">
        <v>331.09</v>
      </c>
      <c r="E131" s="2"/>
      <c r="F131" s="19">
        <f t="shared" si="6"/>
        <v>3.2833222600086177E-4</v>
      </c>
      <c r="G131" s="2"/>
      <c r="H131" s="2"/>
      <c r="I131" s="2"/>
      <c r="J131" s="19">
        <f t="shared" si="7"/>
        <v>0</v>
      </c>
      <c r="K131" s="2"/>
      <c r="L131" s="2">
        <f t="shared" si="8"/>
        <v>331.09</v>
      </c>
      <c r="M131" s="2"/>
      <c r="N131" s="19">
        <f t="shared" si="9"/>
        <v>0</v>
      </c>
      <c r="O131" s="11"/>
      <c r="P131" s="2">
        <v>1340.08</v>
      </c>
      <c r="Q131" s="2"/>
      <c r="R131" s="19">
        <f t="shared" si="10"/>
        <v>2.3350863109902097E-4</v>
      </c>
      <c r="S131" s="2"/>
      <c r="T131" s="2"/>
      <c r="U131" s="2"/>
      <c r="V131" s="19">
        <f t="shared" si="11"/>
        <v>0</v>
      </c>
      <c r="W131" s="2"/>
      <c r="X131" s="2">
        <f t="shared" si="12"/>
        <v>1340.08</v>
      </c>
      <c r="Y131" s="2"/>
      <c r="Z131" s="19">
        <f t="shared" si="13"/>
        <v>0</v>
      </c>
    </row>
    <row r="132" spans="1:26" s="24" customFormat="1" hidden="1" outlineLevel="1" x14ac:dyDescent="0.25">
      <c r="A132" s="44"/>
      <c r="B132" s="11" t="str">
        <f>CONCATENATE("          ", "5044", " - ", "PURCHASES @ COST-ACCESSORIES")</f>
        <v xml:space="preserve">          5044 - PURCHASES @ COST-ACCESSORIES</v>
      </c>
      <c r="C132" s="11"/>
      <c r="D132" s="2">
        <v>3747.48</v>
      </c>
      <c r="E132" s="2"/>
      <c r="F132" s="19">
        <f t="shared" si="6"/>
        <v>3.7162658198487109E-3</v>
      </c>
      <c r="G132" s="2"/>
      <c r="H132" s="2"/>
      <c r="I132" s="2"/>
      <c r="J132" s="19">
        <f t="shared" si="7"/>
        <v>0</v>
      </c>
      <c r="K132" s="2"/>
      <c r="L132" s="2">
        <f t="shared" si="8"/>
        <v>3747.48</v>
      </c>
      <c r="M132" s="2"/>
      <c r="N132" s="19">
        <f t="shared" si="9"/>
        <v>0</v>
      </c>
      <c r="O132" s="11"/>
      <c r="P132" s="2">
        <v>24151.129999999997</v>
      </c>
      <c r="Q132" s="2"/>
      <c r="R132" s="19">
        <f t="shared" si="10"/>
        <v>4.208328835438555E-3</v>
      </c>
      <c r="S132" s="2"/>
      <c r="T132" s="2"/>
      <c r="U132" s="2"/>
      <c r="V132" s="19">
        <f t="shared" si="11"/>
        <v>0</v>
      </c>
      <c r="W132" s="2"/>
      <c r="X132" s="2">
        <f t="shared" si="12"/>
        <v>24151.129999999997</v>
      </c>
      <c r="Y132" s="2"/>
      <c r="Z132" s="19">
        <f t="shared" si="13"/>
        <v>0</v>
      </c>
    </row>
    <row r="133" spans="1:26" s="24" customFormat="1" hidden="1" outlineLevel="1" x14ac:dyDescent="0.25">
      <c r="A133" s="44"/>
      <c r="B133" s="11" t="str">
        <f>CONCATENATE("          ", "5045", " - ", "PURCHASES @ COST-SPECIAL ORDER")</f>
        <v xml:space="preserve">          5045 - PURCHASES @ COST-SPECIAL ORDER</v>
      </c>
      <c r="C133" s="11"/>
      <c r="D133" s="2">
        <v>3599.17</v>
      </c>
      <c r="E133" s="2"/>
      <c r="F133" s="19">
        <f t="shared" si="6"/>
        <v>3.5691911500061067E-3</v>
      </c>
      <c r="G133" s="2"/>
      <c r="H133" s="2"/>
      <c r="I133" s="2"/>
      <c r="J133" s="19">
        <f t="shared" si="7"/>
        <v>0</v>
      </c>
      <c r="K133" s="2"/>
      <c r="L133" s="2">
        <f t="shared" si="8"/>
        <v>3599.17</v>
      </c>
      <c r="M133" s="2"/>
      <c r="N133" s="19">
        <f t="shared" si="9"/>
        <v>0</v>
      </c>
      <c r="O133" s="11"/>
      <c r="P133" s="2">
        <v>28063.200000000001</v>
      </c>
      <c r="Q133" s="2"/>
      <c r="R133" s="19">
        <f t="shared" si="10"/>
        <v>4.8900061311698152E-3</v>
      </c>
      <c r="S133" s="2"/>
      <c r="T133" s="2"/>
      <c r="U133" s="2"/>
      <c r="V133" s="19">
        <f t="shared" si="11"/>
        <v>0</v>
      </c>
      <c r="W133" s="2"/>
      <c r="X133" s="2">
        <f t="shared" si="12"/>
        <v>28063.200000000001</v>
      </c>
      <c r="Y133" s="2"/>
      <c r="Z133" s="19">
        <f t="shared" si="13"/>
        <v>0</v>
      </c>
    </row>
    <row r="134" spans="1:26" s="24" customFormat="1" hidden="1" outlineLevel="1" x14ac:dyDescent="0.25">
      <c r="A134" s="44"/>
      <c r="B134" s="11" t="str">
        <f>CONCATENATE("          ", "5053", " - ", "PURCHASES @ COST-FOOD")</f>
        <v xml:space="preserve">          5053 - PURCHASES @ COST-FOOD</v>
      </c>
      <c r="C134" s="11"/>
      <c r="D134" s="2">
        <v>244395.69999999998</v>
      </c>
      <c r="E134" s="2"/>
      <c r="F134" s="19">
        <f t="shared" si="6"/>
        <v>0.24236003565809544</v>
      </c>
      <c r="G134" s="2"/>
      <c r="H134" s="2"/>
      <c r="I134" s="2"/>
      <c r="J134" s="19">
        <f t="shared" si="7"/>
        <v>0</v>
      </c>
      <c r="K134" s="2"/>
      <c r="L134" s="2">
        <f t="shared" si="8"/>
        <v>244395.69999999998</v>
      </c>
      <c r="M134" s="2"/>
      <c r="N134" s="19">
        <f t="shared" si="9"/>
        <v>0</v>
      </c>
      <c r="O134" s="11"/>
      <c r="P134" s="2">
        <v>577184.57000000007</v>
      </c>
      <c r="Q134" s="2"/>
      <c r="R134" s="19">
        <f t="shared" si="10"/>
        <v>0.10057427827605596</v>
      </c>
      <c r="S134" s="2"/>
      <c r="T134" s="2"/>
      <c r="U134" s="2"/>
      <c r="V134" s="19">
        <f t="shared" si="11"/>
        <v>0</v>
      </c>
      <c r="W134" s="2"/>
      <c r="X134" s="2">
        <f t="shared" si="12"/>
        <v>577184.57000000007</v>
      </c>
      <c r="Y134" s="2"/>
      <c r="Z134" s="19">
        <f t="shared" si="13"/>
        <v>0</v>
      </c>
    </row>
    <row r="135" spans="1:26" s="24" customFormat="1" hidden="1" outlineLevel="1" x14ac:dyDescent="0.25">
      <c r="A135" s="44"/>
      <c r="B135" s="11" t="str">
        <f>CONCATENATE("          ", "5059", " - ", "PURCHASES @ COST-FOOD")</f>
        <v xml:space="preserve">          5059 - PURCHASES @ COST-FOOD</v>
      </c>
      <c r="C135" s="11"/>
      <c r="D135" s="2">
        <v>15105.409999999998</v>
      </c>
      <c r="E135" s="2"/>
      <c r="F135" s="19">
        <f t="shared" si="6"/>
        <v>1.497959131944691E-2</v>
      </c>
      <c r="G135" s="2"/>
      <c r="H135" s="2"/>
      <c r="I135" s="2"/>
      <c r="J135" s="19">
        <f t="shared" si="7"/>
        <v>0</v>
      </c>
      <c r="K135" s="2"/>
      <c r="L135" s="2">
        <f t="shared" si="8"/>
        <v>15105.409999999998</v>
      </c>
      <c r="M135" s="2"/>
      <c r="N135" s="19">
        <f t="shared" si="9"/>
        <v>0</v>
      </c>
      <c r="O135" s="11"/>
      <c r="P135" s="2">
        <v>-43645.97</v>
      </c>
      <c r="Q135" s="2"/>
      <c r="R135" s="19">
        <f t="shared" si="10"/>
        <v>-7.6053002116955237E-3</v>
      </c>
      <c r="S135" s="2"/>
      <c r="T135" s="2"/>
      <c r="U135" s="2"/>
      <c r="V135" s="19">
        <f t="shared" si="11"/>
        <v>0</v>
      </c>
      <c r="W135" s="2"/>
      <c r="X135" s="2">
        <f t="shared" si="12"/>
        <v>-43645.97</v>
      </c>
      <c r="Y135" s="2"/>
      <c r="Z135" s="19">
        <f t="shared" si="13"/>
        <v>0</v>
      </c>
    </row>
    <row r="136" spans="1:26" s="24" customFormat="1" hidden="1" outlineLevel="1" x14ac:dyDescent="0.25">
      <c r="A136" s="44"/>
      <c r="B136" s="11" t="str">
        <f>CONCATENATE("          ", "5081", " - ", "PURCHASES @ COST-ELECTRONICS")</f>
        <v xml:space="preserve">          5081 - PURCHASES @ COST-ELECTRONICS</v>
      </c>
      <c r="C136" s="11"/>
      <c r="D136" s="2">
        <v>490.99</v>
      </c>
      <c r="E136" s="2"/>
      <c r="F136" s="19">
        <f t="shared" si="6"/>
        <v>4.8690035834414555E-4</v>
      </c>
      <c r="G136" s="2"/>
      <c r="H136" s="2"/>
      <c r="I136" s="2"/>
      <c r="J136" s="19">
        <f t="shared" si="7"/>
        <v>0</v>
      </c>
      <c r="K136" s="2"/>
      <c r="L136" s="2">
        <f t="shared" si="8"/>
        <v>490.99</v>
      </c>
      <c r="M136" s="2"/>
      <c r="N136" s="19">
        <f t="shared" si="9"/>
        <v>0</v>
      </c>
      <c r="O136" s="11"/>
      <c r="P136" s="2">
        <v>963.07</v>
      </c>
      <c r="Q136" s="2"/>
      <c r="R136" s="19">
        <f t="shared" si="10"/>
        <v>1.6781472550335364E-4</v>
      </c>
      <c r="S136" s="2"/>
      <c r="T136" s="2"/>
      <c r="U136" s="2"/>
      <c r="V136" s="19">
        <f t="shared" si="11"/>
        <v>0</v>
      </c>
      <c r="W136" s="2"/>
      <c r="X136" s="2">
        <f t="shared" si="12"/>
        <v>963.07</v>
      </c>
      <c r="Y136" s="2"/>
      <c r="Z136" s="19">
        <f t="shared" si="13"/>
        <v>0</v>
      </c>
    </row>
    <row r="137" spans="1:26" s="24" customFormat="1" hidden="1" outlineLevel="1" x14ac:dyDescent="0.25">
      <c r="A137" s="44"/>
      <c r="B137" s="11" t="str">
        <f>CONCATENATE("          ", "5082", " - ", "PURCHASES @ COST-COMPUTER HARD")</f>
        <v xml:space="preserve">          5082 - PURCHASES @ COST-COMPUTER HARD</v>
      </c>
      <c r="C137" s="11"/>
      <c r="D137" s="2"/>
      <c r="E137" s="2"/>
      <c r="F137" s="19">
        <f t="shared" si="6"/>
        <v>0</v>
      </c>
      <c r="G137" s="2"/>
      <c r="H137" s="2"/>
      <c r="I137" s="2"/>
      <c r="J137" s="19">
        <f t="shared" si="7"/>
        <v>0</v>
      </c>
      <c r="K137" s="2"/>
      <c r="L137" s="2">
        <f t="shared" si="8"/>
        <v>0</v>
      </c>
      <c r="M137" s="2"/>
      <c r="N137" s="19">
        <f t="shared" si="9"/>
        <v>0</v>
      </c>
      <c r="O137" s="11"/>
      <c r="P137" s="2">
        <v>149.6</v>
      </c>
      <c r="Q137" s="2"/>
      <c r="R137" s="19">
        <f t="shared" si="10"/>
        <v>2.6067765515800207E-5</v>
      </c>
      <c r="S137" s="2"/>
      <c r="T137" s="2"/>
      <c r="U137" s="2"/>
      <c r="V137" s="19">
        <f t="shared" si="11"/>
        <v>0</v>
      </c>
      <c r="W137" s="2"/>
      <c r="X137" s="2">
        <f t="shared" si="12"/>
        <v>149.6</v>
      </c>
      <c r="Y137" s="2"/>
      <c r="Z137" s="19">
        <f t="shared" si="13"/>
        <v>0</v>
      </c>
    </row>
    <row r="138" spans="1:26" s="24" customFormat="1" hidden="1" outlineLevel="1" x14ac:dyDescent="0.25">
      <c r="A138" s="44"/>
      <c r="B138" s="11" t="str">
        <f>CONCATENATE("          ", "5083", " - ", "PURCHASES @ COST-COMPUTER EQUI")</f>
        <v xml:space="preserve">          5083 - PURCHASES @ COST-COMPUTER EQUI</v>
      </c>
      <c r="C138" s="11"/>
      <c r="D138" s="2">
        <v>76.150000000000006</v>
      </c>
      <c r="E138" s="2"/>
      <c r="F138" s="19">
        <f t="shared" si="6"/>
        <v>7.5515717810763328E-5</v>
      </c>
      <c r="G138" s="2"/>
      <c r="H138" s="2"/>
      <c r="I138" s="2"/>
      <c r="J138" s="19">
        <f t="shared" si="7"/>
        <v>0</v>
      </c>
      <c r="K138" s="2"/>
      <c r="L138" s="2">
        <f t="shared" si="8"/>
        <v>76.150000000000006</v>
      </c>
      <c r="M138" s="2"/>
      <c r="N138" s="19">
        <f t="shared" si="9"/>
        <v>0</v>
      </c>
      <c r="O138" s="11"/>
      <c r="P138" s="2">
        <v>232.15</v>
      </c>
      <c r="Q138" s="2"/>
      <c r="R138" s="19">
        <f t="shared" si="10"/>
        <v>4.0452083987252793E-5</v>
      </c>
      <c r="S138" s="2"/>
      <c r="T138" s="2"/>
      <c r="U138" s="2"/>
      <c r="V138" s="19">
        <f t="shared" si="11"/>
        <v>0</v>
      </c>
      <c r="W138" s="2"/>
      <c r="X138" s="2">
        <f t="shared" si="12"/>
        <v>232.15</v>
      </c>
      <c r="Y138" s="2"/>
      <c r="Z138" s="19">
        <f t="shared" si="13"/>
        <v>0</v>
      </c>
    </row>
    <row r="139" spans="1:26" s="24" customFormat="1" hidden="1" outlineLevel="1" x14ac:dyDescent="0.25">
      <c r="A139" s="44"/>
      <c r="B139" s="11" t="str">
        <f>CONCATENATE("          ", "5086", " - ", "PURCHASES @ COST-COMPUTER SUPP")</f>
        <v xml:space="preserve">          5086 - PURCHASES @ COST-COMPUTER SUPP</v>
      </c>
      <c r="C139" s="11"/>
      <c r="D139" s="2">
        <v>54</v>
      </c>
      <c r="E139" s="2"/>
      <c r="F139" s="19">
        <f t="shared" si="6"/>
        <v>5.3550213549326586E-5</v>
      </c>
      <c r="G139" s="2"/>
      <c r="H139" s="2"/>
      <c r="I139" s="2"/>
      <c r="J139" s="19">
        <f t="shared" si="7"/>
        <v>0</v>
      </c>
      <c r="K139" s="2"/>
      <c r="L139" s="2">
        <f t="shared" si="8"/>
        <v>54</v>
      </c>
      <c r="M139" s="2"/>
      <c r="N139" s="19">
        <f t="shared" si="9"/>
        <v>0</v>
      </c>
      <c r="O139" s="11"/>
      <c r="P139" s="2">
        <v>141</v>
      </c>
      <c r="Q139" s="2"/>
      <c r="R139" s="19">
        <f t="shared" si="10"/>
        <v>2.4569217498180675E-5</v>
      </c>
      <c r="S139" s="2"/>
      <c r="T139" s="2"/>
      <c r="U139" s="2"/>
      <c r="V139" s="19">
        <f t="shared" si="11"/>
        <v>0</v>
      </c>
      <c r="W139" s="2"/>
      <c r="X139" s="2">
        <f t="shared" si="12"/>
        <v>141</v>
      </c>
      <c r="Y139" s="2"/>
      <c r="Z139" s="19">
        <f t="shared" si="13"/>
        <v>0</v>
      </c>
    </row>
    <row r="140" spans="1:26" s="24" customFormat="1" hidden="1" outlineLevel="1" x14ac:dyDescent="0.25">
      <c r="A140" s="44"/>
      <c r="B140" s="11" t="str">
        <f>CONCATENATE("          ", "5092", " - ", "PURCHASES @ COST-GRAD MERCH")</f>
        <v xml:space="preserve">          5092 - PURCHASES @ COST-GRAD MERCH</v>
      </c>
      <c r="C140" s="11"/>
      <c r="D140" s="2">
        <v>1296.1400000000001</v>
      </c>
      <c r="E140" s="2"/>
      <c r="F140" s="19">
        <f t="shared" si="6"/>
        <v>1.2853439590708178E-3</v>
      </c>
      <c r="G140" s="2"/>
      <c r="H140" s="2"/>
      <c r="I140" s="2"/>
      <c r="J140" s="19">
        <f t="shared" si="7"/>
        <v>0</v>
      </c>
      <c r="K140" s="2"/>
      <c r="L140" s="2">
        <f t="shared" si="8"/>
        <v>1296.1400000000001</v>
      </c>
      <c r="M140" s="2"/>
      <c r="N140" s="19">
        <f t="shared" si="9"/>
        <v>0</v>
      </c>
      <c r="O140" s="11"/>
      <c r="P140" s="2">
        <v>1296.1400000000001</v>
      </c>
      <c r="Q140" s="2"/>
      <c r="R140" s="19">
        <f t="shared" si="10"/>
        <v>2.2585209622760216E-4</v>
      </c>
      <c r="S140" s="2"/>
      <c r="T140" s="2"/>
      <c r="U140" s="2"/>
      <c r="V140" s="19">
        <f t="shared" si="11"/>
        <v>0</v>
      </c>
      <c r="W140" s="2"/>
      <c r="X140" s="2">
        <f t="shared" si="12"/>
        <v>1296.1400000000001</v>
      </c>
      <c r="Y140" s="2"/>
      <c r="Z140" s="19">
        <f t="shared" si="13"/>
        <v>0</v>
      </c>
    </row>
    <row r="141" spans="1:26" s="24" customFormat="1" hidden="1" outlineLevel="1" x14ac:dyDescent="0.25">
      <c r="A141" s="44"/>
      <c r="B141" s="11" t="str">
        <f>CONCATENATE("          ", "5095", " - ", "PURCHASES @ COST-CUSTOMER SERV")</f>
        <v xml:space="preserve">          5095 - PURCHASES @ COST-CUSTOMER SERV</v>
      </c>
      <c r="C141" s="11"/>
      <c r="D141" s="2"/>
      <c r="E141" s="2"/>
      <c r="F141" s="19">
        <f t="shared" si="6"/>
        <v>0</v>
      </c>
      <c r="G141" s="2"/>
      <c r="H141" s="2"/>
      <c r="I141" s="2"/>
      <c r="J141" s="19">
        <f t="shared" si="7"/>
        <v>0</v>
      </c>
      <c r="K141" s="2"/>
      <c r="L141" s="2">
        <f t="shared" si="8"/>
        <v>0</v>
      </c>
      <c r="M141" s="2"/>
      <c r="N141" s="19">
        <f t="shared" si="9"/>
        <v>0</v>
      </c>
      <c r="O141" s="11"/>
      <c r="P141" s="2">
        <v>0</v>
      </c>
      <c r="Q141" s="2"/>
      <c r="R141" s="19">
        <f t="shared" si="10"/>
        <v>0</v>
      </c>
      <c r="S141" s="2"/>
      <c r="T141" s="2"/>
      <c r="U141" s="2"/>
      <c r="V141" s="19">
        <f t="shared" si="11"/>
        <v>0</v>
      </c>
      <c r="W141" s="2"/>
      <c r="X141" s="2">
        <f t="shared" si="12"/>
        <v>0</v>
      </c>
      <c r="Y141" s="2"/>
      <c r="Z141" s="19">
        <f t="shared" si="13"/>
        <v>0</v>
      </c>
    </row>
    <row r="142" spans="1:26" s="24" customFormat="1" hidden="1" outlineLevel="1" x14ac:dyDescent="0.25">
      <c r="A142" s="44"/>
      <c r="B142" s="11" t="str">
        <f>CONCATENATE("          ", "5200", " - ", "PURCHASES OFFSET")</f>
        <v xml:space="preserve">          5200 - PURCHASES OFFSET</v>
      </c>
      <c r="C142" s="11"/>
      <c r="D142" s="2">
        <v>-102488</v>
      </c>
      <c r="E142" s="2"/>
      <c r="F142" s="19">
        <f t="shared" si="6"/>
        <v>-0.10163433863413672</v>
      </c>
      <c r="G142" s="2"/>
      <c r="H142" s="2"/>
      <c r="I142" s="2"/>
      <c r="J142" s="19">
        <f t="shared" si="7"/>
        <v>0</v>
      </c>
      <c r="K142" s="2"/>
      <c r="L142" s="2">
        <f t="shared" si="8"/>
        <v>-102488</v>
      </c>
      <c r="M142" s="2"/>
      <c r="N142" s="19">
        <f t="shared" si="9"/>
        <v>0</v>
      </c>
      <c r="O142" s="11"/>
      <c r="P142" s="2">
        <v>-2738772</v>
      </c>
      <c r="Q142" s="2"/>
      <c r="R142" s="19">
        <f t="shared" si="10"/>
        <v>-0.47723038968742759</v>
      </c>
      <c r="S142" s="2"/>
      <c r="T142" s="2"/>
      <c r="U142" s="2"/>
      <c r="V142" s="19">
        <f t="shared" si="11"/>
        <v>0</v>
      </c>
      <c r="W142" s="2"/>
      <c r="X142" s="2">
        <f t="shared" si="12"/>
        <v>-2738772</v>
      </c>
      <c r="Y142" s="2"/>
      <c r="Z142" s="19">
        <f t="shared" si="13"/>
        <v>0</v>
      </c>
    </row>
    <row r="143" spans="1:26" s="24" customFormat="1" hidden="1" outlineLevel="1" x14ac:dyDescent="0.25">
      <c r="A143" s="44"/>
      <c r="B143" s="11" t="str">
        <f>CONCATENATE("          ", "5300", " - ", "COG$ OFFSET")</f>
        <v xml:space="preserve">          5300 - COG$ OFFSET</v>
      </c>
      <c r="C143" s="11"/>
      <c r="D143" s="2">
        <v>204645</v>
      </c>
      <c r="E143" s="2"/>
      <c r="F143" s="19">
        <f t="shared" si="6"/>
        <v>0.20294043429262848</v>
      </c>
      <c r="G143" s="2"/>
      <c r="H143" s="2"/>
      <c r="I143" s="2"/>
      <c r="J143" s="19">
        <f t="shared" si="7"/>
        <v>0</v>
      </c>
      <c r="K143" s="2"/>
      <c r="L143" s="2">
        <f t="shared" si="8"/>
        <v>204645</v>
      </c>
      <c r="M143" s="2"/>
      <c r="N143" s="19">
        <f t="shared" si="9"/>
        <v>0</v>
      </c>
      <c r="O143" s="11"/>
      <c r="P143" s="2">
        <v>2132393</v>
      </c>
      <c r="Q143" s="2"/>
      <c r="R143" s="19">
        <f t="shared" si="10"/>
        <v>0.37156898871346089</v>
      </c>
      <c r="S143" s="2"/>
      <c r="T143" s="2"/>
      <c r="U143" s="2"/>
      <c r="V143" s="19">
        <f t="shared" si="11"/>
        <v>0</v>
      </c>
      <c r="W143" s="2"/>
      <c r="X143" s="2">
        <f t="shared" si="12"/>
        <v>2132393</v>
      </c>
      <c r="Y143" s="2"/>
      <c r="Z143" s="19">
        <f t="shared" si="13"/>
        <v>0</v>
      </c>
    </row>
    <row r="144" spans="1:26" s="24" customFormat="1" hidden="1" outlineLevel="1" x14ac:dyDescent="0.25">
      <c r="A144" s="44"/>
      <c r="B144" s="11" t="str">
        <f>CONCATENATE("          ", "5500", " - ", "FREIGHT-IN")</f>
        <v xml:space="preserve">          5500 - FREIGHT-IN</v>
      </c>
      <c r="C144" s="11"/>
      <c r="D144" s="2">
        <v>35.229999999999997</v>
      </c>
      <c r="E144" s="2"/>
      <c r="F144" s="19">
        <f t="shared" si="6"/>
        <v>3.4936555987829173E-5</v>
      </c>
      <c r="G144" s="2"/>
      <c r="H144" s="2"/>
      <c r="I144" s="2"/>
      <c r="J144" s="19">
        <f t="shared" si="7"/>
        <v>0</v>
      </c>
      <c r="K144" s="2"/>
      <c r="L144" s="2">
        <f t="shared" si="8"/>
        <v>35.229999999999997</v>
      </c>
      <c r="M144" s="2"/>
      <c r="N144" s="19">
        <f t="shared" si="9"/>
        <v>0</v>
      </c>
      <c r="O144" s="11"/>
      <c r="P144" s="2">
        <v>35.229999999999997</v>
      </c>
      <c r="Q144" s="2"/>
      <c r="R144" s="19">
        <f t="shared" si="10"/>
        <v>6.1388193791553557E-6</v>
      </c>
      <c r="S144" s="2"/>
      <c r="T144" s="2"/>
      <c r="U144" s="2"/>
      <c r="V144" s="19">
        <f t="shared" si="11"/>
        <v>0</v>
      </c>
      <c r="W144" s="2"/>
      <c r="X144" s="2">
        <f t="shared" si="12"/>
        <v>35.229999999999997</v>
      </c>
      <c r="Y144" s="2"/>
      <c r="Z144" s="19">
        <f t="shared" si="13"/>
        <v>0</v>
      </c>
    </row>
    <row r="145" spans="1:26" s="24" customFormat="1" hidden="1" outlineLevel="1" x14ac:dyDescent="0.25">
      <c r="A145" s="44"/>
      <c r="B145" s="11" t="str">
        <f>CONCATENATE("          ", "5501", " - ", "FREIGHT-IN-NEW TEXT")</f>
        <v xml:space="preserve">          5501 - FREIGHT-IN-NEW TEXT</v>
      </c>
      <c r="C145" s="11"/>
      <c r="D145" s="2">
        <v>7434.02</v>
      </c>
      <c r="E145" s="2"/>
      <c r="F145" s="19">
        <f t="shared" si="6"/>
        <v>7.3720992320363858E-3</v>
      </c>
      <c r="G145" s="2"/>
      <c r="H145" s="2"/>
      <c r="I145" s="2"/>
      <c r="J145" s="19">
        <f t="shared" si="7"/>
        <v>0</v>
      </c>
      <c r="K145" s="2"/>
      <c r="L145" s="2">
        <f t="shared" si="8"/>
        <v>7434.02</v>
      </c>
      <c r="M145" s="2"/>
      <c r="N145" s="19">
        <f t="shared" si="9"/>
        <v>0</v>
      </c>
      <c r="O145" s="11"/>
      <c r="P145" s="2">
        <v>34017.480000000003</v>
      </c>
      <c r="Q145" s="2"/>
      <c r="R145" s="19">
        <f t="shared" si="10"/>
        <v>5.9275380486525624E-3</v>
      </c>
      <c r="S145" s="2"/>
      <c r="T145" s="2"/>
      <c r="U145" s="2"/>
      <c r="V145" s="19">
        <f t="shared" si="11"/>
        <v>0</v>
      </c>
      <c r="W145" s="2"/>
      <c r="X145" s="2">
        <f t="shared" si="12"/>
        <v>34017.480000000003</v>
      </c>
      <c r="Y145" s="2"/>
      <c r="Z145" s="19">
        <f t="shared" si="13"/>
        <v>0</v>
      </c>
    </row>
    <row r="146" spans="1:26" s="24" customFormat="1" hidden="1" outlineLevel="1" x14ac:dyDescent="0.25">
      <c r="A146" s="44"/>
      <c r="B146" s="11" t="str">
        <f>CONCATENATE("          ", "5502", " - ", "FREIGHT-IN-USED TEXT")</f>
        <v xml:space="preserve">          5502 - FREIGHT-IN-USED TEXT</v>
      </c>
      <c r="C146" s="11"/>
      <c r="D146" s="2">
        <v>591.29999999999995</v>
      </c>
      <c r="E146" s="2"/>
      <c r="F146" s="19">
        <f t="shared" si="6"/>
        <v>5.8637483836512599E-4</v>
      </c>
      <c r="G146" s="2"/>
      <c r="H146" s="2"/>
      <c r="I146" s="2"/>
      <c r="J146" s="19">
        <f t="shared" si="7"/>
        <v>0</v>
      </c>
      <c r="K146" s="2"/>
      <c r="L146" s="2">
        <f t="shared" si="8"/>
        <v>591.29999999999995</v>
      </c>
      <c r="M146" s="2"/>
      <c r="N146" s="19">
        <f t="shared" si="9"/>
        <v>0</v>
      </c>
      <c r="O146" s="11"/>
      <c r="P146" s="2">
        <v>6852.47</v>
      </c>
      <c r="Q146" s="2"/>
      <c r="R146" s="19">
        <f t="shared" si="10"/>
        <v>1.1940413179415471E-3</v>
      </c>
      <c r="S146" s="2"/>
      <c r="T146" s="2"/>
      <c r="U146" s="2"/>
      <c r="V146" s="19">
        <f t="shared" si="11"/>
        <v>0</v>
      </c>
      <c r="W146" s="2"/>
      <c r="X146" s="2">
        <f t="shared" si="12"/>
        <v>6852.47</v>
      </c>
      <c r="Y146" s="2"/>
      <c r="Z146" s="19">
        <f t="shared" si="13"/>
        <v>0</v>
      </c>
    </row>
    <row r="147" spans="1:26" s="24" customFormat="1" hidden="1" outlineLevel="1" x14ac:dyDescent="0.25">
      <c r="A147" s="44"/>
      <c r="B147" s="11" t="str">
        <f>CONCATENATE("          ", "5504", " - ", "FREIGHT-IN-DIGITAL TEXT")</f>
        <v xml:space="preserve">          5504 - FREIGHT-IN-DIGITAL TEXT</v>
      </c>
      <c r="C147" s="11"/>
      <c r="D147" s="2">
        <v>93.94</v>
      </c>
      <c r="E147" s="2"/>
      <c r="F147" s="19">
        <f t="shared" si="6"/>
        <v>9.315753816340257E-5</v>
      </c>
      <c r="G147" s="2"/>
      <c r="H147" s="2"/>
      <c r="I147" s="2"/>
      <c r="J147" s="19">
        <f t="shared" si="7"/>
        <v>0</v>
      </c>
      <c r="K147" s="2"/>
      <c r="L147" s="2">
        <f t="shared" si="8"/>
        <v>93.94</v>
      </c>
      <c r="M147" s="2"/>
      <c r="N147" s="19">
        <f t="shared" si="9"/>
        <v>0</v>
      </c>
      <c r="O147" s="11"/>
      <c r="P147" s="2">
        <v>100.97</v>
      </c>
      <c r="Q147" s="2"/>
      <c r="R147" s="19">
        <f t="shared" si="10"/>
        <v>1.7593999225470232E-5</v>
      </c>
      <c r="S147" s="2"/>
      <c r="T147" s="2"/>
      <c r="U147" s="2"/>
      <c r="V147" s="19">
        <f t="shared" si="11"/>
        <v>0</v>
      </c>
      <c r="W147" s="2"/>
      <c r="X147" s="2">
        <f t="shared" si="12"/>
        <v>100.97</v>
      </c>
      <c r="Y147" s="2"/>
      <c r="Z147" s="19">
        <f t="shared" si="13"/>
        <v>0</v>
      </c>
    </row>
    <row r="148" spans="1:26" s="24" customFormat="1" hidden="1" outlineLevel="1" x14ac:dyDescent="0.25">
      <c r="A148" s="44"/>
      <c r="B148" s="11" t="str">
        <f>CONCATENATE("          ", "5525", " - ", "FREIGHT-IN-TEST FORMS")</f>
        <v xml:space="preserve">          5525 - FREIGHT-IN-TEST FORMS</v>
      </c>
      <c r="C148" s="11"/>
      <c r="D148" s="2">
        <v>39.22</v>
      </c>
      <c r="E148" s="2"/>
      <c r="F148" s="19">
        <f t="shared" si="6"/>
        <v>3.8893321766751639E-5</v>
      </c>
      <c r="G148" s="2"/>
      <c r="H148" s="2"/>
      <c r="I148" s="2"/>
      <c r="J148" s="19">
        <f t="shared" si="7"/>
        <v>0</v>
      </c>
      <c r="K148" s="2"/>
      <c r="L148" s="2">
        <f t="shared" si="8"/>
        <v>39.22</v>
      </c>
      <c r="M148" s="2"/>
      <c r="N148" s="19">
        <f t="shared" si="9"/>
        <v>0</v>
      </c>
      <c r="O148" s="11"/>
      <c r="P148" s="2">
        <v>39.22</v>
      </c>
      <c r="Q148" s="2"/>
      <c r="R148" s="19">
        <f t="shared" si="10"/>
        <v>6.8340759594230219E-6</v>
      </c>
      <c r="S148" s="2"/>
      <c r="T148" s="2"/>
      <c r="U148" s="2"/>
      <c r="V148" s="19">
        <f t="shared" si="11"/>
        <v>0</v>
      </c>
      <c r="W148" s="2"/>
      <c r="X148" s="2">
        <f t="shared" si="12"/>
        <v>39.22</v>
      </c>
      <c r="Y148" s="2"/>
      <c r="Z148" s="19">
        <f t="shared" si="13"/>
        <v>0</v>
      </c>
    </row>
    <row r="149" spans="1:26" s="24" customFormat="1" hidden="1" outlineLevel="1" x14ac:dyDescent="0.25">
      <c r="A149" s="44"/>
      <c r="B149" s="11" t="str">
        <f>CONCATENATE("          ", "5526", " - ", "FREIGHT-IN-WRITING INSTRUMENTS")</f>
        <v xml:space="preserve">          5526 - FREIGHT-IN-WRITING INSTRUMENTS</v>
      </c>
      <c r="C149" s="11"/>
      <c r="D149" s="2"/>
      <c r="E149" s="2"/>
      <c r="F149" s="19">
        <f t="shared" si="6"/>
        <v>0</v>
      </c>
      <c r="G149" s="2"/>
      <c r="H149" s="2"/>
      <c r="I149" s="2"/>
      <c r="J149" s="19">
        <f t="shared" si="7"/>
        <v>0</v>
      </c>
      <c r="K149" s="2"/>
      <c r="L149" s="2">
        <f t="shared" si="8"/>
        <v>0</v>
      </c>
      <c r="M149" s="2"/>
      <c r="N149" s="19">
        <f t="shared" si="9"/>
        <v>0</v>
      </c>
      <c r="O149" s="11"/>
      <c r="P149" s="2">
        <v>56.57</v>
      </c>
      <c r="Q149" s="2"/>
      <c r="R149" s="19">
        <f t="shared" si="10"/>
        <v>9.8573094600856804E-6</v>
      </c>
      <c r="S149" s="2"/>
      <c r="T149" s="2"/>
      <c r="U149" s="2"/>
      <c r="V149" s="19">
        <f t="shared" si="11"/>
        <v>0</v>
      </c>
      <c r="W149" s="2"/>
      <c r="X149" s="2">
        <f t="shared" si="12"/>
        <v>56.57</v>
      </c>
      <c r="Y149" s="2"/>
      <c r="Z149" s="19">
        <f t="shared" si="13"/>
        <v>0</v>
      </c>
    </row>
    <row r="150" spans="1:26" s="24" customFormat="1" hidden="1" outlineLevel="1" x14ac:dyDescent="0.25">
      <c r="A150" s="44"/>
      <c r="B150" s="11" t="str">
        <f>CONCATENATE("          ", "5527", " - ", "FREIGHT-IN-SCHOOL SUPPLIES")</f>
        <v xml:space="preserve">          5527 - FREIGHT-IN-SCHOOL SUPPLIES</v>
      </c>
      <c r="C150" s="11"/>
      <c r="D150" s="2">
        <v>344.59</v>
      </c>
      <c r="E150" s="2"/>
      <c r="F150" s="19">
        <f t="shared" si="6"/>
        <v>3.4171977938819345E-4</v>
      </c>
      <c r="G150" s="2"/>
      <c r="H150" s="2"/>
      <c r="I150" s="2"/>
      <c r="J150" s="19">
        <f t="shared" si="7"/>
        <v>0</v>
      </c>
      <c r="K150" s="2"/>
      <c r="L150" s="2">
        <f t="shared" si="8"/>
        <v>344.59</v>
      </c>
      <c r="M150" s="2"/>
      <c r="N150" s="19">
        <f t="shared" si="9"/>
        <v>0</v>
      </c>
      <c r="O150" s="11"/>
      <c r="P150" s="2">
        <v>738.49</v>
      </c>
      <c r="Q150" s="2"/>
      <c r="R150" s="19">
        <f t="shared" si="10"/>
        <v>1.2868171227114502E-4</v>
      </c>
      <c r="S150" s="2"/>
      <c r="T150" s="2"/>
      <c r="U150" s="2"/>
      <c r="V150" s="19">
        <f t="shared" si="11"/>
        <v>0</v>
      </c>
      <c r="W150" s="2"/>
      <c r="X150" s="2">
        <f t="shared" si="12"/>
        <v>738.49</v>
      </c>
      <c r="Y150" s="2"/>
      <c r="Z150" s="19">
        <f t="shared" si="13"/>
        <v>0</v>
      </c>
    </row>
    <row r="151" spans="1:26" s="24" customFormat="1" hidden="1" outlineLevel="1" x14ac:dyDescent="0.25">
      <c r="A151" s="44"/>
      <c r="B151" s="11" t="str">
        <f>CONCATENATE("          ", "5528", " - ", "FREIGHT-IN-ART/TECH")</f>
        <v xml:space="preserve">          5528 - FREIGHT-IN-ART/TECH</v>
      </c>
      <c r="C151" s="11"/>
      <c r="D151" s="2">
        <v>185.67</v>
      </c>
      <c r="E151" s="2"/>
      <c r="F151" s="19">
        <f t="shared" si="6"/>
        <v>1.8412348425376788E-4</v>
      </c>
      <c r="G151" s="2"/>
      <c r="H151" s="2"/>
      <c r="I151" s="2"/>
      <c r="J151" s="19">
        <f t="shared" si="7"/>
        <v>0</v>
      </c>
      <c r="K151" s="2"/>
      <c r="L151" s="2">
        <f t="shared" si="8"/>
        <v>185.67</v>
      </c>
      <c r="M151" s="2"/>
      <c r="N151" s="19">
        <f t="shared" si="9"/>
        <v>0</v>
      </c>
      <c r="O151" s="11"/>
      <c r="P151" s="2">
        <v>818.44</v>
      </c>
      <c r="Q151" s="2"/>
      <c r="R151" s="19">
        <f t="shared" si="10"/>
        <v>1.4261298134192195E-4</v>
      </c>
      <c r="S151" s="2"/>
      <c r="T151" s="2"/>
      <c r="U151" s="2"/>
      <c r="V151" s="19">
        <f t="shared" si="11"/>
        <v>0</v>
      </c>
      <c r="W151" s="2"/>
      <c r="X151" s="2">
        <f t="shared" si="12"/>
        <v>818.44</v>
      </c>
      <c r="Y151" s="2"/>
      <c r="Z151" s="19">
        <f t="shared" si="13"/>
        <v>0</v>
      </c>
    </row>
    <row r="152" spans="1:26" s="24" customFormat="1" hidden="1" outlineLevel="1" x14ac:dyDescent="0.25">
      <c r="A152" s="44"/>
      <c r="B152" s="11" t="str">
        <f>CONCATENATE("          ", "5540", " - ", "FREIGHT-IN-LOGO CLOTHING")</f>
        <v xml:space="preserve">          5540 - FREIGHT-IN-LOGO CLOTHING</v>
      </c>
      <c r="C152" s="11"/>
      <c r="D152" s="2">
        <v>9102.58</v>
      </c>
      <c r="E152" s="2"/>
      <c r="F152" s="19">
        <f t="shared" si="6"/>
        <v>9.0267611638857256E-3</v>
      </c>
      <c r="G152" s="2"/>
      <c r="H152" s="2"/>
      <c r="I152" s="2"/>
      <c r="J152" s="19">
        <f t="shared" si="7"/>
        <v>0</v>
      </c>
      <c r="K152" s="2"/>
      <c r="L152" s="2">
        <f t="shared" si="8"/>
        <v>9102.58</v>
      </c>
      <c r="M152" s="2"/>
      <c r="N152" s="19">
        <f t="shared" si="9"/>
        <v>0</v>
      </c>
      <c r="O152" s="11"/>
      <c r="P152" s="2">
        <v>14107.44</v>
      </c>
      <c r="Q152" s="2"/>
      <c r="R152" s="19">
        <f t="shared" si="10"/>
        <v>2.4582181681030782E-3</v>
      </c>
      <c r="S152" s="2"/>
      <c r="T152" s="2"/>
      <c r="U152" s="2"/>
      <c r="V152" s="19">
        <f t="shared" si="11"/>
        <v>0</v>
      </c>
      <c r="W152" s="2"/>
      <c r="X152" s="2">
        <f t="shared" si="12"/>
        <v>14107.44</v>
      </c>
      <c r="Y152" s="2"/>
      <c r="Z152" s="19">
        <f t="shared" si="13"/>
        <v>0</v>
      </c>
    </row>
    <row r="153" spans="1:26" s="24" customFormat="1" hidden="1" outlineLevel="1" x14ac:dyDescent="0.25">
      <c r="A153" s="44"/>
      <c r="B153" s="11" t="str">
        <f>CONCATENATE("          ", "5541", " - ", "FREIGHT-IN-LOGO GIFTS")</f>
        <v xml:space="preserve">          5541 - FREIGHT-IN-LOGO GIFTS</v>
      </c>
      <c r="C153" s="11"/>
      <c r="D153" s="2">
        <v>718.84</v>
      </c>
      <c r="E153" s="2"/>
      <c r="F153" s="19">
        <f t="shared" si="6"/>
        <v>7.1285250940366523E-4</v>
      </c>
      <c r="G153" s="2"/>
      <c r="H153" s="2"/>
      <c r="I153" s="2"/>
      <c r="J153" s="19">
        <f t="shared" si="7"/>
        <v>0</v>
      </c>
      <c r="K153" s="2"/>
      <c r="L153" s="2">
        <f t="shared" si="8"/>
        <v>718.84</v>
      </c>
      <c r="M153" s="2"/>
      <c r="N153" s="19">
        <f t="shared" si="9"/>
        <v>0</v>
      </c>
      <c r="O153" s="11"/>
      <c r="P153" s="2">
        <v>1536.85</v>
      </c>
      <c r="Q153" s="2"/>
      <c r="R153" s="19">
        <f t="shared" si="10"/>
        <v>2.6779575824169483E-4</v>
      </c>
      <c r="S153" s="2"/>
      <c r="T153" s="2"/>
      <c r="U153" s="2"/>
      <c r="V153" s="19">
        <f t="shared" si="11"/>
        <v>0</v>
      </c>
      <c r="W153" s="2"/>
      <c r="X153" s="2">
        <f t="shared" si="12"/>
        <v>1536.85</v>
      </c>
      <c r="Y153" s="2"/>
      <c r="Z153" s="19">
        <f t="shared" si="13"/>
        <v>0</v>
      </c>
    </row>
    <row r="154" spans="1:26" s="24" customFormat="1" hidden="1" outlineLevel="1" x14ac:dyDescent="0.25">
      <c r="A154" s="44"/>
      <c r="B154" s="11" t="str">
        <f>CONCATENATE("          ", "5542", " - ", "FREIGHT-IN-EVERYDAY GIFTS")</f>
        <v xml:space="preserve">          5542 - FREIGHT-IN-EVERYDAY GIFTS</v>
      </c>
      <c r="C154" s="11"/>
      <c r="D154" s="2">
        <v>596.04999999999995</v>
      </c>
      <c r="E154" s="2"/>
      <c r="F154" s="19">
        <f t="shared" si="6"/>
        <v>5.9108527381622423E-4</v>
      </c>
      <c r="G154" s="2"/>
      <c r="H154" s="2"/>
      <c r="I154" s="2"/>
      <c r="J154" s="19">
        <f t="shared" si="7"/>
        <v>0</v>
      </c>
      <c r="K154" s="2"/>
      <c r="L154" s="2">
        <f t="shared" si="8"/>
        <v>596.04999999999995</v>
      </c>
      <c r="M154" s="2"/>
      <c r="N154" s="19">
        <f t="shared" si="9"/>
        <v>0</v>
      </c>
      <c r="O154" s="11"/>
      <c r="P154" s="2">
        <v>767.73</v>
      </c>
      <c r="Q154" s="2"/>
      <c r="R154" s="19">
        <f t="shared" si="10"/>
        <v>1.3377677553105143E-4</v>
      </c>
      <c r="S154" s="2"/>
      <c r="T154" s="2"/>
      <c r="U154" s="2"/>
      <c r="V154" s="19">
        <f t="shared" si="11"/>
        <v>0</v>
      </c>
      <c r="W154" s="2"/>
      <c r="X154" s="2">
        <f t="shared" si="12"/>
        <v>767.73</v>
      </c>
      <c r="Y154" s="2"/>
      <c r="Z154" s="19">
        <f t="shared" si="13"/>
        <v>0</v>
      </c>
    </row>
    <row r="155" spans="1:26" s="24" customFormat="1" hidden="1" outlineLevel="1" x14ac:dyDescent="0.25">
      <c r="A155" s="44"/>
      <c r="B155" s="11" t="str">
        <f>CONCATENATE("          ", "5543", " - ", "FREIGHT-IN-CARDS")</f>
        <v xml:space="preserve">          5543 - FREIGHT-IN-CARDS</v>
      </c>
      <c r="C155" s="11"/>
      <c r="D155" s="2"/>
      <c r="E155" s="2"/>
      <c r="F155" s="19">
        <f t="shared" si="6"/>
        <v>0</v>
      </c>
      <c r="G155" s="2"/>
      <c r="H155" s="2"/>
      <c r="I155" s="2"/>
      <c r="J155" s="19">
        <f t="shared" si="7"/>
        <v>0</v>
      </c>
      <c r="K155" s="2"/>
      <c r="L155" s="2">
        <f t="shared" si="8"/>
        <v>0</v>
      </c>
      <c r="M155" s="2"/>
      <c r="N155" s="19">
        <f t="shared" si="9"/>
        <v>0</v>
      </c>
      <c r="O155" s="11"/>
      <c r="P155" s="2">
        <v>4.58</v>
      </c>
      <c r="Q155" s="2"/>
      <c r="R155" s="19">
        <f t="shared" si="10"/>
        <v>7.980639442671454E-7</v>
      </c>
      <c r="S155" s="2"/>
      <c r="T155" s="2"/>
      <c r="U155" s="2"/>
      <c r="V155" s="19">
        <f t="shared" si="11"/>
        <v>0</v>
      </c>
      <c r="W155" s="2"/>
      <c r="X155" s="2">
        <f t="shared" si="12"/>
        <v>4.58</v>
      </c>
      <c r="Y155" s="2"/>
      <c r="Z155" s="19">
        <f t="shared" si="13"/>
        <v>0</v>
      </c>
    </row>
    <row r="156" spans="1:26" s="24" customFormat="1" hidden="1" outlineLevel="1" x14ac:dyDescent="0.25">
      <c r="A156" s="44"/>
      <c r="B156" s="11" t="str">
        <f>CONCATENATE("          ", "5544", " - ", "FREIGHT-IN-ACCESSORIES")</f>
        <v xml:space="preserve">          5544 - FREIGHT-IN-ACCESSORIES</v>
      </c>
      <c r="C156" s="11"/>
      <c r="D156" s="2">
        <v>223.25</v>
      </c>
      <c r="E156" s="2"/>
      <c r="F156" s="19">
        <f t="shared" si="6"/>
        <v>2.2139046620161406E-4</v>
      </c>
      <c r="G156" s="2"/>
      <c r="H156" s="2"/>
      <c r="I156" s="2"/>
      <c r="J156" s="19">
        <f t="shared" si="7"/>
        <v>0</v>
      </c>
      <c r="K156" s="2"/>
      <c r="L156" s="2">
        <f t="shared" si="8"/>
        <v>223.25</v>
      </c>
      <c r="M156" s="2"/>
      <c r="N156" s="19">
        <f t="shared" si="9"/>
        <v>0</v>
      </c>
      <c r="O156" s="11"/>
      <c r="P156" s="2">
        <v>359.09</v>
      </c>
      <c r="Q156" s="2"/>
      <c r="R156" s="19">
        <f t="shared" si="10"/>
        <v>6.2571349726395028E-5</v>
      </c>
      <c r="S156" s="2"/>
      <c r="T156" s="2"/>
      <c r="U156" s="2"/>
      <c r="V156" s="19">
        <f t="shared" si="11"/>
        <v>0</v>
      </c>
      <c r="W156" s="2"/>
      <c r="X156" s="2">
        <f t="shared" si="12"/>
        <v>359.09</v>
      </c>
      <c r="Y156" s="2"/>
      <c r="Z156" s="19">
        <f t="shared" si="13"/>
        <v>0</v>
      </c>
    </row>
    <row r="157" spans="1:26" s="24" customFormat="1" hidden="1" outlineLevel="1" x14ac:dyDescent="0.25">
      <c r="A157" s="44"/>
      <c r="B157" s="11" t="str">
        <f>CONCATENATE("          ", "5545", " - ", "FREIGHT-IN-SPECIAL ORDERS")</f>
        <v xml:space="preserve">          5545 - FREIGHT-IN-SPECIAL ORDERS</v>
      </c>
      <c r="C157" s="11"/>
      <c r="D157" s="2">
        <v>84.47</v>
      </c>
      <c r="E157" s="2"/>
      <c r="F157" s="19">
        <f t="shared" si="6"/>
        <v>8.3766417379844754E-5</v>
      </c>
      <c r="G157" s="2"/>
      <c r="H157" s="2"/>
      <c r="I157" s="2"/>
      <c r="J157" s="19">
        <f t="shared" si="7"/>
        <v>0</v>
      </c>
      <c r="K157" s="2"/>
      <c r="L157" s="2">
        <f t="shared" si="8"/>
        <v>84.47</v>
      </c>
      <c r="M157" s="2"/>
      <c r="N157" s="19">
        <f t="shared" si="9"/>
        <v>0</v>
      </c>
      <c r="O157" s="11"/>
      <c r="P157" s="2">
        <v>346.98</v>
      </c>
      <c r="Q157" s="2"/>
      <c r="R157" s="19">
        <f t="shared" si="10"/>
        <v>6.0461185017863344E-5</v>
      </c>
      <c r="S157" s="2"/>
      <c r="T157" s="2"/>
      <c r="U157" s="2"/>
      <c r="V157" s="19">
        <f t="shared" si="11"/>
        <v>0</v>
      </c>
      <c r="W157" s="2"/>
      <c r="X157" s="2">
        <f t="shared" si="12"/>
        <v>346.98</v>
      </c>
      <c r="Y157" s="2"/>
      <c r="Z157" s="19">
        <f t="shared" si="13"/>
        <v>0</v>
      </c>
    </row>
    <row r="158" spans="1:26" s="24" customFormat="1" hidden="1" outlineLevel="1" x14ac:dyDescent="0.25">
      <c r="A158" s="44"/>
      <c r="B158" s="11" t="str">
        <f>CONCATENATE("          ", "5592", " - ", "FREIGHT-IN-GRAD MERCH")</f>
        <v xml:space="preserve">          5592 - FREIGHT-IN-GRAD MERCH</v>
      </c>
      <c r="C158" s="11"/>
      <c r="D158" s="2"/>
      <c r="E158" s="2"/>
      <c r="F158" s="19">
        <f t="shared" si="6"/>
        <v>0</v>
      </c>
      <c r="G158" s="2"/>
      <c r="H158" s="2"/>
      <c r="I158" s="2"/>
      <c r="J158" s="19">
        <f t="shared" si="7"/>
        <v>0</v>
      </c>
      <c r="K158" s="2"/>
      <c r="L158" s="2">
        <f t="shared" si="8"/>
        <v>0</v>
      </c>
      <c r="M158" s="2"/>
      <c r="N158" s="19">
        <f t="shared" si="9"/>
        <v>0</v>
      </c>
      <c r="O158" s="11"/>
      <c r="P158" s="2">
        <v>70.78</v>
      </c>
      <c r="Q158" s="2"/>
      <c r="R158" s="19">
        <f t="shared" si="10"/>
        <v>1.2333398684547719E-5</v>
      </c>
      <c r="S158" s="2"/>
      <c r="T158" s="2"/>
      <c r="U158" s="2"/>
      <c r="V158" s="19">
        <f t="shared" si="11"/>
        <v>0</v>
      </c>
      <c r="W158" s="2"/>
      <c r="X158" s="2">
        <f t="shared" si="12"/>
        <v>70.78</v>
      </c>
      <c r="Y158" s="2"/>
      <c r="Z158" s="19">
        <f t="shared" si="13"/>
        <v>0</v>
      </c>
    </row>
    <row r="159" spans="1:26" x14ac:dyDescent="0.25">
      <c r="A159" s="9"/>
      <c r="B159" s="10"/>
      <c r="C159" s="10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O159" s="10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25">
      <c r="A160" s="10"/>
      <c r="B160" s="28" t="s">
        <v>6</v>
      </c>
      <c r="C160" s="28"/>
      <c r="D160" s="22">
        <f>D12-D107</f>
        <v>535807.63000000035</v>
      </c>
      <c r="E160" s="14"/>
      <c r="F160" s="20">
        <f>IF(D$12=0,0,D160/D$12)</f>
        <v>0.53134468533071455</v>
      </c>
      <c r="G160" s="14"/>
      <c r="H160" s="22">
        <f>H12-H107</f>
        <v>542299.15738000022</v>
      </c>
      <c r="I160" s="14"/>
      <c r="J160" s="20">
        <f>IF(H$12=0,0,H160/H$12)</f>
        <v>0.54229774270957065</v>
      </c>
      <c r="K160" s="16"/>
      <c r="L160" s="22">
        <f>+D160-H160</f>
        <v>-6491.5273799998686</v>
      </c>
      <c r="M160" s="16"/>
      <c r="N160" s="20">
        <f>IF(H160=0,0,L160/H160)</f>
        <v>-1.197038072373607E-2</v>
      </c>
      <c r="O160" s="29"/>
      <c r="P160" s="22">
        <f>P12-P107</f>
        <v>2390156.689999999</v>
      </c>
      <c r="Q160" s="14"/>
      <c r="R160" s="20">
        <f>IF(P$12=0,0,P160/P$12)</f>
        <v>0.41648425227901831</v>
      </c>
      <c r="S160" s="14"/>
      <c r="T160" s="22">
        <f>T12-T107</f>
        <v>2522158.8653900004</v>
      </c>
      <c r="U160" s="14"/>
      <c r="V160" s="20">
        <f>IF(T$12=0,0,T160/T$12)</f>
        <v>0.42007593871148768</v>
      </c>
      <c r="W160" s="16"/>
      <c r="X160" s="22">
        <f>+P160-T160</f>
        <v>-132002.17539000139</v>
      </c>
      <c r="Y160" s="16"/>
      <c r="Z160" s="20">
        <f>IF(T160=0,0,X160/T160)</f>
        <v>-5.2336978927610078E-2</v>
      </c>
    </row>
    <row r="161" spans="1:26" x14ac:dyDescent="0.25">
      <c r="A161" s="9"/>
      <c r="B161" s="10"/>
      <c r="C161" s="9"/>
      <c r="D161" s="1"/>
      <c r="E161" s="1"/>
      <c r="F161" s="5"/>
      <c r="G161" s="1"/>
      <c r="H161" s="1"/>
      <c r="I161" s="1"/>
      <c r="J161" s="5"/>
      <c r="K161" s="1"/>
      <c r="L161" s="1"/>
      <c r="M161" s="1"/>
      <c r="N161" s="5"/>
      <c r="O161" s="36"/>
      <c r="P161" s="1"/>
      <c r="Q161" s="1"/>
      <c r="R161" s="5"/>
      <c r="S161" s="1"/>
      <c r="T161" s="1"/>
      <c r="U161" s="1"/>
      <c r="V161" s="5"/>
      <c r="W161" s="1"/>
      <c r="X161" s="1"/>
      <c r="Y161" s="1"/>
      <c r="Z161" s="5"/>
    </row>
    <row r="162" spans="1:26" s="23" customFormat="1" x14ac:dyDescent="0.25">
      <c r="A162" s="10"/>
      <c r="B162" s="29" t="s">
        <v>9</v>
      </c>
      <c r="C162" s="10"/>
      <c r="D162" s="21">
        <f>SUM(OSRRefD22x_0)</f>
        <v>542482.10000000009</v>
      </c>
      <c r="E162" s="21"/>
      <c r="F162" s="35">
        <f t="shared" ref="F162:F173" si="14">IF(D$12=0,0,D162/D$12)</f>
        <v>0.53796356114235455</v>
      </c>
      <c r="G162" s="21"/>
      <c r="H162" s="21">
        <f>SUM(OSRRefH22x_0)</f>
        <v>530615.35996974586</v>
      </c>
      <c r="I162" s="21"/>
      <c r="J162" s="35">
        <f t="shared" ref="J162:J173" si="15">IF(H$12=0,0,H162/H$12)</f>
        <v>0.53061397577829172</v>
      </c>
      <c r="K162" s="4"/>
      <c r="L162" s="21">
        <f t="shared" ref="L162:L173" si="16">+D162-H162</f>
        <v>11866.740030254237</v>
      </c>
      <c r="M162" s="4"/>
      <c r="N162" s="35">
        <f t="shared" ref="N162:N173" si="17">IF(H162=0,0,L162/H162)</f>
        <v>2.2364109532997393E-2</v>
      </c>
      <c r="O162" s="10"/>
      <c r="P162" s="21">
        <f>SUM(OSRRefP22x_0)</f>
        <v>1960199.8500000003</v>
      </c>
      <c r="Q162" s="21"/>
      <c r="R162" s="35">
        <f t="shared" ref="R162:R173" si="18">IF(P$12=0,0,P162/P$12)</f>
        <v>0.3415643720180932</v>
      </c>
      <c r="S162" s="21"/>
      <c r="T162" s="21">
        <f>SUM(OSRRefT22x_0)</f>
        <v>2055864.2293362964</v>
      </c>
      <c r="U162" s="21"/>
      <c r="V162" s="35">
        <f t="shared" ref="V162:V173" si="19">IF(T$12=0,0,T162/T$12)</f>
        <v>0.34241264808998179</v>
      </c>
      <c r="W162" s="4"/>
      <c r="X162" s="21">
        <f t="shared" ref="X162:X173" si="20">+P162-T162</f>
        <v>-95664.379336296115</v>
      </c>
      <c r="Y162" s="4"/>
      <c r="Z162" s="35">
        <f t="shared" ref="Z162:Z173" si="21">IF(T162=0,0,X162/T162)</f>
        <v>-4.6532440212348002E-2</v>
      </c>
    </row>
    <row r="163" spans="1:26" s="26" customFormat="1" outlineLevel="1" collapsed="1" x14ac:dyDescent="0.25">
      <c r="A163" s="25"/>
      <c r="B163" s="13" t="str">
        <f>CONCATENATE("     ","*Benefits                                         ")</f>
        <v xml:space="preserve">     *Benefits                                         </v>
      </c>
      <c r="C163" s="13"/>
      <c r="D163" s="1">
        <f>SUM(OSRRefD22_0x_0)</f>
        <v>77629.350000000006</v>
      </c>
      <c r="E163" s="1"/>
      <c r="F163" s="5">
        <f t="shared" si="14"/>
        <v>7.6982745744359551E-2</v>
      </c>
      <c r="G163" s="1"/>
      <c r="H163" s="1">
        <f>SUM(OSRRefH22_0x_0)</f>
        <v>66378.420615217445</v>
      </c>
      <c r="I163" s="1"/>
      <c r="J163" s="5">
        <f t="shared" si="15"/>
        <v>6.6378247456938419E-2</v>
      </c>
      <c r="K163" s="1"/>
      <c r="L163" s="1">
        <f t="shared" si="16"/>
        <v>11250.929384782561</v>
      </c>
      <c r="M163" s="1"/>
      <c r="N163" s="5">
        <f t="shared" si="17"/>
        <v>0.1694967924892635</v>
      </c>
      <c r="O163" s="13"/>
      <c r="P163" s="1">
        <f>SUM(OSRRefP22_0x_0)</f>
        <v>276001.83</v>
      </c>
      <c r="Q163" s="1"/>
      <c r="R163" s="5">
        <f t="shared" si="18"/>
        <v>4.8093255256495666E-2</v>
      </c>
      <c r="S163" s="1"/>
      <c r="T163" s="1">
        <f>SUM(OSRRefT22_0x_0)</f>
        <v>257130.2524679779</v>
      </c>
      <c r="U163" s="1"/>
      <c r="V163" s="5">
        <f t="shared" si="19"/>
        <v>4.2826101741178561E-2</v>
      </c>
      <c r="W163" s="1"/>
      <c r="X163" s="1">
        <f t="shared" si="20"/>
        <v>18871.577532022115</v>
      </c>
      <c r="Y163" s="1"/>
      <c r="Z163" s="5">
        <f t="shared" si="21"/>
        <v>7.3393065774601196E-2</v>
      </c>
    </row>
    <row r="164" spans="1:26" s="24" customFormat="1" hidden="1" outlineLevel="2" x14ac:dyDescent="0.25">
      <c r="A164" s="27"/>
      <c r="B164" s="11" t="str">
        <f>CONCATENATE("          ", "6111", " - ", "F.I.C.A.")</f>
        <v xml:space="preserve">          6111 - F.I.C.A.</v>
      </c>
      <c r="C164" s="11"/>
      <c r="D164" s="6">
        <v>19899.060000000001</v>
      </c>
      <c r="E164" s="2"/>
      <c r="F164" s="7">
        <f t="shared" si="14"/>
        <v>1.9733313193164122E-2</v>
      </c>
      <c r="G164" s="2"/>
      <c r="H164" s="6">
        <v>11184.354847198558</v>
      </c>
      <c r="I164" s="2"/>
      <c r="J164" s="7">
        <f t="shared" si="15"/>
        <v>1.1184325671095551E-2</v>
      </c>
      <c r="K164" s="2"/>
      <c r="L164" s="6">
        <f t="shared" si="16"/>
        <v>8714.7051528014435</v>
      </c>
      <c r="M164" s="2"/>
      <c r="N164" s="7">
        <f t="shared" si="17"/>
        <v>0.7791871119847642</v>
      </c>
      <c r="O164" s="11"/>
      <c r="P164" s="6">
        <v>59042.71</v>
      </c>
      <c r="Q164" s="2"/>
      <c r="R164" s="7">
        <f t="shared" si="18"/>
        <v>1.0288178607602888E-2</v>
      </c>
      <c r="S164" s="2"/>
      <c r="T164" s="6">
        <v>49899.352509040509</v>
      </c>
      <c r="U164" s="2"/>
      <c r="V164" s="7">
        <f t="shared" si="19"/>
        <v>8.3109425159423288E-3</v>
      </c>
      <c r="W164" s="2"/>
      <c r="X164" s="6">
        <f t="shared" si="20"/>
        <v>9143.35749095949</v>
      </c>
      <c r="Y164" s="2"/>
      <c r="Z164" s="7">
        <f t="shared" si="21"/>
        <v>0.1832359946815531</v>
      </c>
    </row>
    <row r="165" spans="1:26" s="24" customFormat="1" hidden="1" outlineLevel="2" x14ac:dyDescent="0.25">
      <c r="A165" s="27"/>
      <c r="B165" s="11" t="str">
        <f>CONCATENATE("          ", "6112", " - ", "COMPENSATION INSURANCE")</f>
        <v xml:space="preserve">          6112 - COMPENSATION INSURANCE</v>
      </c>
      <c r="C165" s="11"/>
      <c r="D165" s="6">
        <v>296.35000000000002</v>
      </c>
      <c r="E165" s="2"/>
      <c r="F165" s="7">
        <f t="shared" si="14"/>
        <v>2.9388158861746175E-4</v>
      </c>
      <c r="G165" s="2"/>
      <c r="H165" s="6">
        <v>5180.5239605288416</v>
      </c>
      <c r="I165" s="2"/>
      <c r="J165" s="7">
        <f t="shared" si="15"/>
        <v>5.1805104463384603E-3</v>
      </c>
      <c r="K165" s="2"/>
      <c r="L165" s="6">
        <f t="shared" si="16"/>
        <v>-4884.1739605288412</v>
      </c>
      <c r="M165" s="2"/>
      <c r="N165" s="7">
        <f t="shared" si="17"/>
        <v>-0.94279536157772192</v>
      </c>
      <c r="O165" s="11"/>
      <c r="P165" s="6">
        <v>11116.64</v>
      </c>
      <c r="Q165" s="2"/>
      <c r="R165" s="7">
        <f t="shared" si="18"/>
        <v>1.9370719575104625E-3</v>
      </c>
      <c r="S165" s="2"/>
      <c r="T165" s="6">
        <v>18873.732002903842</v>
      </c>
      <c r="U165" s="2"/>
      <c r="V165" s="7">
        <f t="shared" si="19"/>
        <v>3.1434977379519321E-3</v>
      </c>
      <c r="W165" s="2"/>
      <c r="X165" s="6">
        <f t="shared" si="20"/>
        <v>-7757.0920029038425</v>
      </c>
      <c r="Y165" s="2"/>
      <c r="Z165" s="7">
        <f t="shared" si="21"/>
        <v>-0.41099937212790588</v>
      </c>
    </row>
    <row r="166" spans="1:26" s="24" customFormat="1" hidden="1" outlineLevel="2" x14ac:dyDescent="0.25">
      <c r="A166" s="27"/>
      <c r="B166" s="11" t="str">
        <f>CONCATENATE("          ", "6113", " - ", "GROUP INSURANCE")</f>
        <v xml:space="preserve">          6113 - GROUP INSURANCE</v>
      </c>
      <c r="C166" s="11"/>
      <c r="D166" s="6">
        <v>25383.670000000002</v>
      </c>
      <c r="E166" s="2"/>
      <c r="F166" s="7">
        <f t="shared" si="14"/>
        <v>2.5172239799363606E-2</v>
      </c>
      <c r="G166" s="2"/>
      <c r="H166" s="6">
        <v>24980.511538461542</v>
      </c>
      <c r="I166" s="2"/>
      <c r="J166" s="7">
        <f t="shared" si="15"/>
        <v>2.4980446372970304E-2</v>
      </c>
      <c r="K166" s="2"/>
      <c r="L166" s="6">
        <f t="shared" si="16"/>
        <v>403.15846153845996</v>
      </c>
      <c r="M166" s="2"/>
      <c r="N166" s="7">
        <f t="shared" si="17"/>
        <v>1.6138919369914913E-2</v>
      </c>
      <c r="O166" s="11"/>
      <c r="P166" s="6">
        <v>101549.93</v>
      </c>
      <c r="Q166" s="2"/>
      <c r="R166" s="7">
        <f t="shared" si="18"/>
        <v>1.769505189429094E-2</v>
      </c>
      <c r="S166" s="2"/>
      <c r="T166" s="6">
        <v>98978.661538461543</v>
      </c>
      <c r="U166" s="2"/>
      <c r="V166" s="7">
        <f t="shared" si="19"/>
        <v>1.6485303415550941E-2</v>
      </c>
      <c r="W166" s="2"/>
      <c r="X166" s="6">
        <f t="shared" si="20"/>
        <v>2571.2684615384496</v>
      </c>
      <c r="Y166" s="2"/>
      <c r="Z166" s="7">
        <f t="shared" si="21"/>
        <v>2.5978008002657173E-2</v>
      </c>
    </row>
    <row r="167" spans="1:26" s="24" customFormat="1" hidden="1" outlineLevel="2" x14ac:dyDescent="0.25">
      <c r="A167" s="27"/>
      <c r="B167" s="11" t="str">
        <f>CONCATENATE("          ", "6114", " - ", "STATE UNEMPLOYMENT INSURANCE")</f>
        <v xml:space="preserve">          6114 - STATE UNEMPLOYMENT INSURANCE</v>
      </c>
      <c r="C167" s="11"/>
      <c r="D167" s="6">
        <v>806.06</v>
      </c>
      <c r="E167" s="2"/>
      <c r="F167" s="7">
        <f t="shared" si="14"/>
        <v>7.993460209920404E-4</v>
      </c>
      <c r="G167" s="2"/>
      <c r="H167" s="6">
        <v>729.06142593842401</v>
      </c>
      <c r="I167" s="2"/>
      <c r="J167" s="7">
        <f t="shared" si="15"/>
        <v>7.2905952407000582E-4</v>
      </c>
      <c r="K167" s="2"/>
      <c r="L167" s="6">
        <f t="shared" si="16"/>
        <v>76.998574061575937</v>
      </c>
      <c r="M167" s="2"/>
      <c r="N167" s="7">
        <f t="shared" si="17"/>
        <v>0.1056132876080584</v>
      </c>
      <c r="O167" s="11"/>
      <c r="P167" s="6">
        <v>2537.13</v>
      </c>
      <c r="Q167" s="2"/>
      <c r="R167" s="7">
        <f t="shared" si="18"/>
        <v>4.4209431766779531E-4</v>
      </c>
      <c r="S167" s="2"/>
      <c r="T167" s="6">
        <v>2657.388603027568</v>
      </c>
      <c r="U167" s="2"/>
      <c r="V167" s="7">
        <f t="shared" si="19"/>
        <v>4.4259900803885355E-4</v>
      </c>
      <c r="W167" s="2"/>
      <c r="X167" s="6">
        <f t="shared" si="20"/>
        <v>-120.25860302756791</v>
      </c>
      <c r="Y167" s="2"/>
      <c r="Z167" s="7">
        <f t="shared" si="21"/>
        <v>-4.5254428686326516E-2</v>
      </c>
    </row>
    <row r="168" spans="1:26" s="24" customFormat="1" hidden="1" outlineLevel="2" x14ac:dyDescent="0.25">
      <c r="A168" s="27"/>
      <c r="B168" s="11" t="str">
        <f>CONCATENATE("          ", "6115", " - ", "P.E.R.S.")</f>
        <v xml:space="preserve">          6115 - P.E.R.S.</v>
      </c>
      <c r="C168" s="11"/>
      <c r="D168" s="6">
        <v>13247.35</v>
      </c>
      <c r="E168" s="2"/>
      <c r="F168" s="7">
        <f t="shared" si="14"/>
        <v>1.3137007804864287E-2</v>
      </c>
      <c r="G168" s="2"/>
      <c r="H168" s="6">
        <v>9384.5559252884559</v>
      </c>
      <c r="I168" s="2"/>
      <c r="J168" s="7">
        <f t="shared" si="15"/>
        <v>9.3845314442366577E-3</v>
      </c>
      <c r="K168" s="2"/>
      <c r="L168" s="6">
        <f t="shared" si="16"/>
        <v>3862.7940747115445</v>
      </c>
      <c r="M168" s="2"/>
      <c r="N168" s="7">
        <f t="shared" si="17"/>
        <v>0.41161181258481472</v>
      </c>
      <c r="O168" s="11"/>
      <c r="P168" s="6">
        <v>36431.009999999995</v>
      </c>
      <c r="Q168" s="2"/>
      <c r="R168" s="7">
        <f t="shared" si="18"/>
        <v>6.3480950948113122E-3</v>
      </c>
      <c r="S168" s="2"/>
      <c r="T168" s="6">
        <v>33784.401331038433</v>
      </c>
      <c r="U168" s="2"/>
      <c r="V168" s="7">
        <f t="shared" si="19"/>
        <v>5.6269310778514735E-3</v>
      </c>
      <c r="W168" s="2"/>
      <c r="X168" s="6">
        <f t="shared" si="20"/>
        <v>2646.6086689615622</v>
      </c>
      <c r="Y168" s="2"/>
      <c r="Z168" s="7">
        <f t="shared" si="21"/>
        <v>7.8338184626349075E-2</v>
      </c>
    </row>
    <row r="169" spans="1:26" s="24" customFormat="1" hidden="1" outlineLevel="2" x14ac:dyDescent="0.25">
      <c r="A169" s="27"/>
      <c r="B169" s="11" t="str">
        <f>CONCATENATE("          ", "6116", " - ", "EDUCATIONAL BENEFITS")</f>
        <v xml:space="preserve">          6116 - EDUCATIONAL BENEFITS</v>
      </c>
      <c r="C169" s="11"/>
      <c r="D169" s="6"/>
      <c r="E169" s="2"/>
      <c r="F169" s="7">
        <f t="shared" si="14"/>
        <v>0</v>
      </c>
      <c r="G169" s="2"/>
      <c r="H169" s="6">
        <v>0</v>
      </c>
      <c r="I169" s="2"/>
      <c r="J169" s="7">
        <f t="shared" si="15"/>
        <v>0</v>
      </c>
      <c r="K169" s="2"/>
      <c r="L169" s="6">
        <f t="shared" si="16"/>
        <v>0</v>
      </c>
      <c r="M169" s="2"/>
      <c r="N169" s="7">
        <f t="shared" si="17"/>
        <v>0</v>
      </c>
      <c r="O169" s="11"/>
      <c r="P169" s="6"/>
      <c r="Q169" s="2"/>
      <c r="R169" s="7">
        <f t="shared" si="18"/>
        <v>0</v>
      </c>
      <c r="S169" s="2"/>
      <c r="T169" s="6">
        <v>0</v>
      </c>
      <c r="U169" s="2"/>
      <c r="V169" s="7">
        <f t="shared" si="19"/>
        <v>0</v>
      </c>
      <c r="W169" s="2"/>
      <c r="X169" s="6">
        <f t="shared" si="20"/>
        <v>0</v>
      </c>
      <c r="Y169" s="2"/>
      <c r="Z169" s="7">
        <f t="shared" si="21"/>
        <v>0</v>
      </c>
    </row>
    <row r="170" spans="1:26" s="24" customFormat="1" hidden="1" outlineLevel="2" x14ac:dyDescent="0.25">
      <c r="A170" s="27"/>
      <c r="B170" s="11" t="str">
        <f>CONCATENATE("          ", "6117", " - ", "RETIREMENT STAFF HOURLY")</f>
        <v xml:space="preserve">          6117 - RETIREMENT STAFF HOURLY</v>
      </c>
      <c r="C170" s="11"/>
      <c r="D170" s="6">
        <v>91.29</v>
      </c>
      <c r="E170" s="2"/>
      <c r="F170" s="7">
        <f t="shared" si="14"/>
        <v>9.0529611017000451E-5</v>
      </c>
      <c r="G170" s="2"/>
      <c r="H170" s="6"/>
      <c r="I170" s="2"/>
      <c r="J170" s="7">
        <f t="shared" si="15"/>
        <v>0</v>
      </c>
      <c r="K170" s="2"/>
      <c r="L170" s="6">
        <f t="shared" si="16"/>
        <v>91.29</v>
      </c>
      <c r="M170" s="2"/>
      <c r="N170" s="7">
        <f t="shared" si="17"/>
        <v>0</v>
      </c>
      <c r="O170" s="11"/>
      <c r="P170" s="6">
        <v>552.63</v>
      </c>
      <c r="Q170" s="2"/>
      <c r="R170" s="7">
        <f t="shared" si="18"/>
        <v>9.6295650113614091E-5</v>
      </c>
      <c r="S170" s="2"/>
      <c r="T170" s="6"/>
      <c r="U170" s="2"/>
      <c r="V170" s="7">
        <f t="shared" si="19"/>
        <v>0</v>
      </c>
      <c r="W170" s="2"/>
      <c r="X170" s="6">
        <f t="shared" si="20"/>
        <v>552.63</v>
      </c>
      <c r="Y170" s="2"/>
      <c r="Z170" s="7">
        <f t="shared" si="21"/>
        <v>0</v>
      </c>
    </row>
    <row r="171" spans="1:26" s="24" customFormat="1" hidden="1" outlineLevel="2" x14ac:dyDescent="0.25">
      <c r="A171" s="27"/>
      <c r="B171" s="11" t="str">
        <f>CONCATENATE("          ", "6118", " - ", "VACATION")</f>
        <v xml:space="preserve">          6118 - VACATION</v>
      </c>
      <c r="C171" s="11"/>
      <c r="D171" s="6">
        <v>8818.23</v>
      </c>
      <c r="E171" s="2"/>
      <c r="F171" s="7">
        <f t="shared" si="14"/>
        <v>8.7447796227236689E-3</v>
      </c>
      <c r="G171" s="2"/>
      <c r="H171" s="6">
        <v>6265.8123640576905</v>
      </c>
      <c r="I171" s="2"/>
      <c r="J171" s="7">
        <f t="shared" si="15"/>
        <v>6.2657960187262477E-3</v>
      </c>
      <c r="K171" s="2"/>
      <c r="L171" s="6">
        <f t="shared" si="16"/>
        <v>2552.4176359423091</v>
      </c>
      <c r="M171" s="2"/>
      <c r="N171" s="7">
        <f t="shared" si="17"/>
        <v>0.40735621937605926</v>
      </c>
      <c r="O171" s="11"/>
      <c r="P171" s="6">
        <v>29763.279999999999</v>
      </c>
      <c r="Q171" s="2"/>
      <c r="R171" s="7">
        <f t="shared" si="18"/>
        <v>5.1862446792854677E-3</v>
      </c>
      <c r="S171" s="2"/>
      <c r="T171" s="6">
        <v>22542.092510607683</v>
      </c>
      <c r="U171" s="2"/>
      <c r="V171" s="7">
        <f t="shared" si="19"/>
        <v>3.7544782772636611E-3</v>
      </c>
      <c r="W171" s="2"/>
      <c r="X171" s="6">
        <f t="shared" si="20"/>
        <v>7221.1874893923159</v>
      </c>
      <c r="Y171" s="2"/>
      <c r="Z171" s="7">
        <f t="shared" si="21"/>
        <v>0.3203423766446804</v>
      </c>
    </row>
    <row r="172" spans="1:26" s="24" customFormat="1" hidden="1" outlineLevel="2" x14ac:dyDescent="0.25">
      <c r="A172" s="27"/>
      <c r="B172" s="11" t="str">
        <f>CONCATENATE("          ", "6119", " - ", "SICK LEAVE")</f>
        <v xml:space="preserve">          6119 - SICK LEAVE</v>
      </c>
      <c r="C172" s="11"/>
      <c r="D172" s="6">
        <v>6251.77</v>
      </c>
      <c r="E172" s="2"/>
      <c r="F172" s="7">
        <f t="shared" si="14"/>
        <v>6.1996966400235829E-3</v>
      </c>
      <c r="G172" s="2"/>
      <c r="H172" s="6">
        <v>7103.6005537439314</v>
      </c>
      <c r="I172" s="2"/>
      <c r="J172" s="7">
        <f t="shared" si="15"/>
        <v>7.1035820229136508E-3</v>
      </c>
      <c r="K172" s="2"/>
      <c r="L172" s="6">
        <f t="shared" si="16"/>
        <v>-851.83055374393098</v>
      </c>
      <c r="M172" s="2"/>
      <c r="N172" s="7">
        <f t="shared" si="17"/>
        <v>-0.11991532284215731</v>
      </c>
      <c r="O172" s="11"/>
      <c r="P172" s="6">
        <v>24522.31</v>
      </c>
      <c r="Q172" s="2"/>
      <c r="R172" s="7">
        <f t="shared" si="18"/>
        <v>4.2730068648780921E-3</v>
      </c>
      <c r="S172" s="2"/>
      <c r="T172" s="6">
        <v>24069.623972898324</v>
      </c>
      <c r="U172" s="2"/>
      <c r="V172" s="7">
        <f t="shared" si="19"/>
        <v>4.0088949287039937E-3</v>
      </c>
      <c r="W172" s="2"/>
      <c r="X172" s="6">
        <f t="shared" si="20"/>
        <v>452.68602710167761</v>
      </c>
      <c r="Y172" s="2"/>
      <c r="Z172" s="7">
        <f t="shared" si="21"/>
        <v>1.8807357672533168E-2</v>
      </c>
    </row>
    <row r="173" spans="1:26" s="24" customFormat="1" hidden="1" outlineLevel="2" x14ac:dyDescent="0.25">
      <c r="A173" s="27"/>
      <c r="B173" s="11" t="str">
        <f>CONCATENATE("          ", "6156", " - ", "EMPLOYEE MEALS")</f>
        <v xml:space="preserve">          6156 - EMPLOYEE MEALS</v>
      </c>
      <c r="C173" s="11"/>
      <c r="D173" s="6">
        <v>2835.57</v>
      </c>
      <c r="E173" s="2"/>
      <c r="F173" s="7">
        <f t="shared" si="14"/>
        <v>2.8119514635937775E-3</v>
      </c>
      <c r="G173" s="2"/>
      <c r="H173" s="6">
        <v>1550</v>
      </c>
      <c r="I173" s="2"/>
      <c r="J173" s="7">
        <f t="shared" si="15"/>
        <v>1.5499959565875476E-3</v>
      </c>
      <c r="K173" s="2"/>
      <c r="L173" s="6">
        <f t="shared" si="16"/>
        <v>1285.5700000000002</v>
      </c>
      <c r="M173" s="2"/>
      <c r="N173" s="7">
        <f t="shared" si="17"/>
        <v>0.82940000000000014</v>
      </c>
      <c r="O173" s="11"/>
      <c r="P173" s="6">
        <v>10486.19</v>
      </c>
      <c r="Q173" s="2"/>
      <c r="R173" s="7">
        <f t="shared" si="18"/>
        <v>1.8272161903350869E-3</v>
      </c>
      <c r="S173" s="2"/>
      <c r="T173" s="6">
        <v>6325</v>
      </c>
      <c r="U173" s="2"/>
      <c r="V173" s="7">
        <f t="shared" si="19"/>
        <v>1.0534547798753794E-3</v>
      </c>
      <c r="W173" s="2"/>
      <c r="X173" s="6">
        <f t="shared" si="20"/>
        <v>4161.1900000000005</v>
      </c>
      <c r="Y173" s="2"/>
      <c r="Z173" s="7">
        <f t="shared" si="21"/>
        <v>0.6578956521739131</v>
      </c>
    </row>
    <row r="174" spans="1:26" s="26" customFormat="1" outlineLevel="1" collapsed="1" x14ac:dyDescent="0.25">
      <c r="A174" s="25"/>
      <c r="B174" s="13" t="str">
        <f>CONCATENATE("     ","*Payroll                                          ")</f>
        <v xml:space="preserve">     *Payroll                                          </v>
      </c>
      <c r="C174" s="13"/>
      <c r="D174" s="1">
        <f>SUM(OSRRefD22_1x_0)</f>
        <v>263833.62</v>
      </c>
      <c r="E174" s="1"/>
      <c r="F174" s="5">
        <f t="shared" ref="F174:F184" si="22">IF(D$12=0,0,D174/D$12)</f>
        <v>0.26163604986096073</v>
      </c>
      <c r="G174" s="1"/>
      <c r="H174" s="1">
        <f>SUM(OSRRefH22_1x_0)</f>
        <v>269602.4393545285</v>
      </c>
      <c r="I174" s="1"/>
      <c r="J174" s="5">
        <f t="shared" ref="J174:J184" si="23">IF(H$12=0,0,H174/H$12)</f>
        <v>0.26960173605526366</v>
      </c>
      <c r="K174" s="1"/>
      <c r="L174" s="1">
        <f t="shared" ref="L174:L184" si="24">+D174-H174</f>
        <v>-5768.819354528503</v>
      </c>
      <c r="M174" s="1"/>
      <c r="N174" s="5">
        <f t="shared" ref="N174:N184" si="25">IF(H174=0,0,L174/H174)</f>
        <v>-2.139750429684532E-2</v>
      </c>
      <c r="O174" s="13"/>
      <c r="P174" s="1">
        <f>SUM(OSRRefP22_1x_0)</f>
        <v>971669.97</v>
      </c>
      <c r="Q174" s="1"/>
      <c r="R174" s="5">
        <f t="shared" ref="R174:R184" si="26">IF(P$12=0,0,P174/P$12)</f>
        <v>0.16931326829348009</v>
      </c>
      <c r="S174" s="1"/>
      <c r="T174" s="1">
        <f>SUM(OSRRefT22_1x_0)</f>
        <v>983922.97686831839</v>
      </c>
      <c r="U174" s="1"/>
      <c r="V174" s="5">
        <f t="shared" ref="V174:V184" si="27">IF(T$12=0,0,T174/T$12)</f>
        <v>0.16387642102942965</v>
      </c>
      <c r="W174" s="1"/>
      <c r="X174" s="1">
        <f t="shared" ref="X174:X184" si="28">+P174-T174</f>
        <v>-12253.006868318422</v>
      </c>
      <c r="Y174" s="1"/>
      <c r="Z174" s="5">
        <f t="shared" ref="Z174:Z184" si="29">IF(T174=0,0,X174/T174)</f>
        <v>-1.2453217534687455E-2</v>
      </c>
    </row>
    <row r="175" spans="1:26" s="24" customFormat="1" hidden="1" outlineLevel="2" x14ac:dyDescent="0.25">
      <c r="A175" s="27"/>
      <c r="B175" s="11" t="str">
        <f>CONCATENATE("          ", "6001", " - ", "ADMINISTRATIVE SALARIES")</f>
        <v xml:space="preserve">          6001 - ADMINISTRATIVE SALARIES</v>
      </c>
      <c r="C175" s="11"/>
      <c r="D175" s="6">
        <v>12324.99</v>
      </c>
      <c r="E175" s="2"/>
      <c r="F175" s="7">
        <f t="shared" si="22"/>
        <v>1.2222330490616938E-2</v>
      </c>
      <c r="G175" s="2"/>
      <c r="H175" s="6">
        <v>46636.641704230766</v>
      </c>
      <c r="I175" s="2"/>
      <c r="J175" s="7">
        <f t="shared" si="23"/>
        <v>4.6636520045406381E-2</v>
      </c>
      <c r="K175" s="2"/>
      <c r="L175" s="6">
        <f t="shared" si="24"/>
        <v>-34311.651704230768</v>
      </c>
      <c r="M175" s="2"/>
      <c r="N175" s="7">
        <f t="shared" si="25"/>
        <v>-0.73572303773146885</v>
      </c>
      <c r="O175" s="11"/>
      <c r="P175" s="6">
        <v>46083.689999999995</v>
      </c>
      <c r="Q175" s="2"/>
      <c r="R175" s="7">
        <f t="shared" si="26"/>
        <v>8.0300723597782533E-3</v>
      </c>
      <c r="S175" s="2"/>
      <c r="T175" s="6">
        <v>167891.91013523078</v>
      </c>
      <c r="U175" s="2"/>
      <c r="V175" s="7">
        <f t="shared" si="27"/>
        <v>2.7963088574603404E-2</v>
      </c>
      <c r="W175" s="2"/>
      <c r="X175" s="6">
        <f t="shared" si="28"/>
        <v>-121808.22013523077</v>
      </c>
      <c r="Y175" s="2"/>
      <c r="Z175" s="7">
        <f t="shared" si="29"/>
        <v>-0.72551572042463941</v>
      </c>
    </row>
    <row r="176" spans="1:26" s="24" customFormat="1" hidden="1" outlineLevel="2" x14ac:dyDescent="0.25">
      <c r="A176" s="27"/>
      <c r="B176" s="11" t="str">
        <f>CONCATENATE("          ", "6002", " - ", "STAFF SALARIES")</f>
        <v xml:space="preserve">          6002 - STAFF SALARIES</v>
      </c>
      <c r="C176" s="11"/>
      <c r="D176" s="6">
        <v>85017.090000000011</v>
      </c>
      <c r="E176" s="2"/>
      <c r="F176" s="7">
        <f t="shared" si="22"/>
        <v>8.4308950460042928E-2</v>
      </c>
      <c r="G176" s="2"/>
      <c r="H176" s="6">
        <v>53364.643182057691</v>
      </c>
      <c r="I176" s="2"/>
      <c r="J176" s="7">
        <f t="shared" si="23"/>
        <v>5.336450397221075E-2</v>
      </c>
      <c r="K176" s="2"/>
      <c r="L176" s="6">
        <f t="shared" si="24"/>
        <v>31652.44681794232</v>
      </c>
      <c r="M176" s="2"/>
      <c r="N176" s="7">
        <f t="shared" si="25"/>
        <v>0.59313517210182598</v>
      </c>
      <c r="O176" s="11"/>
      <c r="P176" s="6">
        <v>316110.94</v>
      </c>
      <c r="Q176" s="2"/>
      <c r="R176" s="7">
        <f t="shared" si="26"/>
        <v>5.5082258428470511E-2</v>
      </c>
      <c r="S176" s="2"/>
      <c r="T176" s="6">
        <v>192112.71545540774</v>
      </c>
      <c r="U176" s="2"/>
      <c r="V176" s="7">
        <f t="shared" si="27"/>
        <v>3.1997163378867662E-2</v>
      </c>
      <c r="W176" s="2"/>
      <c r="X176" s="6">
        <f t="shared" si="28"/>
        <v>123998.22454459226</v>
      </c>
      <c r="Y176" s="2"/>
      <c r="Z176" s="7">
        <f t="shared" si="29"/>
        <v>0.64544517134460122</v>
      </c>
    </row>
    <row r="177" spans="1:26" s="24" customFormat="1" hidden="1" outlineLevel="2" x14ac:dyDescent="0.25">
      <c r="A177" s="27"/>
      <c r="B177" s="11" t="str">
        <f>CONCATENATE("          ", "6003", " - ", "STAFF HOURLY-9 MONTH")</f>
        <v xml:space="preserve">          6003 - STAFF HOURLY-9 MONTH</v>
      </c>
      <c r="C177" s="11"/>
      <c r="D177" s="6"/>
      <c r="E177" s="2"/>
      <c r="F177" s="7">
        <f t="shared" si="22"/>
        <v>0</v>
      </c>
      <c r="G177" s="2"/>
      <c r="H177" s="6">
        <v>0</v>
      </c>
      <c r="I177" s="2"/>
      <c r="J177" s="7">
        <f t="shared" si="23"/>
        <v>0</v>
      </c>
      <c r="K177" s="2"/>
      <c r="L177" s="6">
        <f t="shared" si="24"/>
        <v>0</v>
      </c>
      <c r="M177" s="2"/>
      <c r="N177" s="7">
        <f t="shared" si="25"/>
        <v>0</v>
      </c>
      <c r="O177" s="11"/>
      <c r="P177" s="6"/>
      <c r="Q177" s="2"/>
      <c r="R177" s="7">
        <f t="shared" si="26"/>
        <v>0</v>
      </c>
      <c r="S177" s="2"/>
      <c r="T177" s="6">
        <v>0</v>
      </c>
      <c r="U177" s="2"/>
      <c r="V177" s="7">
        <f t="shared" si="27"/>
        <v>0</v>
      </c>
      <c r="W177" s="2"/>
      <c r="X177" s="6">
        <f t="shared" si="28"/>
        <v>0</v>
      </c>
      <c r="Y177" s="2"/>
      <c r="Z177" s="7">
        <f t="shared" si="29"/>
        <v>0</v>
      </c>
    </row>
    <row r="178" spans="1:26" s="24" customFormat="1" hidden="1" outlineLevel="2" x14ac:dyDescent="0.25">
      <c r="A178" s="27"/>
      <c r="B178" s="11" t="str">
        <f>CONCATENATE("          ", "6004", " - ", "STAFF HOURLY")</f>
        <v xml:space="preserve">          6004 - STAFF HOURLY</v>
      </c>
      <c r="C178" s="11"/>
      <c r="D178" s="6">
        <v>4439.95</v>
      </c>
      <c r="E178" s="2"/>
      <c r="F178" s="7">
        <f t="shared" si="22"/>
        <v>4.4029679749691209E-3</v>
      </c>
      <c r="G178" s="2"/>
      <c r="H178" s="6">
        <v>28309.47954</v>
      </c>
      <c r="I178" s="2"/>
      <c r="J178" s="7">
        <f t="shared" si="23"/>
        <v>2.8309405690385748E-2</v>
      </c>
      <c r="K178" s="2"/>
      <c r="L178" s="6">
        <f t="shared" si="24"/>
        <v>-23869.52954</v>
      </c>
      <c r="M178" s="2"/>
      <c r="N178" s="7">
        <f t="shared" si="25"/>
        <v>-0.84316384221311613</v>
      </c>
      <c r="O178" s="11"/>
      <c r="P178" s="6">
        <v>10796.8</v>
      </c>
      <c r="Q178" s="2"/>
      <c r="R178" s="7">
        <f t="shared" si="26"/>
        <v>1.8813399112365752E-3</v>
      </c>
      <c r="S178" s="2"/>
      <c r="T178" s="6">
        <v>103111.983844</v>
      </c>
      <c r="U178" s="2"/>
      <c r="V178" s="7">
        <f t="shared" si="27"/>
        <v>1.717372525579363E-2</v>
      </c>
      <c r="W178" s="2"/>
      <c r="X178" s="6">
        <f t="shared" si="28"/>
        <v>-92315.183843999999</v>
      </c>
      <c r="Y178" s="2"/>
      <c r="Z178" s="7">
        <f t="shared" si="29"/>
        <v>-0.89529054143372244</v>
      </c>
    </row>
    <row r="179" spans="1:26" s="24" customFormat="1" hidden="1" outlineLevel="2" x14ac:dyDescent="0.25">
      <c r="A179" s="27"/>
      <c r="B179" s="11" t="str">
        <f>CONCATENATE("          ", "6005", " - ", "TEMPORARY WAGES-HOURLY")</f>
        <v xml:space="preserve">          6005 - TEMPORARY WAGES-HOURLY</v>
      </c>
      <c r="C179" s="11"/>
      <c r="D179" s="6">
        <v>34724.25</v>
      </c>
      <c r="E179" s="2"/>
      <c r="F179" s="7">
        <f t="shared" si="22"/>
        <v>3.4435018571114882E-2</v>
      </c>
      <c r="G179" s="2"/>
      <c r="H179" s="6">
        <v>5459.1</v>
      </c>
      <c r="I179" s="2"/>
      <c r="J179" s="7">
        <f t="shared" si="23"/>
        <v>5.4590857591013432E-3</v>
      </c>
      <c r="K179" s="2"/>
      <c r="L179" s="6">
        <f t="shared" si="24"/>
        <v>29265.15</v>
      </c>
      <c r="M179" s="2"/>
      <c r="N179" s="7">
        <f t="shared" si="25"/>
        <v>5.3608012309721378</v>
      </c>
      <c r="O179" s="11"/>
      <c r="P179" s="6">
        <v>101931.33</v>
      </c>
      <c r="Q179" s="2"/>
      <c r="R179" s="7">
        <f t="shared" si="26"/>
        <v>1.7761510756374672E-2</v>
      </c>
      <c r="S179" s="2"/>
      <c r="T179" s="6">
        <v>17750.240000000002</v>
      </c>
      <c r="U179" s="2"/>
      <c r="V179" s="7">
        <f t="shared" si="27"/>
        <v>2.9563755212545701E-3</v>
      </c>
      <c r="W179" s="2"/>
      <c r="X179" s="6">
        <f t="shared" si="28"/>
        <v>84181.09</v>
      </c>
      <c r="Y179" s="2"/>
      <c r="Z179" s="7">
        <f t="shared" si="29"/>
        <v>4.7425324953352739</v>
      </c>
    </row>
    <row r="180" spans="1:26" s="24" customFormat="1" hidden="1" outlineLevel="2" x14ac:dyDescent="0.25">
      <c r="A180" s="27"/>
      <c r="B180" s="11" t="str">
        <f>CONCATENATE("          ", "6006", " - ", "TEMPORARY PART TIME")</f>
        <v xml:space="preserve">          6006 - TEMPORARY PART TIME</v>
      </c>
      <c r="C180" s="11"/>
      <c r="D180" s="6">
        <v>7667.09</v>
      </c>
      <c r="E180" s="2"/>
      <c r="F180" s="7">
        <f t="shared" si="22"/>
        <v>7.603227903739007E-3</v>
      </c>
      <c r="G180" s="2"/>
      <c r="H180" s="6">
        <v>0</v>
      </c>
      <c r="I180" s="2"/>
      <c r="J180" s="7">
        <f t="shared" si="23"/>
        <v>0</v>
      </c>
      <c r="K180" s="2"/>
      <c r="L180" s="6">
        <f t="shared" si="24"/>
        <v>7667.09</v>
      </c>
      <c r="M180" s="2"/>
      <c r="N180" s="7">
        <f t="shared" si="25"/>
        <v>0</v>
      </c>
      <c r="O180" s="11"/>
      <c r="P180" s="6">
        <v>25227.070000000003</v>
      </c>
      <c r="Q180" s="2"/>
      <c r="R180" s="7">
        <f t="shared" si="26"/>
        <v>4.3958111324243184E-3</v>
      </c>
      <c r="S180" s="2"/>
      <c r="T180" s="6">
        <v>0</v>
      </c>
      <c r="U180" s="2"/>
      <c r="V180" s="7">
        <f t="shared" si="27"/>
        <v>0</v>
      </c>
      <c r="W180" s="2"/>
      <c r="X180" s="6">
        <f t="shared" si="28"/>
        <v>25227.070000000003</v>
      </c>
      <c r="Y180" s="2"/>
      <c r="Z180" s="7">
        <f t="shared" si="29"/>
        <v>0</v>
      </c>
    </row>
    <row r="181" spans="1:26" s="24" customFormat="1" hidden="1" outlineLevel="2" x14ac:dyDescent="0.25">
      <c r="A181" s="27"/>
      <c r="B181" s="11" t="str">
        <f>CONCATENATE("          ", "6007", " - ", "STUDENT HOURLY")</f>
        <v xml:space="preserve">          6007 - STUDENT HOURLY</v>
      </c>
      <c r="C181" s="11"/>
      <c r="D181" s="6">
        <v>116993.25</v>
      </c>
      <c r="E181" s="2"/>
      <c r="F181" s="7">
        <f t="shared" si="22"/>
        <v>0.11601876891351393</v>
      </c>
      <c r="G181" s="2"/>
      <c r="H181" s="6">
        <v>7395.7649999999994</v>
      </c>
      <c r="I181" s="2"/>
      <c r="J181" s="7">
        <f t="shared" si="23"/>
        <v>7.3957457070140025E-3</v>
      </c>
      <c r="K181" s="2"/>
      <c r="L181" s="6">
        <f t="shared" si="24"/>
        <v>109597.485</v>
      </c>
      <c r="M181" s="2"/>
      <c r="N181" s="7">
        <f t="shared" si="25"/>
        <v>14.81895179200529</v>
      </c>
      <c r="O181" s="11"/>
      <c r="P181" s="6">
        <v>459941.35</v>
      </c>
      <c r="Q181" s="2"/>
      <c r="R181" s="7">
        <f t="shared" si="26"/>
        <v>8.0144674216715187E-2</v>
      </c>
      <c r="S181" s="2"/>
      <c r="T181" s="6">
        <v>151518.5151132</v>
      </c>
      <c r="U181" s="2"/>
      <c r="V181" s="7">
        <f t="shared" si="27"/>
        <v>2.5236032250690984E-2</v>
      </c>
      <c r="W181" s="2"/>
      <c r="X181" s="6">
        <f t="shared" si="28"/>
        <v>308422.83488679997</v>
      </c>
      <c r="Y181" s="2"/>
      <c r="Z181" s="7">
        <f t="shared" si="29"/>
        <v>2.0355455216570477</v>
      </c>
    </row>
    <row r="182" spans="1:26" s="24" customFormat="1" hidden="1" outlineLevel="2" x14ac:dyDescent="0.25">
      <c r="A182" s="27"/>
      <c r="B182" s="11" t="str">
        <f>CONCATENATE("          ", "6008", " - ", "STUDENT HOURLY-FICA EXEMPT")</f>
        <v xml:space="preserve">          6008 - STUDENT HOURLY-FICA EXEMPT</v>
      </c>
      <c r="C182" s="11"/>
      <c r="D182" s="6">
        <v>2667</v>
      </c>
      <c r="E182" s="2"/>
      <c r="F182" s="7">
        <f t="shared" si="22"/>
        <v>2.644785546963963E-3</v>
      </c>
      <c r="G182" s="2"/>
      <c r="H182" s="6">
        <v>128436.80992824001</v>
      </c>
      <c r="I182" s="2"/>
      <c r="J182" s="7">
        <f t="shared" si="23"/>
        <v>0.12843647488114543</v>
      </c>
      <c r="K182" s="2"/>
      <c r="L182" s="6">
        <f t="shared" si="24"/>
        <v>-125769.80992824001</v>
      </c>
      <c r="M182" s="2"/>
      <c r="N182" s="7">
        <f t="shared" si="25"/>
        <v>-0.97923492492930886</v>
      </c>
      <c r="O182" s="11"/>
      <c r="P182" s="6">
        <v>11578.79</v>
      </c>
      <c r="Q182" s="2"/>
      <c r="R182" s="7">
        <f t="shared" si="26"/>
        <v>2.0176014884805637E-3</v>
      </c>
      <c r="S182" s="2"/>
      <c r="T182" s="6">
        <v>351537.61232048</v>
      </c>
      <c r="U182" s="2"/>
      <c r="V182" s="7">
        <f t="shared" si="27"/>
        <v>5.8550036048219407E-2</v>
      </c>
      <c r="W182" s="2"/>
      <c r="X182" s="6">
        <f t="shared" si="28"/>
        <v>-339958.82232048002</v>
      </c>
      <c r="Y182" s="2"/>
      <c r="Z182" s="7">
        <f t="shared" si="29"/>
        <v>-0.96706244340806369</v>
      </c>
    </row>
    <row r="183" spans="1:26" s="24" customFormat="1" hidden="1" outlineLevel="2" x14ac:dyDescent="0.25">
      <c r="A183" s="27"/>
      <c r="B183" s="11" t="str">
        <f>CONCATENATE("          ", "6009", " - ", "TEMPORARY-SEASONAL")</f>
        <v xml:space="preserve">          6009 - TEMPORARY-SEASONAL</v>
      </c>
      <c r="C183" s="11"/>
      <c r="D183" s="6"/>
      <c r="E183" s="2"/>
      <c r="F183" s="7">
        <f t="shared" si="22"/>
        <v>0</v>
      </c>
      <c r="G183" s="2"/>
      <c r="H183" s="6">
        <v>0</v>
      </c>
      <c r="I183" s="2"/>
      <c r="J183" s="7">
        <f t="shared" si="23"/>
        <v>0</v>
      </c>
      <c r="K183" s="2"/>
      <c r="L183" s="6">
        <f t="shared" si="24"/>
        <v>0</v>
      </c>
      <c r="M183" s="2"/>
      <c r="N183" s="7">
        <f t="shared" si="25"/>
        <v>0</v>
      </c>
      <c r="O183" s="11"/>
      <c r="P183" s="6"/>
      <c r="Q183" s="2"/>
      <c r="R183" s="7">
        <f t="shared" si="26"/>
        <v>0</v>
      </c>
      <c r="S183" s="2"/>
      <c r="T183" s="6">
        <v>0</v>
      </c>
      <c r="U183" s="2"/>
      <c r="V183" s="7">
        <f t="shared" si="27"/>
        <v>0</v>
      </c>
      <c r="W183" s="2"/>
      <c r="X183" s="6">
        <f t="shared" si="28"/>
        <v>0</v>
      </c>
      <c r="Y183" s="2"/>
      <c r="Z183" s="7">
        <f t="shared" si="29"/>
        <v>0</v>
      </c>
    </row>
    <row r="184" spans="1:26" s="24" customFormat="1" hidden="1" outlineLevel="2" x14ac:dyDescent="0.25">
      <c r="A184" s="27"/>
      <c r="B184" s="11" t="str">
        <f>CONCATENATE("          ", "6010", " - ", "GRATUITY")</f>
        <v xml:space="preserve">          6010 - GRATUITY</v>
      </c>
      <c r="C184" s="11"/>
      <c r="D184" s="6"/>
      <c r="E184" s="2"/>
      <c r="F184" s="7">
        <f t="shared" si="22"/>
        <v>0</v>
      </c>
      <c r="G184" s="2"/>
      <c r="H184" s="6">
        <v>0</v>
      </c>
      <c r="I184" s="2"/>
      <c r="J184" s="7">
        <f t="shared" si="23"/>
        <v>0</v>
      </c>
      <c r="K184" s="2"/>
      <c r="L184" s="6">
        <f t="shared" si="24"/>
        <v>0</v>
      </c>
      <c r="M184" s="2"/>
      <c r="N184" s="7">
        <f t="shared" si="25"/>
        <v>0</v>
      </c>
      <c r="O184" s="11"/>
      <c r="P184" s="6"/>
      <c r="Q184" s="2"/>
      <c r="R184" s="7">
        <f t="shared" si="26"/>
        <v>0</v>
      </c>
      <c r="S184" s="2"/>
      <c r="T184" s="6">
        <v>0</v>
      </c>
      <c r="U184" s="2"/>
      <c r="V184" s="7">
        <f t="shared" si="27"/>
        <v>0</v>
      </c>
      <c r="W184" s="2"/>
      <c r="X184" s="6">
        <f t="shared" si="28"/>
        <v>0</v>
      </c>
      <c r="Y184" s="2"/>
      <c r="Z184" s="7">
        <f t="shared" si="29"/>
        <v>0</v>
      </c>
    </row>
    <row r="185" spans="1:26" s="26" customFormat="1" outlineLevel="1" collapsed="1" x14ac:dyDescent="0.25">
      <c r="A185" s="25"/>
      <c r="B185" s="13" t="str">
        <f>CONCATENATE("     ","Advertising/Promo                                 ")</f>
        <v xml:space="preserve">     Advertising/Promo                                 </v>
      </c>
      <c r="C185" s="13"/>
      <c r="D185" s="1">
        <f>SUM(OSRRefD22_2x_0)</f>
        <v>11193.54</v>
      </c>
      <c r="E185" s="1"/>
      <c r="F185" s="5">
        <f t="shared" ref="F185:F189" si="30">IF(D$12=0,0,D185/D$12)</f>
        <v>1.1100304766165353E-2</v>
      </c>
      <c r="G185" s="1"/>
      <c r="H185" s="1">
        <f>SUM(OSRRefH22_2x_0)</f>
        <v>7670</v>
      </c>
      <c r="I185" s="1"/>
      <c r="J185" s="5">
        <f t="shared" ref="J185:J189" si="31">IF(H$12=0,0,H185/H$12)</f>
        <v>7.6699799916299938E-3</v>
      </c>
      <c r="K185" s="1"/>
      <c r="L185" s="1">
        <f t="shared" ref="L185:L189" si="32">+D185-H185</f>
        <v>3523.5400000000009</v>
      </c>
      <c r="M185" s="1"/>
      <c r="N185" s="5">
        <f t="shared" ref="N185:N189" si="33">IF(H185=0,0,L185/H185)</f>
        <v>0.45939243807040431</v>
      </c>
      <c r="O185" s="13"/>
      <c r="P185" s="1">
        <f>SUM(OSRRefP22_2x_0)</f>
        <v>18819.740000000002</v>
      </c>
      <c r="Q185" s="1"/>
      <c r="R185" s="5">
        <f t="shared" ref="R185:R189" si="34">IF(P$12=0,0,P185/P$12)</f>
        <v>3.2793353568738356E-3</v>
      </c>
      <c r="S185" s="1"/>
      <c r="T185" s="1">
        <f>SUM(OSRRefT22_2x_0)</f>
        <v>21080</v>
      </c>
      <c r="U185" s="1"/>
      <c r="V185" s="5">
        <f t="shared" ref="V185:V189" si="35">IF(T$12=0,0,T185/T$12)</f>
        <v>3.5109607525332805E-3</v>
      </c>
      <c r="W185" s="1"/>
      <c r="X185" s="1">
        <f t="shared" ref="X185:X189" si="36">+P185-T185</f>
        <v>-2260.2599999999984</v>
      </c>
      <c r="Y185" s="1"/>
      <c r="Z185" s="5">
        <f t="shared" ref="Z185:Z189" si="37">IF(T185=0,0,X185/T185)</f>
        <v>-0.10722296015180258</v>
      </c>
    </row>
    <row r="186" spans="1:26" s="24" customFormat="1" hidden="1" outlineLevel="2" x14ac:dyDescent="0.25">
      <c r="A186" s="27"/>
      <c r="B186" s="11" t="str">
        <f>CONCATENATE("          ", "6362", " - ", "ADVERTISING EXPENSE")</f>
        <v xml:space="preserve">          6362 - ADVERTISING EXPENSE</v>
      </c>
      <c r="C186" s="11"/>
      <c r="D186" s="6">
        <v>11193.54</v>
      </c>
      <c r="E186" s="2"/>
      <c r="F186" s="7">
        <f t="shared" si="30"/>
        <v>1.1100304766165353E-2</v>
      </c>
      <c r="G186" s="2"/>
      <c r="H186" s="6">
        <v>7670</v>
      </c>
      <c r="I186" s="2"/>
      <c r="J186" s="7">
        <f t="shared" si="31"/>
        <v>7.6699799916299938E-3</v>
      </c>
      <c r="K186" s="2"/>
      <c r="L186" s="6">
        <f t="shared" si="32"/>
        <v>3523.5400000000009</v>
      </c>
      <c r="M186" s="2"/>
      <c r="N186" s="7">
        <f t="shared" si="33"/>
        <v>0.45939243807040431</v>
      </c>
      <c r="O186" s="11"/>
      <c r="P186" s="6">
        <v>18819.740000000002</v>
      </c>
      <c r="Q186" s="2"/>
      <c r="R186" s="7">
        <f t="shared" si="34"/>
        <v>3.2793353568738356E-3</v>
      </c>
      <c r="S186" s="2"/>
      <c r="T186" s="6">
        <v>21080</v>
      </c>
      <c r="U186" s="2"/>
      <c r="V186" s="7">
        <f t="shared" si="35"/>
        <v>3.5109607525332805E-3</v>
      </c>
      <c r="W186" s="2"/>
      <c r="X186" s="6">
        <f t="shared" si="36"/>
        <v>-2260.2599999999984</v>
      </c>
      <c r="Y186" s="2"/>
      <c r="Z186" s="7">
        <f t="shared" si="37"/>
        <v>-0.10722296015180258</v>
      </c>
    </row>
    <row r="187" spans="1:26" s="26" customFormat="1" outlineLevel="1" collapsed="1" x14ac:dyDescent="0.25">
      <c r="A187" s="25"/>
      <c r="B187" s="13" t="str">
        <f>CONCATENATE("     ","Bad Debts/Over/Short                              ")</f>
        <v xml:space="preserve">     Bad Debts/Over/Short                              </v>
      </c>
      <c r="C187" s="13"/>
      <c r="D187" s="1">
        <f>SUM(OSRRefD22_3x_0)</f>
        <v>33.39</v>
      </c>
      <c r="E187" s="1"/>
      <c r="F187" s="5">
        <f t="shared" si="30"/>
        <v>3.3111882044666935E-5</v>
      </c>
      <c r="G187" s="1"/>
      <c r="H187" s="1">
        <f>SUM(OSRRefH22_3x_0)</f>
        <v>145</v>
      </c>
      <c r="I187" s="1"/>
      <c r="J187" s="5">
        <f t="shared" si="31"/>
        <v>1.4499962174528672E-4</v>
      </c>
      <c r="K187" s="1"/>
      <c r="L187" s="1">
        <f t="shared" si="32"/>
        <v>-111.61</v>
      </c>
      <c r="M187" s="1"/>
      <c r="N187" s="5">
        <f t="shared" si="33"/>
        <v>-0.76972413793103445</v>
      </c>
      <c r="O187" s="13"/>
      <c r="P187" s="1">
        <f>SUM(OSRRefP22_3x_0)</f>
        <v>-268.59999999999997</v>
      </c>
      <c r="Q187" s="1"/>
      <c r="R187" s="5">
        <f t="shared" si="34"/>
        <v>-4.6803488085186727E-5</v>
      </c>
      <c r="S187" s="1"/>
      <c r="T187" s="1">
        <f>SUM(OSRRefT22_3x_0)</f>
        <v>580</v>
      </c>
      <c r="U187" s="1"/>
      <c r="V187" s="5">
        <f t="shared" si="35"/>
        <v>9.6601386929283812E-5</v>
      </c>
      <c r="W187" s="1"/>
      <c r="X187" s="1">
        <f t="shared" si="36"/>
        <v>-848.59999999999991</v>
      </c>
      <c r="Y187" s="1"/>
      <c r="Z187" s="5">
        <f t="shared" si="37"/>
        <v>-1.4631034482758618</v>
      </c>
    </row>
    <row r="188" spans="1:26" s="24" customFormat="1" hidden="1" outlineLevel="2" x14ac:dyDescent="0.25">
      <c r="A188" s="27"/>
      <c r="B188" s="11" t="str">
        <f>CONCATENATE("          ", "6272", " - ", "CASH (OVER/SHORT)")</f>
        <v xml:space="preserve">          6272 - CASH (OVER/SHORT)</v>
      </c>
      <c r="C188" s="11"/>
      <c r="D188" s="6">
        <v>-11.41</v>
      </c>
      <c r="E188" s="2"/>
      <c r="F188" s="7">
        <f t="shared" si="30"/>
        <v>-1.1314961788848451E-5</v>
      </c>
      <c r="G188" s="2"/>
      <c r="H188" s="6">
        <v>135</v>
      </c>
      <c r="I188" s="2"/>
      <c r="J188" s="7">
        <f t="shared" si="31"/>
        <v>1.3499964783181867E-4</v>
      </c>
      <c r="K188" s="2"/>
      <c r="L188" s="6">
        <f t="shared" si="32"/>
        <v>-146.41</v>
      </c>
      <c r="M188" s="2"/>
      <c r="N188" s="7">
        <f t="shared" si="33"/>
        <v>-1.0845185185185184</v>
      </c>
      <c r="O188" s="11"/>
      <c r="P188" s="6">
        <v>-313.39999999999998</v>
      </c>
      <c r="Q188" s="2"/>
      <c r="R188" s="7">
        <f t="shared" si="34"/>
        <v>-5.4609877758367542E-5</v>
      </c>
      <c r="S188" s="2"/>
      <c r="T188" s="6">
        <v>540</v>
      </c>
      <c r="U188" s="2"/>
      <c r="V188" s="7">
        <f t="shared" si="35"/>
        <v>8.9939222313471133E-5</v>
      </c>
      <c r="W188" s="2"/>
      <c r="X188" s="6">
        <f t="shared" si="36"/>
        <v>-853.4</v>
      </c>
      <c r="Y188" s="2"/>
      <c r="Z188" s="7">
        <f t="shared" si="37"/>
        <v>-1.5803703703703704</v>
      </c>
    </row>
    <row r="189" spans="1:26" s="24" customFormat="1" hidden="1" outlineLevel="2" x14ac:dyDescent="0.25">
      <c r="A189" s="27"/>
      <c r="B189" s="11" t="str">
        <f>CONCATENATE("          ", "6342", " - ", "BAD DEBT")</f>
        <v xml:space="preserve">          6342 - BAD DEBT</v>
      </c>
      <c r="C189" s="11"/>
      <c r="D189" s="6">
        <v>44.8</v>
      </c>
      <c r="E189" s="2"/>
      <c r="F189" s="7">
        <f t="shared" si="30"/>
        <v>4.4426843833515383E-5</v>
      </c>
      <c r="G189" s="2"/>
      <c r="H189" s="6">
        <v>10</v>
      </c>
      <c r="I189" s="2"/>
      <c r="J189" s="7">
        <f t="shared" si="31"/>
        <v>9.9999739134680489E-6</v>
      </c>
      <c r="K189" s="2"/>
      <c r="L189" s="6">
        <f t="shared" si="32"/>
        <v>34.799999999999997</v>
      </c>
      <c r="M189" s="2"/>
      <c r="N189" s="7">
        <f t="shared" si="33"/>
        <v>3.4799999999999995</v>
      </c>
      <c r="O189" s="11"/>
      <c r="P189" s="6">
        <v>44.8</v>
      </c>
      <c r="Q189" s="2"/>
      <c r="R189" s="7">
        <f t="shared" si="34"/>
        <v>7.8063896731808107E-6</v>
      </c>
      <c r="S189" s="2"/>
      <c r="T189" s="6">
        <v>40</v>
      </c>
      <c r="U189" s="2"/>
      <c r="V189" s="7">
        <f t="shared" si="35"/>
        <v>6.6621646158126769E-6</v>
      </c>
      <c r="W189" s="2"/>
      <c r="X189" s="6">
        <f t="shared" si="36"/>
        <v>4.7999999999999972</v>
      </c>
      <c r="Y189" s="2"/>
      <c r="Z189" s="7">
        <f t="shared" si="37"/>
        <v>0.11999999999999993</v>
      </c>
    </row>
    <row r="190" spans="1:26" s="26" customFormat="1" outlineLevel="1" collapsed="1" x14ac:dyDescent="0.25">
      <c r="A190" s="25"/>
      <c r="B190" s="13" t="str">
        <f>CONCATENATE("     ","Bank/card Fees                                    ")</f>
        <v xml:space="preserve">     Bank/card Fees                                    </v>
      </c>
      <c r="C190" s="13"/>
      <c r="D190" s="1">
        <f>SUM(OSRRefD22_4x_0)</f>
        <v>28991.26</v>
      </c>
      <c r="E190" s="1"/>
      <c r="F190" s="5">
        <f t="shared" ref="F190:F196" si="38">IF(D$12=0,0,D190/D$12)</f>
        <v>2.8749780816000919E-2</v>
      </c>
      <c r="G190" s="1"/>
      <c r="H190" s="1">
        <f>SUM(OSRRefH22_4x_0)</f>
        <v>26775</v>
      </c>
      <c r="I190" s="1"/>
      <c r="J190" s="5">
        <f t="shared" ref="J190:J196" si="39">IF(H$12=0,0,H190/H$12)</f>
        <v>2.6774930153310703E-2</v>
      </c>
      <c r="K190" s="1"/>
      <c r="L190" s="1">
        <f t="shared" ref="L190:L196" si="40">+D190-H190</f>
        <v>2216.2599999999984</v>
      </c>
      <c r="M190" s="1"/>
      <c r="N190" s="5">
        <f t="shared" ref="N190:N196" si="41">IF(H190=0,0,L190/H190)</f>
        <v>8.2773482726423847E-2</v>
      </c>
      <c r="O190" s="13"/>
      <c r="P190" s="1">
        <f>SUM(OSRRefP22_4x_0)</f>
        <v>109108.37000000001</v>
      </c>
      <c r="Q190" s="1"/>
      <c r="R190" s="5">
        <f t="shared" ref="R190:R196" si="42">IF(P$12=0,0,P190/P$12)</f>
        <v>1.9012108321999802E-2</v>
      </c>
      <c r="S190" s="1"/>
      <c r="T190" s="1">
        <f>SUM(OSRRefT22_4x_0)</f>
        <v>110117</v>
      </c>
      <c r="U190" s="1"/>
      <c r="V190" s="5">
        <f t="shared" ref="V190:V196" si="43">IF(T$12=0,0,T190/T$12)</f>
        <v>1.8340439524986114E-2</v>
      </c>
      <c r="W190" s="1"/>
      <c r="X190" s="1">
        <f t="shared" ref="X190:X196" si="44">+P190-T190</f>
        <v>-1008.6299999999901</v>
      </c>
      <c r="Y190" s="1"/>
      <c r="Z190" s="5">
        <f t="shared" ref="Z190:Z196" si="45">IF(T190=0,0,X190/T190)</f>
        <v>-9.1596211302522774E-3</v>
      </c>
    </row>
    <row r="191" spans="1:26" s="24" customFormat="1" hidden="1" outlineLevel="2" x14ac:dyDescent="0.25">
      <c r="A191" s="27"/>
      <c r="B191" s="11" t="str">
        <f>CONCATENATE("          ", "6381", " - ", "BANK/CREDIT CARD FEES")</f>
        <v xml:space="preserve">          6381 - BANK/CREDIT CARD FEES</v>
      </c>
      <c r="C191" s="11"/>
      <c r="D191" s="6">
        <v>28991.26</v>
      </c>
      <c r="E191" s="2"/>
      <c r="F191" s="7">
        <f t="shared" si="38"/>
        <v>2.8749780816000919E-2</v>
      </c>
      <c r="G191" s="2"/>
      <c r="H191" s="6">
        <v>26775</v>
      </c>
      <c r="I191" s="2"/>
      <c r="J191" s="7">
        <f t="shared" si="39"/>
        <v>2.6774930153310703E-2</v>
      </c>
      <c r="K191" s="2"/>
      <c r="L191" s="6">
        <f t="shared" si="40"/>
        <v>2216.2599999999984</v>
      </c>
      <c r="M191" s="2"/>
      <c r="N191" s="7">
        <f t="shared" si="41"/>
        <v>8.2773482726423847E-2</v>
      </c>
      <c r="O191" s="11"/>
      <c r="P191" s="6">
        <v>109108.37000000001</v>
      </c>
      <c r="Q191" s="2"/>
      <c r="R191" s="7">
        <f t="shared" si="42"/>
        <v>1.9012108321999802E-2</v>
      </c>
      <c r="S191" s="2"/>
      <c r="T191" s="6">
        <v>110117</v>
      </c>
      <c r="U191" s="2"/>
      <c r="V191" s="7">
        <f t="shared" si="43"/>
        <v>1.8340439524986114E-2</v>
      </c>
      <c r="W191" s="2"/>
      <c r="X191" s="6">
        <f t="shared" si="44"/>
        <v>-1008.6299999999901</v>
      </c>
      <c r="Y191" s="2"/>
      <c r="Z191" s="7">
        <f t="shared" si="45"/>
        <v>-9.1596211302522774E-3</v>
      </c>
    </row>
    <row r="192" spans="1:26" s="26" customFormat="1" outlineLevel="1" collapsed="1" x14ac:dyDescent="0.25">
      <c r="A192" s="25"/>
      <c r="B192" s="13" t="str">
        <f>CONCATENATE("     ","Depreciation                                      ")</f>
        <v xml:space="preserve">     Depreciation                                      </v>
      </c>
      <c r="C192" s="13"/>
      <c r="D192" s="1">
        <f>SUM(OSRRefD22_5x_0)</f>
        <v>38010.910000000003</v>
      </c>
      <c r="E192" s="1"/>
      <c r="F192" s="5">
        <f t="shared" si="38"/>
        <v>3.7694302735263585E-2</v>
      </c>
      <c r="G192" s="1"/>
      <c r="H192" s="1">
        <f>SUM(OSRRefH22_5x_0)</f>
        <v>39713</v>
      </c>
      <c r="I192" s="1"/>
      <c r="J192" s="5">
        <f t="shared" si="39"/>
        <v>3.9712896402555667E-2</v>
      </c>
      <c r="K192" s="1"/>
      <c r="L192" s="1">
        <f t="shared" si="40"/>
        <v>-1702.0899999999965</v>
      </c>
      <c r="M192" s="1"/>
      <c r="N192" s="5">
        <f t="shared" si="41"/>
        <v>-4.2859768841437225E-2</v>
      </c>
      <c r="O192" s="13"/>
      <c r="P192" s="1">
        <f>SUM(OSRRefP22_5x_0)</f>
        <v>152043.64000000001</v>
      </c>
      <c r="Q192" s="1"/>
      <c r="R192" s="5">
        <f t="shared" si="42"/>
        <v>2.6493569222518325E-2</v>
      </c>
      <c r="S192" s="1"/>
      <c r="T192" s="1">
        <f>SUM(OSRRefT22_5x_0)</f>
        <v>155267</v>
      </c>
      <c r="U192" s="1"/>
      <c r="V192" s="5">
        <f t="shared" si="43"/>
        <v>2.5860357835084672E-2</v>
      </c>
      <c r="W192" s="1"/>
      <c r="X192" s="1">
        <f t="shared" si="44"/>
        <v>-3223.359999999986</v>
      </c>
      <c r="Y192" s="1"/>
      <c r="Z192" s="5">
        <f t="shared" si="45"/>
        <v>-2.0760110004057437E-2</v>
      </c>
    </row>
    <row r="193" spans="1:26" s="24" customFormat="1" hidden="1" outlineLevel="2" x14ac:dyDescent="0.25">
      <c r="A193" s="27"/>
      <c r="B193" s="11" t="str">
        <f>CONCATENATE("          ", "6321", " - ", "BUILDING DEPRECIATION")</f>
        <v xml:space="preserve">          6321 - BUILDING DEPRECIATION</v>
      </c>
      <c r="C193" s="11"/>
      <c r="D193" s="6">
        <v>21477.030000000002</v>
      </c>
      <c r="E193" s="2"/>
      <c r="F193" s="7">
        <f t="shared" si="38"/>
        <v>2.1298139683431364E-2</v>
      </c>
      <c r="G193" s="2"/>
      <c r="H193" s="6">
        <v>21478</v>
      </c>
      <c r="I193" s="2"/>
      <c r="J193" s="7">
        <f t="shared" si="39"/>
        <v>2.1477943971346676E-2</v>
      </c>
      <c r="K193" s="2"/>
      <c r="L193" s="6">
        <f t="shared" si="40"/>
        <v>-0.96999999999752617</v>
      </c>
      <c r="M193" s="2"/>
      <c r="N193" s="7">
        <f t="shared" si="41"/>
        <v>-4.5162491852012582E-5</v>
      </c>
      <c r="O193" s="11"/>
      <c r="P193" s="6">
        <v>85908.12000000001</v>
      </c>
      <c r="Q193" s="2"/>
      <c r="R193" s="7">
        <f t="shared" si="42"/>
        <v>1.4969470107374507E-2</v>
      </c>
      <c r="S193" s="2"/>
      <c r="T193" s="6">
        <v>86080</v>
      </c>
      <c r="U193" s="2"/>
      <c r="V193" s="7">
        <f t="shared" si="43"/>
        <v>1.4336978253228879E-2</v>
      </c>
      <c r="W193" s="2"/>
      <c r="X193" s="6">
        <f t="shared" si="44"/>
        <v>-171.8799999999901</v>
      </c>
      <c r="Y193" s="2"/>
      <c r="Z193" s="7">
        <f t="shared" si="45"/>
        <v>-1.9967472118957957E-3</v>
      </c>
    </row>
    <row r="194" spans="1:26" s="24" customFormat="1" hidden="1" outlineLevel="2" x14ac:dyDescent="0.25">
      <c r="A194" s="27"/>
      <c r="B194" s="11" t="str">
        <f>CONCATENATE("          ", "6322", " - ", "EQUIPMENT DEPRECIATION EXPENSE")</f>
        <v xml:space="preserve">          6322 - EQUIPMENT DEPRECIATION EXPENSE</v>
      </c>
      <c r="C194" s="11"/>
      <c r="D194" s="6">
        <v>16533.88</v>
      </c>
      <c r="E194" s="2"/>
      <c r="F194" s="7">
        <f t="shared" si="38"/>
        <v>1.6396163051832221E-2</v>
      </c>
      <c r="G194" s="2"/>
      <c r="H194" s="6">
        <v>16224</v>
      </c>
      <c r="I194" s="2"/>
      <c r="J194" s="7">
        <f t="shared" si="39"/>
        <v>1.6223957677210563E-2</v>
      </c>
      <c r="K194" s="2"/>
      <c r="L194" s="6">
        <f t="shared" si="40"/>
        <v>309.88000000000102</v>
      </c>
      <c r="M194" s="2"/>
      <c r="N194" s="7">
        <f t="shared" si="41"/>
        <v>1.9100098619329452E-2</v>
      </c>
      <c r="O194" s="11"/>
      <c r="P194" s="6">
        <v>66135.520000000004</v>
      </c>
      <c r="Q194" s="2"/>
      <c r="R194" s="7">
        <f t="shared" si="42"/>
        <v>1.1524099115143818E-2</v>
      </c>
      <c r="S194" s="2"/>
      <c r="T194" s="6">
        <v>64896</v>
      </c>
      <c r="U194" s="2"/>
      <c r="V194" s="7">
        <f t="shared" si="43"/>
        <v>1.0808695872694486E-2</v>
      </c>
      <c r="W194" s="2"/>
      <c r="X194" s="6">
        <f t="shared" si="44"/>
        <v>1239.5200000000041</v>
      </c>
      <c r="Y194" s="2"/>
      <c r="Z194" s="7">
        <f t="shared" si="45"/>
        <v>1.9100098619329452E-2</v>
      </c>
    </row>
    <row r="195" spans="1:26" s="24" customFormat="1" hidden="1" outlineLevel="2" x14ac:dyDescent="0.25">
      <c r="A195" s="27"/>
      <c r="B195" s="11" t="str">
        <f>CONCATENATE("          ", "6324", " - ", "FURNITURE + FIXT DEPRECIATION")</f>
        <v xml:space="preserve">          6324 - FURNITURE + FIXT DEPRECIATION</v>
      </c>
      <c r="C195" s="11"/>
      <c r="D195" s="6"/>
      <c r="E195" s="2"/>
      <c r="F195" s="7">
        <f t="shared" si="38"/>
        <v>0</v>
      </c>
      <c r="G195" s="2"/>
      <c r="H195" s="6">
        <v>1678</v>
      </c>
      <c r="I195" s="2"/>
      <c r="J195" s="7">
        <f t="shared" si="39"/>
        <v>1.6779956226799387E-3</v>
      </c>
      <c r="K195" s="2"/>
      <c r="L195" s="6">
        <f t="shared" si="40"/>
        <v>-1678</v>
      </c>
      <c r="M195" s="2"/>
      <c r="N195" s="7">
        <f t="shared" si="41"/>
        <v>-1</v>
      </c>
      <c r="O195" s="11"/>
      <c r="P195" s="6"/>
      <c r="Q195" s="2"/>
      <c r="R195" s="7">
        <f t="shared" si="42"/>
        <v>0</v>
      </c>
      <c r="S195" s="2"/>
      <c r="T195" s="6">
        <v>3958</v>
      </c>
      <c r="U195" s="2"/>
      <c r="V195" s="7">
        <f t="shared" si="43"/>
        <v>6.5922118873466438E-4</v>
      </c>
      <c r="W195" s="2"/>
      <c r="X195" s="6">
        <f t="shared" si="44"/>
        <v>-3958</v>
      </c>
      <c r="Y195" s="2"/>
      <c r="Z195" s="7">
        <f t="shared" si="45"/>
        <v>-1</v>
      </c>
    </row>
    <row r="196" spans="1:26" s="24" customFormat="1" hidden="1" outlineLevel="2" x14ac:dyDescent="0.25">
      <c r="A196" s="27"/>
      <c r="B196" s="11" t="str">
        <f>CONCATENATE("          ", "6326", " - ", "VEHICLES DEPRECIATION EXPENSE")</f>
        <v xml:space="preserve">          6326 - VEHICLES DEPRECIATION EXPENSE</v>
      </c>
      <c r="C196" s="11"/>
      <c r="D196" s="6"/>
      <c r="E196" s="2"/>
      <c r="F196" s="7">
        <f t="shared" si="38"/>
        <v>0</v>
      </c>
      <c r="G196" s="2"/>
      <c r="H196" s="6">
        <v>333</v>
      </c>
      <c r="I196" s="2"/>
      <c r="J196" s="7">
        <f t="shared" si="39"/>
        <v>3.3299913131848603E-4</v>
      </c>
      <c r="K196" s="2"/>
      <c r="L196" s="6">
        <f t="shared" si="40"/>
        <v>-333</v>
      </c>
      <c r="M196" s="2"/>
      <c r="N196" s="7">
        <f t="shared" si="41"/>
        <v>-1</v>
      </c>
      <c r="O196" s="11"/>
      <c r="P196" s="6"/>
      <c r="Q196" s="2"/>
      <c r="R196" s="7">
        <f t="shared" si="42"/>
        <v>0</v>
      </c>
      <c r="S196" s="2"/>
      <c r="T196" s="6">
        <v>333</v>
      </c>
      <c r="U196" s="2"/>
      <c r="V196" s="7">
        <f t="shared" si="43"/>
        <v>5.5462520426640529E-5</v>
      </c>
      <c r="W196" s="2"/>
      <c r="X196" s="6">
        <f t="shared" si="44"/>
        <v>-333</v>
      </c>
      <c r="Y196" s="2"/>
      <c r="Z196" s="7">
        <f t="shared" si="45"/>
        <v>-1</v>
      </c>
    </row>
    <row r="197" spans="1:26" s="26" customFormat="1" outlineLevel="1" collapsed="1" x14ac:dyDescent="0.25">
      <c r="A197" s="25"/>
      <c r="B197" s="13" t="str">
        <f>CONCATENATE("     ","Discounts and Markdowns                           ")</f>
        <v xml:space="preserve">     Discounts and Markdowns                           </v>
      </c>
      <c r="C197" s="13"/>
      <c r="D197" s="1">
        <f>SUM(OSRRefD22_6x_0)</f>
        <v>33789.31</v>
      </c>
      <c r="E197" s="1"/>
      <c r="F197" s="5">
        <f t="shared" ref="F197:F199" si="46">IF(D$12=0,0,D197/D$12)</f>
        <v>3.3507866040451778E-2</v>
      </c>
      <c r="G197" s="1"/>
      <c r="H197" s="1">
        <f>SUM(OSRRefH22_6x_0)</f>
        <v>23225</v>
      </c>
      <c r="I197" s="1"/>
      <c r="J197" s="5">
        <f t="shared" ref="J197:J199" si="47">IF(H$12=0,0,H197/H$12)</f>
        <v>2.3224939414029543E-2</v>
      </c>
      <c r="K197" s="1"/>
      <c r="L197" s="1">
        <f t="shared" ref="L197:L199" si="48">+D197-H197</f>
        <v>10564.309999999998</v>
      </c>
      <c r="M197" s="1"/>
      <c r="N197" s="5">
        <f t="shared" ref="N197:N199" si="49">IF(H197=0,0,L197/H197)</f>
        <v>0.45486803013993532</v>
      </c>
      <c r="O197" s="13"/>
      <c r="P197" s="1">
        <f>SUM(OSRRefP22_6x_0)</f>
        <v>97849.95</v>
      </c>
      <c r="Q197" s="1"/>
      <c r="R197" s="5">
        <f t="shared" ref="R197:R199" si="50">IF(P$12=0,0,P197/P$12)</f>
        <v>1.7050331232170951E-2</v>
      </c>
      <c r="S197" s="1"/>
      <c r="T197" s="1">
        <f>SUM(OSRRefT22_6x_0)</f>
        <v>104900</v>
      </c>
      <c r="U197" s="1"/>
      <c r="V197" s="5">
        <f t="shared" ref="V197:V199" si="51">IF(T$12=0,0,T197/T$12)</f>
        <v>1.7471526704968744E-2</v>
      </c>
      <c r="W197" s="1"/>
      <c r="X197" s="1">
        <f t="shared" ref="X197:X199" si="52">+P197-T197</f>
        <v>-7050.0500000000029</v>
      </c>
      <c r="Y197" s="1"/>
      <c r="Z197" s="5">
        <f t="shared" ref="Z197:Z199" si="53">IF(T197=0,0,X197/T197)</f>
        <v>-6.7207340324118237E-2</v>
      </c>
    </row>
    <row r="198" spans="1:26" s="24" customFormat="1" hidden="1" outlineLevel="2" x14ac:dyDescent="0.25">
      <c r="A198" s="27"/>
      <c r="B198" s="11" t="str">
        <f>CONCATENATE("          ", "6382", " - ", "DISCOUNTS/MARK DOWNS")</f>
        <v xml:space="preserve">          6382 - DISCOUNTS/MARK DOWNS</v>
      </c>
      <c r="C198" s="11"/>
      <c r="D198" s="6">
        <v>34259.199999999997</v>
      </c>
      <c r="E198" s="2"/>
      <c r="F198" s="7">
        <f t="shared" si="46"/>
        <v>3.3973842148686838E-2</v>
      </c>
      <c r="G198" s="2"/>
      <c r="H198" s="6">
        <v>23225</v>
      </c>
      <c r="I198" s="2"/>
      <c r="J198" s="7">
        <f t="shared" si="47"/>
        <v>2.3224939414029543E-2</v>
      </c>
      <c r="K198" s="2"/>
      <c r="L198" s="6">
        <f t="shared" si="48"/>
        <v>11034.199999999997</v>
      </c>
      <c r="M198" s="2"/>
      <c r="N198" s="7">
        <f t="shared" si="49"/>
        <v>0.47510010764262633</v>
      </c>
      <c r="O198" s="11"/>
      <c r="P198" s="6">
        <v>99967.7</v>
      </c>
      <c r="Q198" s="2"/>
      <c r="R198" s="7">
        <f t="shared" si="50"/>
        <v>1.741934868150976E-2</v>
      </c>
      <c r="S198" s="2"/>
      <c r="T198" s="6">
        <v>104900</v>
      </c>
      <c r="U198" s="2"/>
      <c r="V198" s="7">
        <f t="shared" si="51"/>
        <v>1.7471526704968744E-2</v>
      </c>
      <c r="W198" s="2"/>
      <c r="X198" s="6">
        <f t="shared" si="52"/>
        <v>-4932.3000000000029</v>
      </c>
      <c r="Y198" s="2"/>
      <c r="Z198" s="7">
        <f t="shared" si="53"/>
        <v>-4.7019065776930435E-2</v>
      </c>
    </row>
    <row r="199" spans="1:26" s="24" customFormat="1" hidden="1" outlineLevel="2" x14ac:dyDescent="0.25">
      <c r="A199" s="27"/>
      <c r="B199" s="11" t="str">
        <f>CONCATENATE("          ", "9175", " - ", "EARNED DISCOUNTS")</f>
        <v xml:space="preserve">          9175 - EARNED DISCOUNTS</v>
      </c>
      <c r="C199" s="11"/>
      <c r="D199" s="6">
        <v>-469.89</v>
      </c>
      <c r="E199" s="2"/>
      <c r="F199" s="7">
        <f t="shared" si="46"/>
        <v>-4.6597610823505682E-4</v>
      </c>
      <c r="G199" s="2"/>
      <c r="H199" s="6"/>
      <c r="I199" s="2"/>
      <c r="J199" s="7">
        <f t="shared" si="47"/>
        <v>0</v>
      </c>
      <c r="K199" s="2"/>
      <c r="L199" s="6">
        <f t="shared" si="48"/>
        <v>-469.89</v>
      </c>
      <c r="M199" s="2"/>
      <c r="N199" s="7">
        <f t="shared" si="49"/>
        <v>0</v>
      </c>
      <c r="O199" s="11"/>
      <c r="P199" s="6">
        <v>-2117.75</v>
      </c>
      <c r="Q199" s="2"/>
      <c r="R199" s="7">
        <f t="shared" si="50"/>
        <v>-3.690174493388094E-4</v>
      </c>
      <c r="S199" s="2"/>
      <c r="T199" s="6"/>
      <c r="U199" s="2"/>
      <c r="V199" s="7">
        <f t="shared" si="51"/>
        <v>0</v>
      </c>
      <c r="W199" s="2"/>
      <c r="X199" s="6">
        <f t="shared" si="52"/>
        <v>-2117.75</v>
      </c>
      <c r="Y199" s="2"/>
      <c r="Z199" s="7">
        <f t="shared" si="53"/>
        <v>0</v>
      </c>
    </row>
    <row r="200" spans="1:26" s="26" customFormat="1" outlineLevel="1" collapsed="1" x14ac:dyDescent="0.25">
      <c r="A200" s="25"/>
      <c r="B200" s="13" t="str">
        <f>CONCATENATE("     ","Donations                                         ")</f>
        <v xml:space="preserve">     Donations                                         </v>
      </c>
      <c r="C200" s="13"/>
      <c r="D200" s="1">
        <f>SUM(OSRRefD22_7x_0)</f>
        <v>1006.14</v>
      </c>
      <c r="E200" s="1"/>
      <c r="F200" s="5">
        <f t="shared" ref="F200:F202" si="54">IF(D$12=0,0,D200/D$12)</f>
        <v>9.9775947889850828E-4</v>
      </c>
      <c r="G200" s="1"/>
      <c r="H200" s="1">
        <f>SUM(OSRRefH22_7x_0)</f>
        <v>1025</v>
      </c>
      <c r="I200" s="1"/>
      <c r="J200" s="5">
        <f t="shared" ref="J200:J202" si="55">IF(H$12=0,0,H200/H$12)</f>
        <v>1.024997326130475E-3</v>
      </c>
      <c r="K200" s="1"/>
      <c r="L200" s="1">
        <f t="shared" ref="L200:L202" si="56">+D200-H200</f>
        <v>-18.860000000000014</v>
      </c>
      <c r="M200" s="1"/>
      <c r="N200" s="5">
        <f t="shared" ref="N200:N202" si="57">IF(H200=0,0,L200/H200)</f>
        <v>-1.8400000000000014E-2</v>
      </c>
      <c r="O200" s="13"/>
      <c r="P200" s="1">
        <f>SUM(OSRRefP22_7x_0)</f>
        <v>6231.48</v>
      </c>
      <c r="Q200" s="1"/>
      <c r="R200" s="5">
        <f t="shared" ref="R200:R202" si="58">IF(P$12=0,0,P200/P$12)</f>
        <v>1.0858339535855526E-3</v>
      </c>
      <c r="S200" s="1"/>
      <c r="T200" s="1">
        <f>SUM(OSRRefT22_7x_0)</f>
        <v>4175</v>
      </c>
      <c r="U200" s="1"/>
      <c r="V200" s="5">
        <f t="shared" ref="V200:V202" si="59">IF(T$12=0,0,T200/T$12)</f>
        <v>6.9536343177544814E-4</v>
      </c>
      <c r="W200" s="1"/>
      <c r="X200" s="1">
        <f t="shared" ref="X200:X202" si="60">+P200-T200</f>
        <v>2056.4799999999996</v>
      </c>
      <c r="Y200" s="1"/>
      <c r="Z200" s="5">
        <f t="shared" ref="Z200:Z202" si="61">IF(T200=0,0,X200/T200)</f>
        <v>0.49257005988023944</v>
      </c>
    </row>
    <row r="201" spans="1:26" s="24" customFormat="1" hidden="1" outlineLevel="2" x14ac:dyDescent="0.25">
      <c r="A201" s="27"/>
      <c r="B201" s="11" t="str">
        <f>CONCATENATE("          ", "6395", " - ", "DONATION-OFF CAMPUS")</f>
        <v xml:space="preserve">          6395 - DONATION-OFF CAMPUS</v>
      </c>
      <c r="C201" s="11"/>
      <c r="D201" s="6"/>
      <c r="E201" s="2"/>
      <c r="F201" s="7">
        <f t="shared" si="54"/>
        <v>0</v>
      </c>
      <c r="G201" s="2"/>
      <c r="H201" s="6">
        <v>1025</v>
      </c>
      <c r="I201" s="2"/>
      <c r="J201" s="7">
        <f t="shared" si="55"/>
        <v>1.024997326130475E-3</v>
      </c>
      <c r="K201" s="2"/>
      <c r="L201" s="6">
        <f t="shared" si="56"/>
        <v>-1025</v>
      </c>
      <c r="M201" s="2"/>
      <c r="N201" s="7">
        <f t="shared" si="57"/>
        <v>-1</v>
      </c>
      <c r="O201" s="11"/>
      <c r="P201" s="6"/>
      <c r="Q201" s="2"/>
      <c r="R201" s="7">
        <f t="shared" si="58"/>
        <v>0</v>
      </c>
      <c r="S201" s="2"/>
      <c r="T201" s="6">
        <v>4175</v>
      </c>
      <c r="U201" s="2"/>
      <c r="V201" s="7">
        <f t="shared" si="59"/>
        <v>6.9536343177544814E-4</v>
      </c>
      <c r="W201" s="2"/>
      <c r="X201" s="6">
        <f t="shared" si="60"/>
        <v>-4175</v>
      </c>
      <c r="Y201" s="2"/>
      <c r="Z201" s="7">
        <f t="shared" si="61"/>
        <v>-1</v>
      </c>
    </row>
    <row r="202" spans="1:26" s="24" customFormat="1" hidden="1" outlineLevel="2" x14ac:dyDescent="0.25">
      <c r="A202" s="27"/>
      <c r="B202" s="11" t="str">
        <f>CONCATENATE("          ", "6399", " - ", "DONATION-ON CAMPUS")</f>
        <v xml:space="preserve">          6399 - DONATION-ON CAMPUS</v>
      </c>
      <c r="C202" s="11"/>
      <c r="D202" s="6">
        <v>1006.14</v>
      </c>
      <c r="E202" s="2"/>
      <c r="F202" s="7">
        <f t="shared" si="54"/>
        <v>9.9775947889850828E-4</v>
      </c>
      <c r="G202" s="2"/>
      <c r="H202" s="6"/>
      <c r="I202" s="2"/>
      <c r="J202" s="7">
        <f t="shared" si="55"/>
        <v>0</v>
      </c>
      <c r="K202" s="2"/>
      <c r="L202" s="6">
        <f t="shared" si="56"/>
        <v>1006.14</v>
      </c>
      <c r="M202" s="2"/>
      <c r="N202" s="7">
        <f t="shared" si="57"/>
        <v>0</v>
      </c>
      <c r="O202" s="11"/>
      <c r="P202" s="6">
        <v>6231.48</v>
      </c>
      <c r="Q202" s="2"/>
      <c r="R202" s="7">
        <f t="shared" si="58"/>
        <v>1.0858339535855526E-3</v>
      </c>
      <c r="S202" s="2"/>
      <c r="T202" s="6"/>
      <c r="U202" s="2"/>
      <c r="V202" s="7">
        <f t="shared" si="59"/>
        <v>0</v>
      </c>
      <c r="W202" s="2"/>
      <c r="X202" s="6">
        <f t="shared" si="60"/>
        <v>6231.48</v>
      </c>
      <c r="Y202" s="2"/>
      <c r="Z202" s="7">
        <f t="shared" si="61"/>
        <v>0</v>
      </c>
    </row>
    <row r="203" spans="1:26" s="26" customFormat="1" outlineLevel="1" collapsed="1" x14ac:dyDescent="0.25">
      <c r="A203" s="25"/>
      <c r="B203" s="13" t="str">
        <f>CONCATENATE("     ","Employees' Appreciation                           ")</f>
        <v xml:space="preserve">     Employees' Appreciation                           </v>
      </c>
      <c r="C203" s="13"/>
      <c r="D203" s="1">
        <f>SUM(OSRRefD22_8x_0)</f>
        <v>93.28</v>
      </c>
      <c r="E203" s="1"/>
      <c r="F203" s="5">
        <f t="shared" ref="F203:F209" si="62">IF(D$12=0,0,D203/D$12)</f>
        <v>9.2503035553355255E-5</v>
      </c>
      <c r="G203" s="1"/>
      <c r="H203" s="1">
        <f>SUM(OSRRefH22_8x_0)</f>
        <v>725</v>
      </c>
      <c r="I203" s="1"/>
      <c r="J203" s="5">
        <f t="shared" ref="J203:J209" si="63">IF(H$12=0,0,H203/H$12)</f>
        <v>7.2499810872643359E-4</v>
      </c>
      <c r="K203" s="1"/>
      <c r="L203" s="1">
        <f t="shared" ref="L203:L209" si="64">+D203-H203</f>
        <v>-631.72</v>
      </c>
      <c r="M203" s="1"/>
      <c r="N203" s="5">
        <f t="shared" ref="N203:N209" si="65">IF(H203=0,0,L203/H203)</f>
        <v>-0.87133793103448276</v>
      </c>
      <c r="O203" s="13"/>
      <c r="P203" s="1">
        <f>SUM(OSRRefP22_8x_0)</f>
        <v>678.41</v>
      </c>
      <c r="Q203" s="1"/>
      <c r="R203" s="5">
        <f t="shared" ref="R203:R209" si="66">IF(P$12=0,0,P203/P$12)</f>
        <v>1.1821278612014718E-4</v>
      </c>
      <c r="S203" s="1"/>
      <c r="T203" s="1">
        <f>SUM(OSRRefT22_8x_0)</f>
        <v>2900</v>
      </c>
      <c r="U203" s="1"/>
      <c r="V203" s="5">
        <f t="shared" ref="V203:V209" si="67">IF(T$12=0,0,T203/T$12)</f>
        <v>4.8300693464641903E-4</v>
      </c>
      <c r="W203" s="1"/>
      <c r="X203" s="1">
        <f t="shared" ref="X203:X209" si="68">+P203-T203</f>
        <v>-2221.59</v>
      </c>
      <c r="Y203" s="1"/>
      <c r="Z203" s="5">
        <f t="shared" ref="Z203:Z209" si="69">IF(T203=0,0,X203/T203)</f>
        <v>-0.76606551724137939</v>
      </c>
    </row>
    <row r="204" spans="1:26" s="24" customFormat="1" hidden="1" outlineLevel="2" x14ac:dyDescent="0.25">
      <c r="A204" s="27"/>
      <c r="B204" s="11" t="str">
        <f>CONCATENATE("          ", "6277", " - ", "EMPLOYEE APPRECIATION")</f>
        <v xml:space="preserve">          6277 - EMPLOYEE APPRECIATION</v>
      </c>
      <c r="C204" s="11"/>
      <c r="D204" s="6">
        <v>93.28</v>
      </c>
      <c r="E204" s="2"/>
      <c r="F204" s="7">
        <f t="shared" si="62"/>
        <v>9.2503035553355255E-5</v>
      </c>
      <c r="G204" s="2"/>
      <c r="H204" s="6">
        <v>725</v>
      </c>
      <c r="I204" s="2"/>
      <c r="J204" s="7">
        <f t="shared" si="63"/>
        <v>7.2499810872643359E-4</v>
      </c>
      <c r="K204" s="2"/>
      <c r="L204" s="6">
        <f t="shared" si="64"/>
        <v>-631.72</v>
      </c>
      <c r="M204" s="2"/>
      <c r="N204" s="7">
        <f t="shared" si="65"/>
        <v>-0.87133793103448276</v>
      </c>
      <c r="O204" s="11"/>
      <c r="P204" s="6">
        <v>678.41</v>
      </c>
      <c r="Q204" s="2"/>
      <c r="R204" s="7">
        <f t="shared" si="66"/>
        <v>1.1821278612014718E-4</v>
      </c>
      <c r="S204" s="2"/>
      <c r="T204" s="6">
        <v>2900</v>
      </c>
      <c r="U204" s="2"/>
      <c r="V204" s="7">
        <f t="shared" si="67"/>
        <v>4.8300693464641903E-4</v>
      </c>
      <c r="W204" s="2"/>
      <c r="X204" s="6">
        <f t="shared" si="68"/>
        <v>-2221.59</v>
      </c>
      <c r="Y204" s="2"/>
      <c r="Z204" s="7">
        <f t="shared" si="69"/>
        <v>-0.76606551724137939</v>
      </c>
    </row>
    <row r="205" spans="1:26" s="26" customFormat="1" outlineLevel="1" collapsed="1" x14ac:dyDescent="0.25">
      <c r="A205" s="25"/>
      <c r="B205" s="13" t="str">
        <f>CONCATENATE("     ","Equipment Rental                                  ")</f>
        <v xml:space="preserve">     Equipment Rental                                  </v>
      </c>
      <c r="C205" s="13"/>
      <c r="D205" s="1">
        <f>SUM(OSRRefD22_9x_0)</f>
        <v>2900.05</v>
      </c>
      <c r="E205" s="1"/>
      <c r="F205" s="5">
        <f t="shared" si="62"/>
        <v>2.8758943852541588E-3</v>
      </c>
      <c r="G205" s="1"/>
      <c r="H205" s="1">
        <f>SUM(OSRRefH22_9x_0)</f>
        <v>3305</v>
      </c>
      <c r="I205" s="1"/>
      <c r="J205" s="5">
        <f t="shared" si="63"/>
        <v>3.3049913784011903E-3</v>
      </c>
      <c r="K205" s="1"/>
      <c r="L205" s="1">
        <f t="shared" si="64"/>
        <v>-404.94999999999982</v>
      </c>
      <c r="M205" s="1"/>
      <c r="N205" s="5">
        <f t="shared" si="65"/>
        <v>-0.12252647503782142</v>
      </c>
      <c r="O205" s="13"/>
      <c r="P205" s="1">
        <f>SUM(OSRRefP22_9x_0)</f>
        <v>7139.96</v>
      </c>
      <c r="Q205" s="1"/>
      <c r="R205" s="5">
        <f t="shared" si="66"/>
        <v>1.2441363841724121E-3</v>
      </c>
      <c r="S205" s="1"/>
      <c r="T205" s="1">
        <f>SUM(OSRRefT22_9x_0)</f>
        <v>13220</v>
      </c>
      <c r="U205" s="1"/>
      <c r="V205" s="5">
        <f t="shared" si="67"/>
        <v>2.2018454055260897E-3</v>
      </c>
      <c r="W205" s="1"/>
      <c r="X205" s="1">
        <f t="shared" si="68"/>
        <v>-6080.04</v>
      </c>
      <c r="Y205" s="1"/>
      <c r="Z205" s="5">
        <f t="shared" si="69"/>
        <v>-0.45991225416036308</v>
      </c>
    </row>
    <row r="206" spans="1:26" s="24" customFormat="1" hidden="1" outlineLevel="2" x14ac:dyDescent="0.25">
      <c r="A206" s="27"/>
      <c r="B206" s="11" t="str">
        <f>CONCATENATE("          ", "6351", " - ", "EQUIPMENT RENTAL")</f>
        <v xml:space="preserve">          6351 - EQUIPMENT RENTAL</v>
      </c>
      <c r="C206" s="11"/>
      <c r="D206" s="6">
        <v>2900.05</v>
      </c>
      <c r="E206" s="2"/>
      <c r="F206" s="7">
        <f t="shared" si="62"/>
        <v>2.8758943852541588E-3</v>
      </c>
      <c r="G206" s="2"/>
      <c r="H206" s="6">
        <v>3305</v>
      </c>
      <c r="I206" s="2"/>
      <c r="J206" s="7">
        <f t="shared" si="63"/>
        <v>3.3049913784011903E-3</v>
      </c>
      <c r="K206" s="2"/>
      <c r="L206" s="6">
        <f t="shared" si="64"/>
        <v>-404.94999999999982</v>
      </c>
      <c r="M206" s="2"/>
      <c r="N206" s="7">
        <f t="shared" si="65"/>
        <v>-0.12252647503782142</v>
      </c>
      <c r="O206" s="11"/>
      <c r="P206" s="6">
        <v>7139.96</v>
      </c>
      <c r="Q206" s="2"/>
      <c r="R206" s="7">
        <f t="shared" si="66"/>
        <v>1.2441363841724121E-3</v>
      </c>
      <c r="S206" s="2"/>
      <c r="T206" s="6">
        <v>13220</v>
      </c>
      <c r="U206" s="2"/>
      <c r="V206" s="7">
        <f t="shared" si="67"/>
        <v>2.2018454055260897E-3</v>
      </c>
      <c r="W206" s="2"/>
      <c r="X206" s="6">
        <f t="shared" si="68"/>
        <v>-6080.04</v>
      </c>
      <c r="Y206" s="2"/>
      <c r="Z206" s="7">
        <f t="shared" si="69"/>
        <v>-0.45991225416036308</v>
      </c>
    </row>
    <row r="207" spans="1:26" s="26" customFormat="1" outlineLevel="1" collapsed="1" x14ac:dyDescent="0.25">
      <c r="A207" s="25"/>
      <c r="B207" s="13" t="str">
        <f>CONCATENATE("     ","Freight out/Postage                               ")</f>
        <v xml:space="preserve">     Freight out/Postage                               </v>
      </c>
      <c r="C207" s="13"/>
      <c r="D207" s="1">
        <f>SUM(OSRRefD22_10x_0)</f>
        <v>1658.1600000000003</v>
      </c>
      <c r="E207" s="1"/>
      <c r="F207" s="5">
        <f t="shared" si="62"/>
        <v>1.6443485573879885E-3</v>
      </c>
      <c r="G207" s="1"/>
      <c r="H207" s="1">
        <f>SUM(OSRRefH22_10x_0)</f>
        <v>-6610</v>
      </c>
      <c r="I207" s="1"/>
      <c r="J207" s="5">
        <f t="shared" si="63"/>
        <v>-6.6099827568023807E-3</v>
      </c>
      <c r="K207" s="1"/>
      <c r="L207" s="1">
        <f t="shared" si="64"/>
        <v>8268.16</v>
      </c>
      <c r="M207" s="1"/>
      <c r="N207" s="5">
        <f t="shared" si="65"/>
        <v>-1.2508562783661119</v>
      </c>
      <c r="O207" s="13"/>
      <c r="P207" s="1">
        <f>SUM(OSRRefP22_10x_0)</f>
        <v>-3907.1300000000047</v>
      </c>
      <c r="Q207" s="1"/>
      <c r="R207" s="5">
        <f t="shared" si="66"/>
        <v>-6.8081650186997721E-4</v>
      </c>
      <c r="S207" s="1"/>
      <c r="T207" s="1">
        <f>SUM(OSRRefT22_10x_0)</f>
        <v>-30540</v>
      </c>
      <c r="U207" s="1"/>
      <c r="V207" s="5">
        <f t="shared" si="67"/>
        <v>-5.0865626841729789E-3</v>
      </c>
      <c r="W207" s="1"/>
      <c r="X207" s="1">
        <f t="shared" si="68"/>
        <v>26632.869999999995</v>
      </c>
      <c r="Y207" s="1"/>
      <c r="Z207" s="5">
        <f t="shared" si="69"/>
        <v>-0.87206516044531746</v>
      </c>
    </row>
    <row r="208" spans="1:26" s="24" customFormat="1" hidden="1" outlineLevel="2" x14ac:dyDescent="0.25">
      <c r="A208" s="27"/>
      <c r="B208" s="11" t="str">
        <f>CONCATENATE("          ", "6305", " - ", "FREIGHT OUT")</f>
        <v xml:space="preserve">          6305 - FREIGHT OUT</v>
      </c>
      <c r="C208" s="11"/>
      <c r="D208" s="6">
        <v>4604.3500000000004</v>
      </c>
      <c r="E208" s="2"/>
      <c r="F208" s="7">
        <f t="shared" si="62"/>
        <v>4.565998625108183E-3</v>
      </c>
      <c r="G208" s="2"/>
      <c r="H208" s="6">
        <v>-6650</v>
      </c>
      <c r="I208" s="2"/>
      <c r="J208" s="7">
        <f t="shared" si="63"/>
        <v>-6.6499826524562527E-3</v>
      </c>
      <c r="K208" s="2"/>
      <c r="L208" s="6">
        <f t="shared" si="64"/>
        <v>11254.35</v>
      </c>
      <c r="M208" s="2"/>
      <c r="N208" s="7">
        <f t="shared" si="65"/>
        <v>-1.6923834586466167</v>
      </c>
      <c r="O208" s="11"/>
      <c r="P208" s="6">
        <v>19681.099999999999</v>
      </c>
      <c r="Q208" s="2"/>
      <c r="R208" s="7">
        <f t="shared" si="66"/>
        <v>3.4294271383222955E-3</v>
      </c>
      <c r="S208" s="2"/>
      <c r="T208" s="6">
        <v>-30700</v>
      </c>
      <c r="U208" s="2"/>
      <c r="V208" s="7">
        <f t="shared" si="67"/>
        <v>-5.1132113426362296E-3</v>
      </c>
      <c r="W208" s="2"/>
      <c r="X208" s="6">
        <f t="shared" si="68"/>
        <v>50381.1</v>
      </c>
      <c r="Y208" s="2"/>
      <c r="Z208" s="7">
        <f t="shared" si="69"/>
        <v>-1.6410781758957653</v>
      </c>
    </row>
    <row r="209" spans="1:26" s="24" customFormat="1" hidden="1" outlineLevel="2" x14ac:dyDescent="0.25">
      <c r="A209" s="27"/>
      <c r="B209" s="11" t="str">
        <f>CONCATENATE("          ", "6307", " - ", "POSTAGE")</f>
        <v xml:space="preserve">          6307 - POSTAGE</v>
      </c>
      <c r="C209" s="11"/>
      <c r="D209" s="6">
        <v>-2946.19</v>
      </c>
      <c r="E209" s="2"/>
      <c r="F209" s="7">
        <f t="shared" si="62"/>
        <v>-2.9216500677201941E-3</v>
      </c>
      <c r="G209" s="2"/>
      <c r="H209" s="6">
        <v>40</v>
      </c>
      <c r="I209" s="2"/>
      <c r="J209" s="7">
        <f t="shared" si="63"/>
        <v>3.9999895653872196E-5</v>
      </c>
      <c r="K209" s="2"/>
      <c r="L209" s="6">
        <f t="shared" si="64"/>
        <v>-2986.19</v>
      </c>
      <c r="M209" s="2"/>
      <c r="N209" s="7">
        <f t="shared" si="65"/>
        <v>-74.654750000000007</v>
      </c>
      <c r="O209" s="11"/>
      <c r="P209" s="6">
        <v>-23588.230000000003</v>
      </c>
      <c r="Q209" s="2"/>
      <c r="R209" s="7">
        <f t="shared" si="66"/>
        <v>-4.1102436401922729E-3</v>
      </c>
      <c r="S209" s="2"/>
      <c r="T209" s="6">
        <v>160</v>
      </c>
      <c r="U209" s="2"/>
      <c r="V209" s="7">
        <f t="shared" si="67"/>
        <v>2.6648658463250707E-5</v>
      </c>
      <c r="W209" s="2"/>
      <c r="X209" s="6">
        <f t="shared" si="68"/>
        <v>-23748.230000000003</v>
      </c>
      <c r="Y209" s="2"/>
      <c r="Z209" s="7">
        <f t="shared" si="69"/>
        <v>-148.42643750000002</v>
      </c>
    </row>
    <row r="210" spans="1:26" s="26" customFormat="1" outlineLevel="1" collapsed="1" x14ac:dyDescent="0.25">
      <c r="A210" s="25"/>
      <c r="B210" s="13" t="str">
        <f>CONCATENATE("     ","General                                           ")</f>
        <v xml:space="preserve">     General                                           </v>
      </c>
      <c r="C210" s="13"/>
      <c r="D210" s="1">
        <f>SUM(OSRRefD22_11x_0)</f>
        <v>838.29</v>
      </c>
      <c r="E210" s="1"/>
      <c r="F210" s="5">
        <f t="shared" ref="F210:F227" si="70">IF(D$12=0,0,D210/D$12)</f>
        <v>8.313075651160181E-4</v>
      </c>
      <c r="G210" s="1"/>
      <c r="H210" s="1">
        <f>SUM(OSRRefH22_11x_0)</f>
        <v>2368</v>
      </c>
      <c r="I210" s="1"/>
      <c r="J210" s="5">
        <f t="shared" ref="J210:J227" si="71">IF(H$12=0,0,H210/H$12)</f>
        <v>2.3679938227092342E-3</v>
      </c>
      <c r="K210" s="1"/>
      <c r="L210" s="1">
        <f t="shared" ref="L210:L227" si="72">+D210-H210</f>
        <v>-1529.71</v>
      </c>
      <c r="M210" s="1"/>
      <c r="N210" s="5">
        <f t="shared" ref="N210:N227" si="73">IF(H210=0,0,L210/H210)</f>
        <v>-0.64599239864864866</v>
      </c>
      <c r="O210" s="13"/>
      <c r="P210" s="1">
        <f>SUM(OSRRefP22_11x_0)</f>
        <v>-10098.93</v>
      </c>
      <c r="Q210" s="1"/>
      <c r="R210" s="5">
        <f t="shared" ref="R210:R227" si="74">IF(P$12=0,0,P210/P$12)</f>
        <v>-1.7597362246021403E-3</v>
      </c>
      <c r="S210" s="1"/>
      <c r="T210" s="1">
        <f>SUM(OSRRefT22_11x_0)</f>
        <v>6564</v>
      </c>
      <c r="U210" s="1"/>
      <c r="V210" s="5">
        <f t="shared" ref="V210:V227" si="75">IF(T$12=0,0,T210/T$12)</f>
        <v>1.0932612134548602E-3</v>
      </c>
      <c r="W210" s="1"/>
      <c r="X210" s="1">
        <f t="shared" ref="X210:X227" si="76">+P210-T210</f>
        <v>-16662.93</v>
      </c>
      <c r="Y210" s="1"/>
      <c r="Z210" s="5">
        <f t="shared" ref="Z210:Z227" si="77">IF(T210=0,0,X210/T210)</f>
        <v>-2.5385329067641682</v>
      </c>
    </row>
    <row r="211" spans="1:26" s="24" customFormat="1" hidden="1" outlineLevel="2" x14ac:dyDescent="0.25">
      <c r="A211" s="27"/>
      <c r="B211" s="11" t="str">
        <f>CONCATENATE("          ", "6279", " - ", "GENERAL EXPENSE")</f>
        <v xml:space="preserve">          6279 - GENERAL EXPENSE</v>
      </c>
      <c r="C211" s="11"/>
      <c r="D211" s="6">
        <v>838.29</v>
      </c>
      <c r="E211" s="2"/>
      <c r="F211" s="7">
        <f t="shared" si="70"/>
        <v>8.313075651160181E-4</v>
      </c>
      <c r="G211" s="2"/>
      <c r="H211" s="6">
        <v>2368</v>
      </c>
      <c r="I211" s="2"/>
      <c r="J211" s="7">
        <f t="shared" si="71"/>
        <v>2.3679938227092342E-3</v>
      </c>
      <c r="K211" s="2"/>
      <c r="L211" s="6">
        <f t="shared" si="72"/>
        <v>-1529.71</v>
      </c>
      <c r="M211" s="2"/>
      <c r="N211" s="7">
        <f t="shared" si="73"/>
        <v>-0.64599239864864866</v>
      </c>
      <c r="O211" s="11"/>
      <c r="P211" s="6">
        <v>-10098.93</v>
      </c>
      <c r="Q211" s="2"/>
      <c r="R211" s="7">
        <f t="shared" si="74"/>
        <v>-1.7597362246021403E-3</v>
      </c>
      <c r="S211" s="2"/>
      <c r="T211" s="6">
        <v>6564</v>
      </c>
      <c r="U211" s="2"/>
      <c r="V211" s="7">
        <f t="shared" si="75"/>
        <v>1.0932612134548602E-3</v>
      </c>
      <c r="W211" s="2"/>
      <c r="X211" s="6">
        <f t="shared" si="76"/>
        <v>-16662.93</v>
      </c>
      <c r="Y211" s="2"/>
      <c r="Z211" s="7">
        <f t="shared" si="77"/>
        <v>-2.5385329067641682</v>
      </c>
    </row>
    <row r="212" spans="1:26" s="26" customFormat="1" outlineLevel="1" collapsed="1" x14ac:dyDescent="0.25">
      <c r="A212" s="25"/>
      <c r="B212" s="13" t="str">
        <f>CONCATENATE("     ","Insurance                                         ")</f>
        <v xml:space="preserve">     Insurance                                         </v>
      </c>
      <c r="C212" s="13"/>
      <c r="D212" s="1">
        <f>SUM(OSRRefD22_12x_0)</f>
        <v>4288.28</v>
      </c>
      <c r="E212" s="1"/>
      <c r="F212" s="5">
        <f t="shared" si="70"/>
        <v>4.2525612918390037E-3</v>
      </c>
      <c r="G212" s="1"/>
      <c r="H212" s="1">
        <f>SUM(OSRRefH22_12x_0)</f>
        <v>4045</v>
      </c>
      <c r="I212" s="1"/>
      <c r="J212" s="5">
        <f t="shared" si="71"/>
        <v>4.044989447997826E-3</v>
      </c>
      <c r="K212" s="1"/>
      <c r="L212" s="1">
        <f t="shared" si="72"/>
        <v>243.27999999999975</v>
      </c>
      <c r="M212" s="1"/>
      <c r="N212" s="5">
        <f t="shared" si="73"/>
        <v>6.0143386897404137E-2</v>
      </c>
      <c r="O212" s="13"/>
      <c r="P212" s="1">
        <f>SUM(OSRRefP22_12x_0)</f>
        <v>17153.12</v>
      </c>
      <c r="Q212" s="1"/>
      <c r="R212" s="5">
        <f t="shared" si="74"/>
        <v>2.9889272060453398E-3</v>
      </c>
      <c r="S212" s="1"/>
      <c r="T212" s="1">
        <f>SUM(OSRRefT22_12x_0)</f>
        <v>16180</v>
      </c>
      <c r="U212" s="1"/>
      <c r="V212" s="5">
        <f t="shared" si="75"/>
        <v>2.6948455870962275E-3</v>
      </c>
      <c r="W212" s="1"/>
      <c r="X212" s="1">
        <f t="shared" si="76"/>
        <v>973.11999999999898</v>
      </c>
      <c r="Y212" s="1"/>
      <c r="Z212" s="5">
        <f t="shared" si="77"/>
        <v>6.0143386897404137E-2</v>
      </c>
    </row>
    <row r="213" spans="1:26" s="24" customFormat="1" hidden="1" outlineLevel="2" x14ac:dyDescent="0.25">
      <c r="A213" s="27"/>
      <c r="B213" s="11" t="str">
        <f>CONCATENATE("          ", "6314", " - ", "LIABILITY INSURANCE")</f>
        <v xml:space="preserve">          6314 - LIABILITY INSURANCE</v>
      </c>
      <c r="C213" s="11"/>
      <c r="D213" s="6">
        <v>4288.28</v>
      </c>
      <c r="E213" s="2"/>
      <c r="F213" s="7">
        <f t="shared" si="70"/>
        <v>4.2525612918390037E-3</v>
      </c>
      <c r="G213" s="2"/>
      <c r="H213" s="6">
        <v>4045</v>
      </c>
      <c r="I213" s="2"/>
      <c r="J213" s="7">
        <f t="shared" si="71"/>
        <v>4.044989447997826E-3</v>
      </c>
      <c r="K213" s="2"/>
      <c r="L213" s="6">
        <f t="shared" si="72"/>
        <v>243.27999999999975</v>
      </c>
      <c r="M213" s="2"/>
      <c r="N213" s="7">
        <f t="shared" si="73"/>
        <v>6.0143386897404137E-2</v>
      </c>
      <c r="O213" s="11"/>
      <c r="P213" s="6">
        <v>17153.12</v>
      </c>
      <c r="Q213" s="2"/>
      <c r="R213" s="7">
        <f t="shared" si="74"/>
        <v>2.9889272060453398E-3</v>
      </c>
      <c r="S213" s="2"/>
      <c r="T213" s="6">
        <v>16180</v>
      </c>
      <c r="U213" s="2"/>
      <c r="V213" s="7">
        <f t="shared" si="75"/>
        <v>2.6948455870962275E-3</v>
      </c>
      <c r="W213" s="2"/>
      <c r="X213" s="6">
        <f t="shared" si="76"/>
        <v>973.11999999999898</v>
      </c>
      <c r="Y213" s="2"/>
      <c r="Z213" s="7">
        <f t="shared" si="77"/>
        <v>6.0143386897404137E-2</v>
      </c>
    </row>
    <row r="214" spans="1:26" s="26" customFormat="1" outlineLevel="1" collapsed="1" x14ac:dyDescent="0.25">
      <c r="A214" s="25"/>
      <c r="B214" s="13" t="str">
        <f>CONCATENATE("     ","Interest                                          ")</f>
        <v xml:space="preserve">     Interest                                          </v>
      </c>
      <c r="C214" s="13"/>
      <c r="D214" s="1">
        <f>SUM(OSRRefD22_13x_0)</f>
        <v>4163.95</v>
      </c>
      <c r="E214" s="1"/>
      <c r="F214" s="5">
        <f t="shared" si="70"/>
        <v>4.1292668834947855E-3</v>
      </c>
      <c r="G214" s="1"/>
      <c r="H214" s="1">
        <f>SUM(OSRRefH22_13x_0)</f>
        <v>4175</v>
      </c>
      <c r="I214" s="1"/>
      <c r="J214" s="5">
        <f t="shared" si="71"/>
        <v>4.1749891088729103E-3</v>
      </c>
      <c r="K214" s="1"/>
      <c r="L214" s="1">
        <f t="shared" si="72"/>
        <v>-11.050000000000182</v>
      </c>
      <c r="M214" s="1"/>
      <c r="N214" s="5">
        <f t="shared" si="73"/>
        <v>-2.6467065868263908E-3</v>
      </c>
      <c r="O214" s="13"/>
      <c r="P214" s="1">
        <f>SUM(OSRRefP22_13x_0)</f>
        <v>16493.95</v>
      </c>
      <c r="Q214" s="1"/>
      <c r="R214" s="5">
        <f t="shared" si="74"/>
        <v>2.8740669854901927E-3</v>
      </c>
      <c r="S214" s="1"/>
      <c r="T214" s="1">
        <f>SUM(OSRRefT22_13x_0)</f>
        <v>16700</v>
      </c>
      <c r="U214" s="1"/>
      <c r="V214" s="5">
        <f t="shared" si="75"/>
        <v>2.7814537271017925E-3</v>
      </c>
      <c r="W214" s="1"/>
      <c r="X214" s="1">
        <f t="shared" si="76"/>
        <v>-206.04999999999927</v>
      </c>
      <c r="Y214" s="1"/>
      <c r="Z214" s="5">
        <f t="shared" si="77"/>
        <v>-1.233832335329337E-2</v>
      </c>
    </row>
    <row r="215" spans="1:26" s="24" customFormat="1" hidden="1" outlineLevel="2" x14ac:dyDescent="0.25">
      <c r="A215" s="27"/>
      <c r="B215" s="11" t="str">
        <f>CONCATENATE("          ", "6401", " - ", "INTEREST EXPENSE")</f>
        <v xml:space="preserve">          6401 - INTEREST EXPENSE</v>
      </c>
      <c r="C215" s="11"/>
      <c r="D215" s="6">
        <v>4163.95</v>
      </c>
      <c r="E215" s="2"/>
      <c r="F215" s="7">
        <f t="shared" si="70"/>
        <v>4.1292668834947855E-3</v>
      </c>
      <c r="G215" s="2"/>
      <c r="H215" s="6">
        <v>4175</v>
      </c>
      <c r="I215" s="2"/>
      <c r="J215" s="7">
        <f t="shared" si="71"/>
        <v>4.1749891088729103E-3</v>
      </c>
      <c r="K215" s="2"/>
      <c r="L215" s="6">
        <f t="shared" si="72"/>
        <v>-11.050000000000182</v>
      </c>
      <c r="M215" s="2"/>
      <c r="N215" s="7">
        <f t="shared" si="73"/>
        <v>-2.6467065868263908E-3</v>
      </c>
      <c r="O215" s="11"/>
      <c r="P215" s="6">
        <v>16493.95</v>
      </c>
      <c r="Q215" s="2"/>
      <c r="R215" s="7">
        <f t="shared" si="74"/>
        <v>2.8740669854901927E-3</v>
      </c>
      <c r="S215" s="2"/>
      <c r="T215" s="6">
        <v>16700</v>
      </c>
      <c r="U215" s="2"/>
      <c r="V215" s="7">
        <f t="shared" si="75"/>
        <v>2.7814537271017925E-3</v>
      </c>
      <c r="W215" s="2"/>
      <c r="X215" s="6">
        <f t="shared" si="76"/>
        <v>-206.04999999999927</v>
      </c>
      <c r="Y215" s="2"/>
      <c r="Z215" s="7">
        <f t="shared" si="77"/>
        <v>-1.233832335329337E-2</v>
      </c>
    </row>
    <row r="216" spans="1:26" s="26" customFormat="1" outlineLevel="1" collapsed="1" x14ac:dyDescent="0.25">
      <c r="A216" s="25"/>
      <c r="B216" s="13" t="str">
        <f>CONCATENATE("     ","Inventory Adjustment                              ")</f>
        <v xml:space="preserve">     Inventory Adjustment                              </v>
      </c>
      <c r="C216" s="13"/>
      <c r="D216" s="1">
        <f>SUM(OSRRefD22_14x_0)</f>
        <v>4250</v>
      </c>
      <c r="E216" s="1"/>
      <c r="F216" s="5">
        <f t="shared" si="70"/>
        <v>4.2146001404562584E-3</v>
      </c>
      <c r="G216" s="1"/>
      <c r="H216" s="1">
        <f>SUM(OSRRefH22_14x_0)</f>
        <v>4250</v>
      </c>
      <c r="I216" s="1"/>
      <c r="J216" s="5">
        <f t="shared" si="71"/>
        <v>4.2499889132239206E-3</v>
      </c>
      <c r="K216" s="1"/>
      <c r="L216" s="1">
        <f t="shared" si="72"/>
        <v>0</v>
      </c>
      <c r="M216" s="1"/>
      <c r="N216" s="5">
        <f t="shared" si="73"/>
        <v>0</v>
      </c>
      <c r="O216" s="13"/>
      <c r="P216" s="1">
        <f>SUM(OSRRefP22_14x_0)</f>
        <v>16900</v>
      </c>
      <c r="Q216" s="1"/>
      <c r="R216" s="5">
        <f t="shared" si="74"/>
        <v>2.9448211043918682E-3</v>
      </c>
      <c r="S216" s="1"/>
      <c r="T216" s="1">
        <f>SUM(OSRRefT22_14x_0)</f>
        <v>16900</v>
      </c>
      <c r="U216" s="1"/>
      <c r="V216" s="5">
        <f t="shared" si="75"/>
        <v>2.8147645501808557E-3</v>
      </c>
      <c r="W216" s="1"/>
      <c r="X216" s="1">
        <f t="shared" si="76"/>
        <v>0</v>
      </c>
      <c r="Y216" s="1"/>
      <c r="Z216" s="5">
        <f t="shared" si="77"/>
        <v>0</v>
      </c>
    </row>
    <row r="217" spans="1:26" s="24" customFormat="1" hidden="1" outlineLevel="2" x14ac:dyDescent="0.25">
      <c r="A217" s="27"/>
      <c r="B217" s="11" t="str">
        <f>CONCATENATE("          ", "6408", " - ", "INVENTORY ADJUSTMENT")</f>
        <v xml:space="preserve">          6408 - INVENTORY ADJUSTMENT</v>
      </c>
      <c r="C217" s="11"/>
      <c r="D217" s="6">
        <v>4250</v>
      </c>
      <c r="E217" s="2"/>
      <c r="F217" s="7">
        <f t="shared" si="70"/>
        <v>4.2146001404562584E-3</v>
      </c>
      <c r="G217" s="2"/>
      <c r="H217" s="6">
        <v>4250</v>
      </c>
      <c r="I217" s="2"/>
      <c r="J217" s="7">
        <f t="shared" si="71"/>
        <v>4.2499889132239206E-3</v>
      </c>
      <c r="K217" s="2"/>
      <c r="L217" s="6">
        <f t="shared" si="72"/>
        <v>0</v>
      </c>
      <c r="M217" s="2"/>
      <c r="N217" s="7">
        <f t="shared" si="73"/>
        <v>0</v>
      </c>
      <c r="O217" s="11"/>
      <c r="P217" s="6">
        <v>16900</v>
      </c>
      <c r="Q217" s="2"/>
      <c r="R217" s="7">
        <f t="shared" si="74"/>
        <v>2.9448211043918682E-3</v>
      </c>
      <c r="S217" s="2"/>
      <c r="T217" s="6">
        <v>16900</v>
      </c>
      <c r="U217" s="2"/>
      <c r="V217" s="7">
        <f t="shared" si="75"/>
        <v>2.8147645501808557E-3</v>
      </c>
      <c r="W217" s="2"/>
      <c r="X217" s="6">
        <f t="shared" si="76"/>
        <v>0</v>
      </c>
      <c r="Y217" s="2"/>
      <c r="Z217" s="7">
        <f t="shared" si="77"/>
        <v>0</v>
      </c>
    </row>
    <row r="218" spans="1:26" s="26" customFormat="1" outlineLevel="1" collapsed="1" x14ac:dyDescent="0.25">
      <c r="A218" s="25"/>
      <c r="B218" s="13" t="str">
        <f>CONCATENATE("     ","Professional Services                             ")</f>
        <v xml:space="preserve">     Professional Services                             </v>
      </c>
      <c r="C218" s="13"/>
      <c r="D218" s="1">
        <f>SUM(OSRRefD22_15x_0)</f>
        <v>0</v>
      </c>
      <c r="E218" s="1"/>
      <c r="F218" s="5">
        <f t="shared" si="70"/>
        <v>0</v>
      </c>
      <c r="G218" s="1"/>
      <c r="H218" s="1">
        <f>SUM(OSRRefH22_15x_0)</f>
        <v>1265</v>
      </c>
      <c r="I218" s="1"/>
      <c r="J218" s="5">
        <f t="shared" si="71"/>
        <v>1.2649967000537084E-3</v>
      </c>
      <c r="K218" s="1"/>
      <c r="L218" s="1">
        <f t="shared" si="72"/>
        <v>-1265</v>
      </c>
      <c r="M218" s="1"/>
      <c r="N218" s="5">
        <f t="shared" si="73"/>
        <v>-1</v>
      </c>
      <c r="O218" s="13"/>
      <c r="P218" s="1">
        <f>SUM(OSRRefP22_15x_0)</f>
        <v>6158.41</v>
      </c>
      <c r="Q218" s="1"/>
      <c r="R218" s="5">
        <f t="shared" si="74"/>
        <v>1.0731015229288713E-3</v>
      </c>
      <c r="S218" s="1"/>
      <c r="T218" s="1">
        <f>SUM(OSRRefT22_15x_0)</f>
        <v>6710</v>
      </c>
      <c r="U218" s="1"/>
      <c r="V218" s="5">
        <f t="shared" si="75"/>
        <v>1.1175781143025764E-3</v>
      </c>
      <c r="W218" s="1"/>
      <c r="X218" s="1">
        <f t="shared" si="76"/>
        <v>-551.59000000000015</v>
      </c>
      <c r="Y218" s="1"/>
      <c r="Z218" s="5">
        <f t="shared" si="77"/>
        <v>-8.2204172876304049E-2</v>
      </c>
    </row>
    <row r="219" spans="1:26" s="24" customFormat="1" hidden="1" outlineLevel="2" x14ac:dyDescent="0.25">
      <c r="A219" s="27"/>
      <c r="B219" s="11" t="str">
        <f>CONCATENATE("          ", "6336", " - ", "PROFESSIONAL SERVICES")</f>
        <v xml:space="preserve">          6336 - PROFESSIONAL SERVICES</v>
      </c>
      <c r="C219" s="11"/>
      <c r="D219" s="6"/>
      <c r="E219" s="2"/>
      <c r="F219" s="7">
        <f t="shared" si="70"/>
        <v>0</v>
      </c>
      <c r="G219" s="2"/>
      <c r="H219" s="6">
        <v>1265</v>
      </c>
      <c r="I219" s="2"/>
      <c r="J219" s="7">
        <f t="shared" si="71"/>
        <v>1.2649967000537084E-3</v>
      </c>
      <c r="K219" s="2"/>
      <c r="L219" s="6">
        <f t="shared" si="72"/>
        <v>-1265</v>
      </c>
      <c r="M219" s="2"/>
      <c r="N219" s="7">
        <f t="shared" si="73"/>
        <v>-1</v>
      </c>
      <c r="O219" s="11"/>
      <c r="P219" s="6">
        <v>6158.41</v>
      </c>
      <c r="Q219" s="2"/>
      <c r="R219" s="7">
        <f t="shared" si="74"/>
        <v>1.0731015229288713E-3</v>
      </c>
      <c r="S219" s="2"/>
      <c r="T219" s="6">
        <v>6710</v>
      </c>
      <c r="U219" s="2"/>
      <c r="V219" s="7">
        <f t="shared" si="75"/>
        <v>1.1175781143025764E-3</v>
      </c>
      <c r="W219" s="2"/>
      <c r="X219" s="6">
        <f t="shared" si="76"/>
        <v>-551.59000000000015</v>
      </c>
      <c r="Y219" s="2"/>
      <c r="Z219" s="7">
        <f t="shared" si="77"/>
        <v>-8.2204172876304049E-2</v>
      </c>
    </row>
    <row r="220" spans="1:26" s="26" customFormat="1" outlineLevel="1" collapsed="1" x14ac:dyDescent="0.25">
      <c r="A220" s="25"/>
      <c r="B220" s="13" t="str">
        <f>CONCATENATE("     ","R/H Commissions                                   ")</f>
        <v xml:space="preserve">     R/H Commissions                                   </v>
      </c>
      <c r="C220" s="13"/>
      <c r="D220" s="1">
        <f>SUM(OSRRefD22_16x_0)</f>
        <v>0</v>
      </c>
      <c r="E220" s="1"/>
      <c r="F220" s="5">
        <f t="shared" si="70"/>
        <v>0</v>
      </c>
      <c r="G220" s="1"/>
      <c r="H220" s="1">
        <f>SUM(OSRRefH22_16x_0)</f>
        <v>0</v>
      </c>
      <c r="I220" s="1"/>
      <c r="J220" s="5">
        <f t="shared" si="71"/>
        <v>0</v>
      </c>
      <c r="K220" s="1"/>
      <c r="L220" s="1">
        <f t="shared" si="72"/>
        <v>0</v>
      </c>
      <c r="M220" s="1"/>
      <c r="N220" s="5">
        <f t="shared" si="73"/>
        <v>0</v>
      </c>
      <c r="O220" s="13"/>
      <c r="P220" s="1">
        <f>SUM(OSRRefP22_16x_0)</f>
        <v>0</v>
      </c>
      <c r="Q220" s="1"/>
      <c r="R220" s="5">
        <f t="shared" si="74"/>
        <v>0</v>
      </c>
      <c r="S220" s="1"/>
      <c r="T220" s="1">
        <f>SUM(OSRRefT22_16x_0)</f>
        <v>0</v>
      </c>
      <c r="U220" s="1"/>
      <c r="V220" s="5">
        <f t="shared" si="75"/>
        <v>0</v>
      </c>
      <c r="W220" s="1"/>
      <c r="X220" s="1">
        <f t="shared" si="76"/>
        <v>0</v>
      </c>
      <c r="Y220" s="1"/>
      <c r="Z220" s="5">
        <f t="shared" si="77"/>
        <v>0</v>
      </c>
    </row>
    <row r="221" spans="1:26" s="24" customFormat="1" hidden="1" outlineLevel="2" x14ac:dyDescent="0.25">
      <c r="A221" s="27"/>
      <c r="B221" s="11" t="str">
        <f>CONCATENATE("          ", "6387", " - ", "COMMISSION DUE HOUSING")</f>
        <v xml:space="preserve">          6387 - COMMISSION DUE HOUSING</v>
      </c>
      <c r="C221" s="11"/>
      <c r="D221" s="6"/>
      <c r="E221" s="2"/>
      <c r="F221" s="7">
        <f t="shared" si="70"/>
        <v>0</v>
      </c>
      <c r="G221" s="2"/>
      <c r="H221" s="6"/>
      <c r="I221" s="2"/>
      <c r="J221" s="7">
        <f t="shared" si="71"/>
        <v>0</v>
      </c>
      <c r="K221" s="2"/>
      <c r="L221" s="6">
        <f t="shared" si="72"/>
        <v>0</v>
      </c>
      <c r="M221" s="2"/>
      <c r="N221" s="7">
        <f t="shared" si="73"/>
        <v>0</v>
      </c>
      <c r="O221" s="11"/>
      <c r="P221" s="6"/>
      <c r="Q221" s="2"/>
      <c r="R221" s="7">
        <f t="shared" si="74"/>
        <v>0</v>
      </c>
      <c r="S221" s="2"/>
      <c r="T221" s="6">
        <v>0</v>
      </c>
      <c r="U221" s="2"/>
      <c r="V221" s="7">
        <f t="shared" si="75"/>
        <v>0</v>
      </c>
      <c r="W221" s="2"/>
      <c r="X221" s="6">
        <f t="shared" si="76"/>
        <v>0</v>
      </c>
      <c r="Y221" s="2"/>
      <c r="Z221" s="7">
        <f t="shared" si="77"/>
        <v>0</v>
      </c>
    </row>
    <row r="222" spans="1:26" s="26" customFormat="1" outlineLevel="1" collapsed="1" x14ac:dyDescent="0.25">
      <c r="A222" s="25"/>
      <c r="B222" s="13" t="str">
        <f>CONCATENATE("     ","Rent                                              ")</f>
        <v xml:space="preserve">     Rent                                              </v>
      </c>
      <c r="C222" s="13"/>
      <c r="D222" s="1">
        <f>SUM(OSRRefD22_17x_0)</f>
        <v>7250</v>
      </c>
      <c r="E222" s="1"/>
      <c r="F222" s="5">
        <f t="shared" si="70"/>
        <v>7.1896120043077353E-3</v>
      </c>
      <c r="G222" s="1"/>
      <c r="H222" s="1">
        <f>SUM(OSRRefH22_17x_0)</f>
        <v>7550</v>
      </c>
      <c r="I222" s="1"/>
      <c r="J222" s="5">
        <f t="shared" si="71"/>
        <v>7.5499803046683777E-3</v>
      </c>
      <c r="K222" s="1"/>
      <c r="L222" s="1">
        <f t="shared" si="72"/>
        <v>-300</v>
      </c>
      <c r="M222" s="1"/>
      <c r="N222" s="5">
        <f t="shared" si="73"/>
        <v>-3.9735099337748346E-2</v>
      </c>
      <c r="O222" s="13"/>
      <c r="P222" s="1">
        <f>SUM(OSRRefP22_17x_0)</f>
        <v>29000</v>
      </c>
      <c r="Q222" s="1"/>
      <c r="R222" s="5">
        <f t="shared" si="74"/>
        <v>5.0532433152286494E-3</v>
      </c>
      <c r="S222" s="1"/>
      <c r="T222" s="1">
        <f>SUM(OSRRefT22_17x_0)</f>
        <v>30200</v>
      </c>
      <c r="U222" s="1"/>
      <c r="V222" s="5">
        <f t="shared" si="75"/>
        <v>5.0299342849385708E-3</v>
      </c>
      <c r="W222" s="1"/>
      <c r="X222" s="1">
        <f t="shared" si="76"/>
        <v>-1200</v>
      </c>
      <c r="Y222" s="1"/>
      <c r="Z222" s="5">
        <f t="shared" si="77"/>
        <v>-3.9735099337748346E-2</v>
      </c>
    </row>
    <row r="223" spans="1:26" s="24" customFormat="1" hidden="1" outlineLevel="2" x14ac:dyDescent="0.25">
      <c r="A223" s="27"/>
      <c r="B223" s="11" t="str">
        <f>CONCATENATE("          ", "6273", " - ", "RENT")</f>
        <v xml:space="preserve">          6273 - RENT</v>
      </c>
      <c r="C223" s="11"/>
      <c r="D223" s="6">
        <v>7250</v>
      </c>
      <c r="E223" s="2"/>
      <c r="F223" s="7">
        <f t="shared" si="70"/>
        <v>7.1896120043077353E-3</v>
      </c>
      <c r="G223" s="2"/>
      <c r="H223" s="6">
        <v>7550</v>
      </c>
      <c r="I223" s="2"/>
      <c r="J223" s="7">
        <f t="shared" si="71"/>
        <v>7.5499803046683777E-3</v>
      </c>
      <c r="K223" s="2"/>
      <c r="L223" s="6">
        <f t="shared" si="72"/>
        <v>-300</v>
      </c>
      <c r="M223" s="2"/>
      <c r="N223" s="7">
        <f t="shared" si="73"/>
        <v>-3.9735099337748346E-2</v>
      </c>
      <c r="O223" s="11"/>
      <c r="P223" s="6">
        <v>29000</v>
      </c>
      <c r="Q223" s="2"/>
      <c r="R223" s="7">
        <f t="shared" si="74"/>
        <v>5.0532433152286494E-3</v>
      </c>
      <c r="S223" s="2"/>
      <c r="T223" s="6">
        <v>30200</v>
      </c>
      <c r="U223" s="2"/>
      <c r="V223" s="7">
        <f t="shared" si="75"/>
        <v>5.0299342849385708E-3</v>
      </c>
      <c r="W223" s="2"/>
      <c r="X223" s="6">
        <f t="shared" si="76"/>
        <v>-1200</v>
      </c>
      <c r="Y223" s="2"/>
      <c r="Z223" s="7">
        <f t="shared" si="77"/>
        <v>-3.9735099337748346E-2</v>
      </c>
    </row>
    <row r="224" spans="1:26" s="26" customFormat="1" outlineLevel="1" collapsed="1" x14ac:dyDescent="0.25">
      <c r="A224" s="25"/>
      <c r="B224" s="13" t="str">
        <f>CONCATENATE("     ","Repair and Maintenance                            ")</f>
        <v xml:space="preserve">     Repair and Maintenance                            </v>
      </c>
      <c r="C224" s="13"/>
      <c r="D224" s="1">
        <f>SUM(OSRRefD22_18x_0)</f>
        <v>17928.669999999998</v>
      </c>
      <c r="E224" s="1"/>
      <c r="F224" s="5">
        <f t="shared" si="70"/>
        <v>1.7779335317692685E-2</v>
      </c>
      <c r="G224" s="1"/>
      <c r="H224" s="1">
        <f>SUM(OSRRefH22_18x_0)</f>
        <v>16357</v>
      </c>
      <c r="I224" s="1"/>
      <c r="J224" s="5">
        <f t="shared" si="71"/>
        <v>1.6356957330259689E-2</v>
      </c>
      <c r="K224" s="1"/>
      <c r="L224" s="1">
        <f t="shared" si="72"/>
        <v>1571.6699999999983</v>
      </c>
      <c r="M224" s="1"/>
      <c r="N224" s="5">
        <f t="shared" si="73"/>
        <v>9.6085467995353571E-2</v>
      </c>
      <c r="O224" s="13"/>
      <c r="P224" s="1">
        <f>SUM(OSRRefP22_18x_0)</f>
        <v>74739.11</v>
      </c>
      <c r="Q224" s="1"/>
      <c r="R224" s="5">
        <f t="shared" si="74"/>
        <v>1.3023272689435818E-2</v>
      </c>
      <c r="S224" s="1"/>
      <c r="T224" s="1">
        <f>SUM(OSRRefT22_18x_0)</f>
        <v>107794</v>
      </c>
      <c r="U224" s="1"/>
      <c r="V224" s="5">
        <f t="shared" si="75"/>
        <v>1.7953534314922793E-2</v>
      </c>
      <c r="W224" s="1"/>
      <c r="X224" s="1">
        <f t="shared" si="76"/>
        <v>-33054.89</v>
      </c>
      <c r="Y224" s="1"/>
      <c r="Z224" s="5">
        <f t="shared" si="77"/>
        <v>-0.30664870029871794</v>
      </c>
    </row>
    <row r="225" spans="1:26" s="24" customFormat="1" hidden="1" outlineLevel="2" x14ac:dyDescent="0.25">
      <c r="A225" s="27"/>
      <c r="B225" s="11" t="str">
        <f>CONCATENATE("          ", "6371", " - ", "COMPUTER SOFTWARE MAINTENANCE")</f>
        <v xml:space="preserve">          6371 - COMPUTER SOFTWARE MAINTENANCE</v>
      </c>
      <c r="C225" s="11"/>
      <c r="D225" s="6">
        <v>601</v>
      </c>
      <c r="E225" s="2"/>
      <c r="F225" s="7">
        <f t="shared" si="70"/>
        <v>5.9599404339157915E-4</v>
      </c>
      <c r="G225" s="2"/>
      <c r="H225" s="6"/>
      <c r="I225" s="2"/>
      <c r="J225" s="7">
        <f t="shared" si="71"/>
        <v>0</v>
      </c>
      <c r="K225" s="2"/>
      <c r="L225" s="6">
        <f t="shared" si="72"/>
        <v>601</v>
      </c>
      <c r="M225" s="2"/>
      <c r="N225" s="7">
        <f t="shared" si="73"/>
        <v>0</v>
      </c>
      <c r="O225" s="11"/>
      <c r="P225" s="6">
        <v>14063.33</v>
      </c>
      <c r="Q225" s="2"/>
      <c r="R225" s="7">
        <f t="shared" si="74"/>
        <v>2.4505320107708456E-3</v>
      </c>
      <c r="S225" s="2"/>
      <c r="T225" s="6">
        <v>48535</v>
      </c>
      <c r="U225" s="2"/>
      <c r="V225" s="7">
        <f t="shared" si="75"/>
        <v>8.0837039907117065E-3</v>
      </c>
      <c r="W225" s="2"/>
      <c r="X225" s="6">
        <f t="shared" si="76"/>
        <v>-34471.67</v>
      </c>
      <c r="Y225" s="2"/>
      <c r="Z225" s="7">
        <f t="shared" si="77"/>
        <v>-0.71024353559287112</v>
      </c>
    </row>
    <row r="226" spans="1:26" s="24" customFormat="1" hidden="1" outlineLevel="2" x14ac:dyDescent="0.25">
      <c r="A226" s="27"/>
      <c r="B226" s="11" t="str">
        <f>CONCATENATE("          ", "6373", " - ", "MAINTENANCE CONTRACTS")</f>
        <v xml:space="preserve">          6373 - MAINTENANCE CONTRACTS</v>
      </c>
      <c r="C226" s="11"/>
      <c r="D226" s="6">
        <v>11613.32</v>
      </c>
      <c r="E226" s="2"/>
      <c r="F226" s="7">
        <f t="shared" si="70"/>
        <v>1.1516588259567877E-2</v>
      </c>
      <c r="G226" s="2"/>
      <c r="H226" s="6">
        <v>7040</v>
      </c>
      <c r="I226" s="2"/>
      <c r="J226" s="7">
        <f t="shared" si="71"/>
        <v>7.0399816350815072E-3</v>
      </c>
      <c r="K226" s="2"/>
      <c r="L226" s="6">
        <f t="shared" si="72"/>
        <v>4573.32</v>
      </c>
      <c r="M226" s="2"/>
      <c r="N226" s="7">
        <f t="shared" si="73"/>
        <v>0.64961931818181817</v>
      </c>
      <c r="O226" s="11"/>
      <c r="P226" s="6">
        <v>30661.510000000002</v>
      </c>
      <c r="Q226" s="2"/>
      <c r="R226" s="7">
        <f t="shared" si="74"/>
        <v>5.3427610497350482E-3</v>
      </c>
      <c r="S226" s="2"/>
      <c r="T226" s="6">
        <v>28235</v>
      </c>
      <c r="U226" s="2"/>
      <c r="V226" s="7">
        <f t="shared" si="75"/>
        <v>4.7026554481867733E-3</v>
      </c>
      <c r="W226" s="2"/>
      <c r="X226" s="6">
        <f t="shared" si="76"/>
        <v>2426.510000000002</v>
      </c>
      <c r="Y226" s="2"/>
      <c r="Z226" s="7">
        <f t="shared" si="77"/>
        <v>8.5939791039490065E-2</v>
      </c>
    </row>
    <row r="227" spans="1:26" s="24" customFormat="1" hidden="1" outlineLevel="2" x14ac:dyDescent="0.25">
      <c r="A227" s="27"/>
      <c r="B227" s="11" t="str">
        <f>CONCATENATE("          ", "6375", " - ", "OUTSIDE REPAIRS &amp; MAINTENANCE")</f>
        <v xml:space="preserve">          6375 - OUTSIDE REPAIRS &amp; MAINTENANCE</v>
      </c>
      <c r="C227" s="11"/>
      <c r="D227" s="6">
        <v>5714.35</v>
      </c>
      <c r="E227" s="2"/>
      <c r="F227" s="7">
        <f t="shared" si="70"/>
        <v>5.6667530147332295E-3</v>
      </c>
      <c r="G227" s="2"/>
      <c r="H227" s="6">
        <v>9317</v>
      </c>
      <c r="I227" s="2"/>
      <c r="J227" s="7">
        <f t="shared" si="71"/>
        <v>9.3169756951781823E-3</v>
      </c>
      <c r="K227" s="2"/>
      <c r="L227" s="6">
        <f t="shared" si="72"/>
        <v>-3602.6499999999996</v>
      </c>
      <c r="M227" s="2"/>
      <c r="N227" s="7">
        <f t="shared" si="73"/>
        <v>-0.38667489535258126</v>
      </c>
      <c r="O227" s="11"/>
      <c r="P227" s="6">
        <v>30014.27</v>
      </c>
      <c r="Q227" s="2"/>
      <c r="R227" s="7">
        <f t="shared" si="74"/>
        <v>5.2299796289299247E-3</v>
      </c>
      <c r="S227" s="2"/>
      <c r="T227" s="6">
        <v>31024</v>
      </c>
      <c r="U227" s="2"/>
      <c r="V227" s="7">
        <f t="shared" si="75"/>
        <v>5.1671748760243122E-3</v>
      </c>
      <c r="W227" s="2"/>
      <c r="X227" s="6">
        <f t="shared" si="76"/>
        <v>-1009.7299999999996</v>
      </c>
      <c r="Y227" s="2"/>
      <c r="Z227" s="7">
        <f t="shared" si="77"/>
        <v>-3.2546738009283122E-2</v>
      </c>
    </row>
    <row r="228" spans="1:26" s="26" customFormat="1" outlineLevel="1" collapsed="1" x14ac:dyDescent="0.25">
      <c r="A228" s="25"/>
      <c r="B228" s="13" t="str">
        <f>CONCATENATE("     ","Royalty &amp; Commissions                             ")</f>
        <v xml:space="preserve">     Royalty &amp; Commissions                             </v>
      </c>
      <c r="C228" s="13"/>
      <c r="D228" s="1">
        <f>SUM(OSRRefD22_19x_0)</f>
        <v>12626.66</v>
      </c>
      <c r="E228" s="1"/>
      <c r="F228" s="5">
        <f t="shared" ref="F228:F232" si="78">IF(D$12=0,0,D228/D$12)</f>
        <v>1.2521487766939629E-2</v>
      </c>
      <c r="G228" s="1"/>
      <c r="H228" s="1">
        <f>SUM(OSRRefH22_19x_0)</f>
        <v>21170</v>
      </c>
      <c r="I228" s="1"/>
      <c r="J228" s="5">
        <f t="shared" ref="J228:J232" si="79">IF(H$12=0,0,H228/H$12)</f>
        <v>2.116994477481186E-2</v>
      </c>
      <c r="K228" s="1"/>
      <c r="L228" s="1">
        <f t="shared" ref="L228:L232" si="80">+D228-H228</f>
        <v>-8543.34</v>
      </c>
      <c r="M228" s="1"/>
      <c r="N228" s="5">
        <f t="shared" ref="N228:N232" si="81">IF(H228=0,0,L228/H228)</f>
        <v>-0.40355880963627777</v>
      </c>
      <c r="O228" s="13"/>
      <c r="P228" s="1">
        <f>SUM(OSRRefP22_19x_0)</f>
        <v>37752.550000000003</v>
      </c>
      <c r="Q228" s="1"/>
      <c r="R228" s="5">
        <f t="shared" ref="R228:R232" si="82">IF(P$12=0,0,P228/P$12)</f>
        <v>6.5783731351839788E-3</v>
      </c>
      <c r="S228" s="1"/>
      <c r="T228" s="1">
        <f>SUM(OSRRefT22_19x_0)</f>
        <v>76825</v>
      </c>
      <c r="U228" s="1"/>
      <c r="V228" s="5">
        <f t="shared" ref="V228:V232" si="83">IF(T$12=0,0,T228/T$12)</f>
        <v>1.2795519915245222E-2</v>
      </c>
      <c r="W228" s="1"/>
      <c r="X228" s="1">
        <f t="shared" ref="X228:X232" si="84">+P228-T228</f>
        <v>-39072.449999999997</v>
      </c>
      <c r="Y228" s="1"/>
      <c r="Z228" s="5">
        <f t="shared" ref="Z228:Z232" si="85">IF(T228=0,0,X228/T228)</f>
        <v>-0.50859030263586069</v>
      </c>
    </row>
    <row r="229" spans="1:26" s="24" customFormat="1" hidden="1" outlineLevel="2" x14ac:dyDescent="0.25">
      <c r="A229" s="27"/>
      <c r="B229" s="11" t="str">
        <f>CONCATENATE("          ", "6252", " - ", "ROYALTY DUE CSTV")</f>
        <v xml:space="preserve">          6252 - ROYALTY DUE CSTV</v>
      </c>
      <c r="C229" s="11"/>
      <c r="D229" s="6"/>
      <c r="E229" s="2"/>
      <c r="F229" s="7">
        <f t="shared" si="78"/>
        <v>0</v>
      </c>
      <c r="G229" s="2"/>
      <c r="H229" s="6">
        <v>1085</v>
      </c>
      <c r="I229" s="2"/>
      <c r="J229" s="7">
        <f t="shared" si="79"/>
        <v>1.0849971696112834E-3</v>
      </c>
      <c r="K229" s="2"/>
      <c r="L229" s="6">
        <f t="shared" si="80"/>
        <v>-1085</v>
      </c>
      <c r="M229" s="2"/>
      <c r="N229" s="7">
        <f t="shared" si="81"/>
        <v>-1</v>
      </c>
      <c r="O229" s="11"/>
      <c r="P229" s="6"/>
      <c r="Q229" s="2"/>
      <c r="R229" s="7">
        <f t="shared" si="82"/>
        <v>0</v>
      </c>
      <c r="S229" s="2"/>
      <c r="T229" s="6">
        <v>4340</v>
      </c>
      <c r="U229" s="2"/>
      <c r="V229" s="7">
        <f t="shared" si="83"/>
        <v>7.2284486081567541E-4</v>
      </c>
      <c r="W229" s="2"/>
      <c r="X229" s="6">
        <f t="shared" si="84"/>
        <v>-4340</v>
      </c>
      <c r="Y229" s="2"/>
      <c r="Z229" s="7">
        <f t="shared" si="85"/>
        <v>-1</v>
      </c>
    </row>
    <row r="230" spans="1:26" s="24" customFormat="1" hidden="1" outlineLevel="2" x14ac:dyDescent="0.25">
      <c r="A230" s="27"/>
      <c r="B230" s="11" t="str">
        <f>CONCATENATE("          ", "6253", " - ", "ROYALTY DUE ATHLETICS-LRG")</f>
        <v xml:space="preserve">          6253 - ROYALTY DUE ATHLETICS-LRG</v>
      </c>
      <c r="C230" s="11"/>
      <c r="D230" s="6"/>
      <c r="E230" s="2"/>
      <c r="F230" s="7">
        <f t="shared" si="78"/>
        <v>0</v>
      </c>
      <c r="G230" s="2"/>
      <c r="H230" s="6">
        <v>3700</v>
      </c>
      <c r="I230" s="2"/>
      <c r="J230" s="7">
        <f t="shared" si="79"/>
        <v>3.6999903479831781E-3</v>
      </c>
      <c r="K230" s="2"/>
      <c r="L230" s="6">
        <f t="shared" si="80"/>
        <v>-3700</v>
      </c>
      <c r="M230" s="2"/>
      <c r="N230" s="7">
        <f t="shared" si="81"/>
        <v>-1</v>
      </c>
      <c r="O230" s="11"/>
      <c r="P230" s="6">
        <v>4366.95</v>
      </c>
      <c r="Q230" s="2"/>
      <c r="R230" s="7">
        <f t="shared" si="82"/>
        <v>7.6094003087716388E-4</v>
      </c>
      <c r="S230" s="2"/>
      <c r="T230" s="6">
        <v>14800</v>
      </c>
      <c r="U230" s="2"/>
      <c r="V230" s="7">
        <f t="shared" si="83"/>
        <v>2.4650009078506902E-3</v>
      </c>
      <c r="W230" s="2"/>
      <c r="X230" s="6">
        <f t="shared" si="84"/>
        <v>-10433.049999999999</v>
      </c>
      <c r="Y230" s="2"/>
      <c r="Z230" s="7">
        <f t="shared" si="85"/>
        <v>-0.7049358108108108</v>
      </c>
    </row>
    <row r="231" spans="1:26" s="24" customFormat="1" hidden="1" outlineLevel="2" x14ac:dyDescent="0.25">
      <c r="A231" s="27"/>
      <c r="B231" s="11" t="str">
        <f>CONCATENATE("          ", "6254", " - ", "ROYALTY &amp; COMMISSIONS")</f>
        <v xml:space="preserve">          6254 - ROYALTY &amp; COMMISSIONS</v>
      </c>
      <c r="C231" s="11"/>
      <c r="D231" s="6">
        <v>882.02</v>
      </c>
      <c r="E231" s="2"/>
      <c r="F231" s="7">
        <f t="shared" si="78"/>
        <v>8.7467332138475981E-4</v>
      </c>
      <c r="G231" s="2"/>
      <c r="H231" s="6">
        <v>11700</v>
      </c>
      <c r="I231" s="2"/>
      <c r="J231" s="7">
        <f t="shared" si="79"/>
        <v>1.1699969478757618E-2</v>
      </c>
      <c r="K231" s="2"/>
      <c r="L231" s="6">
        <f t="shared" si="80"/>
        <v>-10817.98</v>
      </c>
      <c r="M231" s="2"/>
      <c r="N231" s="7">
        <f t="shared" si="81"/>
        <v>-0.92461367521367521</v>
      </c>
      <c r="O231" s="11"/>
      <c r="P231" s="6">
        <v>7171.34</v>
      </c>
      <c r="Q231" s="2"/>
      <c r="R231" s="7">
        <f t="shared" si="82"/>
        <v>1.2496043419390284E-3</v>
      </c>
      <c r="S231" s="2"/>
      <c r="T231" s="6">
        <v>46800</v>
      </c>
      <c r="U231" s="2"/>
      <c r="V231" s="7">
        <f t="shared" si="83"/>
        <v>7.7947326005008317E-3</v>
      </c>
      <c r="W231" s="2"/>
      <c r="X231" s="6">
        <f t="shared" si="84"/>
        <v>-39628.660000000003</v>
      </c>
      <c r="Y231" s="2"/>
      <c r="Z231" s="7">
        <f t="shared" si="85"/>
        <v>-0.8467662393162394</v>
      </c>
    </row>
    <row r="232" spans="1:26" s="24" customFormat="1" hidden="1" outlineLevel="2" x14ac:dyDescent="0.25">
      <c r="A232" s="27"/>
      <c r="B232" s="11" t="str">
        <f>CONCATENATE("          ", "6259", " - ", "ROYALTY &amp; COMMISSIONS")</f>
        <v xml:space="preserve">          6259 - ROYALTY &amp; COMMISSIONS</v>
      </c>
      <c r="C232" s="11"/>
      <c r="D232" s="6">
        <v>11744.64</v>
      </c>
      <c r="E232" s="2"/>
      <c r="F232" s="7">
        <f t="shared" si="78"/>
        <v>1.1646814445554869E-2</v>
      </c>
      <c r="G232" s="2"/>
      <c r="H232" s="6">
        <v>4685</v>
      </c>
      <c r="I232" s="2"/>
      <c r="J232" s="7">
        <f t="shared" si="79"/>
        <v>4.6849877784597808E-3</v>
      </c>
      <c r="K232" s="2"/>
      <c r="L232" s="6">
        <f t="shared" si="80"/>
        <v>7059.6399999999994</v>
      </c>
      <c r="M232" s="2"/>
      <c r="N232" s="7">
        <f t="shared" si="81"/>
        <v>1.5068601921024545</v>
      </c>
      <c r="O232" s="11"/>
      <c r="P232" s="6">
        <v>26214.26</v>
      </c>
      <c r="Q232" s="2"/>
      <c r="R232" s="7">
        <f t="shared" si="82"/>
        <v>4.5678287623677856E-3</v>
      </c>
      <c r="S232" s="2"/>
      <c r="T232" s="6">
        <v>10885</v>
      </c>
      <c r="U232" s="2"/>
      <c r="V232" s="7">
        <f t="shared" si="83"/>
        <v>1.8129415460780246E-3</v>
      </c>
      <c r="W232" s="2"/>
      <c r="X232" s="6">
        <f t="shared" si="84"/>
        <v>15329.259999999998</v>
      </c>
      <c r="Y232" s="2"/>
      <c r="Z232" s="7">
        <f t="shared" si="85"/>
        <v>1.4082921451538812</v>
      </c>
    </row>
    <row r="233" spans="1:26" s="26" customFormat="1" outlineLevel="1" collapsed="1" x14ac:dyDescent="0.25">
      <c r="A233" s="25"/>
      <c r="B233" s="13" t="str">
        <f>CONCATENATE("     ","Services                                          ")</f>
        <v xml:space="preserve">     Services                                          </v>
      </c>
      <c r="C233" s="13"/>
      <c r="D233" s="1">
        <f>SUM(OSRRefD22_20x_0)</f>
        <v>6847.4000000000005</v>
      </c>
      <c r="E233" s="1"/>
      <c r="F233" s="5">
        <f t="shared" ref="F233:F239" si="86">IF(D$12=0,0,D233/D$12)</f>
        <v>6.7903654121788679E-3</v>
      </c>
      <c r="G233" s="1"/>
      <c r="H233" s="1">
        <f>SUM(OSRRefH22_20x_0)</f>
        <v>5772.5</v>
      </c>
      <c r="I233" s="1"/>
      <c r="J233" s="5">
        <f t="shared" ref="J233:J239" si="87">IF(H$12=0,0,H233/H$12)</f>
        <v>5.7724849415494318E-3</v>
      </c>
      <c r="K233" s="1"/>
      <c r="L233" s="1">
        <f t="shared" ref="L233:L239" si="88">+D233-H233</f>
        <v>1074.9000000000005</v>
      </c>
      <c r="M233" s="1"/>
      <c r="N233" s="5">
        <f t="shared" ref="N233:N239" si="89">IF(H233=0,0,L233/H233)</f>
        <v>0.18621048072758781</v>
      </c>
      <c r="O233" s="13"/>
      <c r="P233" s="1">
        <f>SUM(OSRRefP22_20x_0)</f>
        <v>25036.36</v>
      </c>
      <c r="Q233" s="1"/>
      <c r="R233" s="5">
        <f t="shared" ref="R233:R239" si="90">IF(P$12=0,0,P233/P$12)</f>
        <v>4.3625799588847573E-3</v>
      </c>
      <c r="S233" s="1"/>
      <c r="T233" s="1">
        <f>SUM(OSRRefT22_20x_0)</f>
        <v>21278</v>
      </c>
      <c r="U233" s="1"/>
      <c r="V233" s="5">
        <f t="shared" ref="V233:V239" si="91">IF(T$12=0,0,T233/T$12)</f>
        <v>3.5439384673815531E-3</v>
      </c>
      <c r="W233" s="1"/>
      <c r="X233" s="1">
        <f t="shared" ref="X233:X239" si="92">+P233-T233</f>
        <v>3758.3600000000006</v>
      </c>
      <c r="Y233" s="1"/>
      <c r="Z233" s="5">
        <f t="shared" ref="Z233:Z239" si="93">IF(T233=0,0,X233/T233)</f>
        <v>0.1766312623366858</v>
      </c>
    </row>
    <row r="234" spans="1:26" s="24" customFormat="1" hidden="1" outlineLevel="2" x14ac:dyDescent="0.25">
      <c r="A234" s="27"/>
      <c r="B234" s="11" t="str">
        <f>CONCATENATE("          ", "6281", " - ", "STORAGE FEE")</f>
        <v xml:space="preserve">          6281 - STORAGE FEE</v>
      </c>
      <c r="C234" s="11"/>
      <c r="D234" s="6"/>
      <c r="E234" s="2"/>
      <c r="F234" s="7">
        <f t="shared" si="86"/>
        <v>0</v>
      </c>
      <c r="G234" s="2"/>
      <c r="H234" s="6"/>
      <c r="I234" s="2"/>
      <c r="J234" s="7">
        <f t="shared" si="87"/>
        <v>0</v>
      </c>
      <c r="K234" s="2"/>
      <c r="L234" s="6">
        <f t="shared" si="88"/>
        <v>0</v>
      </c>
      <c r="M234" s="2"/>
      <c r="N234" s="7">
        <f t="shared" si="89"/>
        <v>0</v>
      </c>
      <c r="O234" s="11"/>
      <c r="P234" s="6"/>
      <c r="Q234" s="2"/>
      <c r="R234" s="7">
        <f t="shared" si="90"/>
        <v>0</v>
      </c>
      <c r="S234" s="2"/>
      <c r="T234" s="6">
        <v>0</v>
      </c>
      <c r="U234" s="2"/>
      <c r="V234" s="7">
        <f t="shared" si="91"/>
        <v>0</v>
      </c>
      <c r="W234" s="2"/>
      <c r="X234" s="6">
        <f t="shared" si="92"/>
        <v>0</v>
      </c>
      <c r="Y234" s="2"/>
      <c r="Z234" s="7">
        <f t="shared" si="93"/>
        <v>0</v>
      </c>
    </row>
    <row r="235" spans="1:26" s="24" customFormat="1" hidden="1" outlineLevel="2" x14ac:dyDescent="0.25">
      <c r="A235" s="27"/>
      <c r="B235" s="11" t="str">
        <f>CONCATENATE("          ", "6282", " - ", "JANITORIAL/EXTERMINATOR EXPENS")</f>
        <v xml:space="preserve">          6282 - JANITORIAL/EXTERMINATOR EXPENS</v>
      </c>
      <c r="C235" s="11"/>
      <c r="D235" s="6">
        <v>711.24</v>
      </c>
      <c r="E235" s="2"/>
      <c r="F235" s="7">
        <f t="shared" si="86"/>
        <v>7.0531581268190808E-4</v>
      </c>
      <c r="G235" s="2"/>
      <c r="H235" s="6">
        <v>838</v>
      </c>
      <c r="I235" s="2"/>
      <c r="J235" s="7">
        <f t="shared" si="87"/>
        <v>8.3799781394862253E-4</v>
      </c>
      <c r="K235" s="2"/>
      <c r="L235" s="6">
        <f t="shared" si="88"/>
        <v>-126.75999999999999</v>
      </c>
      <c r="M235" s="2"/>
      <c r="N235" s="7">
        <f t="shared" si="89"/>
        <v>-0.15126491646778042</v>
      </c>
      <c r="O235" s="11"/>
      <c r="P235" s="6">
        <v>3645.4</v>
      </c>
      <c r="Q235" s="2"/>
      <c r="R235" s="7">
        <f t="shared" si="90"/>
        <v>6.3521010970119039E-4</v>
      </c>
      <c r="S235" s="2"/>
      <c r="T235" s="6">
        <v>2152</v>
      </c>
      <c r="U235" s="2"/>
      <c r="V235" s="7">
        <f t="shared" si="91"/>
        <v>3.58424456330722E-4</v>
      </c>
      <c r="W235" s="2"/>
      <c r="X235" s="6">
        <f t="shared" si="92"/>
        <v>1493.4</v>
      </c>
      <c r="Y235" s="2"/>
      <c r="Z235" s="7">
        <f t="shared" si="93"/>
        <v>0.69395910780669146</v>
      </c>
    </row>
    <row r="236" spans="1:26" s="24" customFormat="1" hidden="1" outlineLevel="2" x14ac:dyDescent="0.25">
      <c r="A236" s="27"/>
      <c r="B236" s="11" t="str">
        <f>CONCATENATE("          ", "6283", " - ", "PLANT SERVICE")</f>
        <v xml:space="preserve">          6283 - PLANT SERVICE</v>
      </c>
      <c r="C236" s="11"/>
      <c r="D236" s="6"/>
      <c r="E236" s="2"/>
      <c r="F236" s="7">
        <f t="shared" si="86"/>
        <v>0</v>
      </c>
      <c r="G236" s="2"/>
      <c r="H236" s="6">
        <v>60</v>
      </c>
      <c r="I236" s="2"/>
      <c r="J236" s="7">
        <f t="shared" si="87"/>
        <v>5.9999843480808297E-5</v>
      </c>
      <c r="K236" s="2"/>
      <c r="L236" s="6">
        <f t="shared" si="88"/>
        <v>-60</v>
      </c>
      <c r="M236" s="2"/>
      <c r="N236" s="7">
        <f t="shared" si="89"/>
        <v>-1</v>
      </c>
      <c r="O236" s="11"/>
      <c r="P236" s="6">
        <v>541.98</v>
      </c>
      <c r="Q236" s="2"/>
      <c r="R236" s="7">
        <f t="shared" si="90"/>
        <v>9.4439890068538751E-5</v>
      </c>
      <c r="S236" s="2"/>
      <c r="T236" s="6">
        <v>240</v>
      </c>
      <c r="U236" s="2"/>
      <c r="V236" s="7">
        <f t="shared" si="91"/>
        <v>3.9972987694876058E-5</v>
      </c>
      <c r="W236" s="2"/>
      <c r="X236" s="6">
        <f t="shared" si="92"/>
        <v>301.98</v>
      </c>
      <c r="Y236" s="2"/>
      <c r="Z236" s="7">
        <f t="shared" si="93"/>
        <v>1.2582500000000001</v>
      </c>
    </row>
    <row r="237" spans="1:26" s="24" customFormat="1" hidden="1" outlineLevel="2" x14ac:dyDescent="0.25">
      <c r="A237" s="27"/>
      <c r="B237" s="11" t="str">
        <f>CONCATENATE("          ", "6284", " - ", "TRASH REMOVAL EXPENSE")</f>
        <v xml:space="preserve">          6284 - TRASH REMOVAL EXPENSE</v>
      </c>
      <c r="C237" s="11"/>
      <c r="D237" s="6">
        <v>371.82</v>
      </c>
      <c r="E237" s="2"/>
      <c r="F237" s="7">
        <f t="shared" si="86"/>
        <v>3.6872297040575205E-4</v>
      </c>
      <c r="G237" s="2"/>
      <c r="H237" s="6">
        <v>212.5</v>
      </c>
      <c r="I237" s="2"/>
      <c r="J237" s="7">
        <f t="shared" si="87"/>
        <v>2.1249944566119604E-4</v>
      </c>
      <c r="K237" s="2"/>
      <c r="L237" s="6">
        <f t="shared" si="88"/>
        <v>159.32</v>
      </c>
      <c r="M237" s="2"/>
      <c r="N237" s="7">
        <f t="shared" si="89"/>
        <v>0.74974117647058824</v>
      </c>
      <c r="O237" s="11"/>
      <c r="P237" s="6">
        <v>1250.28</v>
      </c>
      <c r="Q237" s="2"/>
      <c r="R237" s="7">
        <f t="shared" si="90"/>
        <v>2.1786100179876125E-4</v>
      </c>
      <c r="S237" s="2"/>
      <c r="T237" s="6">
        <v>850</v>
      </c>
      <c r="U237" s="2"/>
      <c r="V237" s="7">
        <f t="shared" si="91"/>
        <v>1.4157099808601937E-4</v>
      </c>
      <c r="W237" s="2"/>
      <c r="X237" s="6">
        <f t="shared" si="92"/>
        <v>400.28</v>
      </c>
      <c r="Y237" s="2"/>
      <c r="Z237" s="7">
        <f t="shared" si="93"/>
        <v>0.4709176470588235</v>
      </c>
    </row>
    <row r="238" spans="1:26" s="24" customFormat="1" hidden="1" outlineLevel="2" x14ac:dyDescent="0.25">
      <c r="A238" s="27"/>
      <c r="B238" s="11" t="str">
        <f>CONCATENATE("          ", "6285", " - ", "JANITORIAL SERVICES")</f>
        <v xml:space="preserve">          6285 - JANITORIAL SERVICES</v>
      </c>
      <c r="C238" s="11"/>
      <c r="D238" s="6">
        <v>4971.63</v>
      </c>
      <c r="E238" s="2"/>
      <c r="F238" s="7">
        <f t="shared" si="86"/>
        <v>4.9302194108933059E-3</v>
      </c>
      <c r="G238" s="2"/>
      <c r="H238" s="6">
        <v>4572</v>
      </c>
      <c r="I238" s="2"/>
      <c r="J238" s="7">
        <f t="shared" si="87"/>
        <v>4.5719880732375921E-3</v>
      </c>
      <c r="K238" s="2"/>
      <c r="L238" s="6">
        <f t="shared" si="88"/>
        <v>399.63000000000011</v>
      </c>
      <c r="M238" s="2"/>
      <c r="N238" s="7">
        <f t="shared" si="89"/>
        <v>8.7408136482939658E-2</v>
      </c>
      <c r="O238" s="11"/>
      <c r="P238" s="6">
        <v>16625.96</v>
      </c>
      <c r="Q238" s="2"/>
      <c r="R238" s="7">
        <f t="shared" si="90"/>
        <v>2.8970696975606524E-3</v>
      </c>
      <c r="S238" s="2"/>
      <c r="T238" s="6">
        <v>17766</v>
      </c>
      <c r="U238" s="2"/>
      <c r="V238" s="7">
        <f t="shared" si="91"/>
        <v>2.9590004141132002E-3</v>
      </c>
      <c r="W238" s="2"/>
      <c r="X238" s="6">
        <f t="shared" si="92"/>
        <v>-1140.0400000000009</v>
      </c>
      <c r="Y238" s="2"/>
      <c r="Z238" s="7">
        <f t="shared" si="93"/>
        <v>-6.4169762467634853E-2</v>
      </c>
    </row>
    <row r="239" spans="1:26" s="24" customFormat="1" hidden="1" outlineLevel="2" x14ac:dyDescent="0.25">
      <c r="A239" s="27"/>
      <c r="B239" s="11" t="str">
        <f>CONCATENATE("          ", "6286", " - ", "LAUNDRY EXPENSE")</f>
        <v xml:space="preserve">          6286 - LAUNDRY EXPENSE</v>
      </c>
      <c r="C239" s="11"/>
      <c r="D239" s="6">
        <v>792.71</v>
      </c>
      <c r="E239" s="2"/>
      <c r="F239" s="7">
        <f t="shared" si="86"/>
        <v>7.8610721819790145E-4</v>
      </c>
      <c r="G239" s="2"/>
      <c r="H239" s="6">
        <v>90</v>
      </c>
      <c r="I239" s="2"/>
      <c r="J239" s="7">
        <f t="shared" si="87"/>
        <v>8.9999765221212449E-5</v>
      </c>
      <c r="K239" s="2"/>
      <c r="L239" s="6">
        <f t="shared" si="88"/>
        <v>702.71</v>
      </c>
      <c r="M239" s="2"/>
      <c r="N239" s="7">
        <f t="shared" si="89"/>
        <v>7.8078888888888889</v>
      </c>
      <c r="O239" s="11"/>
      <c r="P239" s="6">
        <v>2972.74</v>
      </c>
      <c r="Q239" s="2"/>
      <c r="R239" s="7">
        <f t="shared" si="90"/>
        <v>5.1799925975561426E-4</v>
      </c>
      <c r="S239" s="2"/>
      <c r="T239" s="6">
        <v>270</v>
      </c>
      <c r="U239" s="2"/>
      <c r="V239" s="7">
        <f t="shared" si="91"/>
        <v>4.4969611156735567E-5</v>
      </c>
      <c r="W239" s="2"/>
      <c r="X239" s="6">
        <f t="shared" si="92"/>
        <v>2702.74</v>
      </c>
      <c r="Y239" s="2"/>
      <c r="Z239" s="7">
        <f t="shared" si="93"/>
        <v>10.010148148148147</v>
      </c>
    </row>
    <row r="240" spans="1:26" s="26" customFormat="1" outlineLevel="1" collapsed="1" x14ac:dyDescent="0.25">
      <c r="A240" s="25"/>
      <c r="B240" s="13" t="str">
        <f>CONCATENATE("     ","Subscriptions &amp; Dues                              ")</f>
        <v xml:space="preserve">     Subscriptions &amp; Dues                              </v>
      </c>
      <c r="C240" s="13"/>
      <c r="D240" s="1">
        <f>SUM(OSRRefD22_21x_0)</f>
        <v>519.95000000000005</v>
      </c>
      <c r="E240" s="1"/>
      <c r="F240" s="5">
        <f t="shared" ref="F240:F242" si="94">IF(D$12=0,0,D240/D$12)</f>
        <v>5.1561913953652517E-4</v>
      </c>
      <c r="G240" s="1"/>
      <c r="H240" s="1">
        <f>SUM(OSRRefH22_21x_0)</f>
        <v>1570</v>
      </c>
      <c r="I240" s="1"/>
      <c r="J240" s="5">
        <f t="shared" ref="J240:J242" si="95">IF(H$12=0,0,H240/H$12)</f>
        <v>1.5699959044144839E-3</v>
      </c>
      <c r="K240" s="1"/>
      <c r="L240" s="1">
        <f t="shared" ref="L240:L242" si="96">+D240-H240</f>
        <v>-1050.05</v>
      </c>
      <c r="M240" s="1"/>
      <c r="N240" s="5">
        <f t="shared" ref="N240:N242" si="97">IF(H240=0,0,L240/H240)</f>
        <v>-0.66882165605095534</v>
      </c>
      <c r="O240" s="13"/>
      <c r="P240" s="1">
        <f>SUM(OSRRefP22_21x_0)</f>
        <v>2748</v>
      </c>
      <c r="Q240" s="1"/>
      <c r="R240" s="5">
        <f t="shared" ref="R240:R242" si="98">IF(P$12=0,0,P240/P$12)</f>
        <v>4.7883836656028721E-4</v>
      </c>
      <c r="S240" s="1"/>
      <c r="T240" s="1">
        <f>SUM(OSRRefT22_21x_0)</f>
        <v>7325</v>
      </c>
      <c r="U240" s="1"/>
      <c r="V240" s="5">
        <f t="shared" ref="V240:V242" si="99">IF(T$12=0,0,T240/T$12)</f>
        <v>1.2200088952706964E-3</v>
      </c>
      <c r="W240" s="1"/>
      <c r="X240" s="1">
        <f t="shared" ref="X240:X242" si="100">+P240-T240</f>
        <v>-4577</v>
      </c>
      <c r="Y240" s="1"/>
      <c r="Z240" s="5">
        <f t="shared" ref="Z240:Z242" si="101">IF(T240=0,0,X240/T240)</f>
        <v>-0.62484641638225258</v>
      </c>
    </row>
    <row r="241" spans="1:26" s="24" customFormat="1" hidden="1" outlineLevel="2" x14ac:dyDescent="0.25">
      <c r="A241" s="27"/>
      <c r="B241" s="11" t="str">
        <f>CONCATENATE("          ", "6258", " - ", "MEMBERSHIP DUES")</f>
        <v xml:space="preserve">          6258 - MEMBERSHIP DUES</v>
      </c>
      <c r="C241" s="11"/>
      <c r="D241" s="6">
        <v>268.55</v>
      </c>
      <c r="E241" s="2"/>
      <c r="F241" s="7">
        <f t="shared" si="94"/>
        <v>2.663131453457714E-4</v>
      </c>
      <c r="G241" s="2"/>
      <c r="H241" s="6">
        <v>800</v>
      </c>
      <c r="I241" s="2"/>
      <c r="J241" s="7">
        <f t="shared" si="95"/>
        <v>7.9999791307744394E-4</v>
      </c>
      <c r="K241" s="2"/>
      <c r="L241" s="6">
        <f t="shared" si="96"/>
        <v>-531.45000000000005</v>
      </c>
      <c r="M241" s="2"/>
      <c r="N241" s="7">
        <f t="shared" si="97"/>
        <v>-0.66431250000000008</v>
      </c>
      <c r="O241" s="11"/>
      <c r="P241" s="6">
        <v>1177.4000000000001</v>
      </c>
      <c r="Q241" s="2"/>
      <c r="R241" s="7">
        <f t="shared" si="98"/>
        <v>2.0516167859828321E-4</v>
      </c>
      <c r="S241" s="2"/>
      <c r="T241" s="6">
        <v>4495</v>
      </c>
      <c r="U241" s="2"/>
      <c r="V241" s="7">
        <f t="shared" si="99"/>
        <v>7.4866074870194956E-4</v>
      </c>
      <c r="W241" s="2"/>
      <c r="X241" s="6">
        <f t="shared" si="100"/>
        <v>-3317.6</v>
      </c>
      <c r="Y241" s="2"/>
      <c r="Z241" s="7">
        <f t="shared" si="101"/>
        <v>-0.73806451612903223</v>
      </c>
    </row>
    <row r="242" spans="1:26" s="24" customFormat="1" hidden="1" outlineLevel="2" x14ac:dyDescent="0.25">
      <c r="A242" s="27"/>
      <c r="B242" s="11" t="str">
        <f>CONCATENATE("          ", "6275", " - ", "SUBSCRIPTIONS")</f>
        <v xml:space="preserve">          6275 - SUBSCRIPTIONS</v>
      </c>
      <c r="C242" s="11"/>
      <c r="D242" s="6">
        <v>251.4</v>
      </c>
      <c r="E242" s="2"/>
      <c r="F242" s="7">
        <f t="shared" si="94"/>
        <v>2.4930599419075377E-4</v>
      </c>
      <c r="G242" s="2"/>
      <c r="H242" s="6">
        <v>770</v>
      </c>
      <c r="I242" s="2"/>
      <c r="J242" s="7">
        <f t="shared" si="95"/>
        <v>7.6999799133703982E-4</v>
      </c>
      <c r="K242" s="2"/>
      <c r="L242" s="6">
        <f t="shared" si="96"/>
        <v>-518.6</v>
      </c>
      <c r="M242" s="2"/>
      <c r="N242" s="7">
        <f t="shared" si="97"/>
        <v>-0.6735064935064935</v>
      </c>
      <c r="O242" s="11"/>
      <c r="P242" s="6">
        <v>1570.6</v>
      </c>
      <c r="Q242" s="2"/>
      <c r="R242" s="7">
        <f t="shared" si="98"/>
        <v>2.7367668796200403E-4</v>
      </c>
      <c r="S242" s="2"/>
      <c r="T242" s="6">
        <v>2830</v>
      </c>
      <c r="U242" s="2"/>
      <c r="V242" s="7">
        <f t="shared" si="99"/>
        <v>4.7134814656874685E-4</v>
      </c>
      <c r="W242" s="2"/>
      <c r="X242" s="6">
        <f t="shared" si="100"/>
        <v>-1259.4000000000001</v>
      </c>
      <c r="Y242" s="2"/>
      <c r="Z242" s="7">
        <f t="shared" si="101"/>
        <v>-0.44501766784452301</v>
      </c>
    </row>
    <row r="243" spans="1:26" s="26" customFormat="1" outlineLevel="1" collapsed="1" x14ac:dyDescent="0.25">
      <c r="A243" s="25"/>
      <c r="B243" s="13" t="str">
        <f>CONCATENATE("     ","Supplies                                          ")</f>
        <v xml:space="preserve">     Supplies                                          </v>
      </c>
      <c r="C243" s="13"/>
      <c r="D243" s="1">
        <f>SUM(OSRRefD22_22x_0)</f>
        <v>13341.48</v>
      </c>
      <c r="E243" s="1"/>
      <c r="F243" s="5">
        <f t="shared" ref="F243:F251" si="102">IF(D$12=0,0,D243/D$12)</f>
        <v>1.3230353760445733E-2</v>
      </c>
      <c r="G243" s="1"/>
      <c r="H243" s="1">
        <f>SUM(OSRRefH22_22x_0)</f>
        <v>18032</v>
      </c>
      <c r="I243" s="1"/>
      <c r="J243" s="5">
        <f t="shared" ref="J243:J251" si="103">IF(H$12=0,0,H243/H$12)</f>
        <v>1.8031952960765586E-2</v>
      </c>
      <c r="K243" s="1"/>
      <c r="L243" s="1">
        <f t="shared" ref="L243:L251" si="104">+D243-H243</f>
        <v>-4690.5200000000004</v>
      </c>
      <c r="M243" s="1"/>
      <c r="N243" s="5">
        <f t="shared" ref="N243:N251" si="105">IF(H243=0,0,L243/H243)</f>
        <v>-0.2601220053238687</v>
      </c>
      <c r="O243" s="13"/>
      <c r="P243" s="1">
        <f>SUM(OSRRefP22_22x_0)</f>
        <v>70712.25</v>
      </c>
      <c r="Q243" s="1"/>
      <c r="R243" s="5">
        <f t="shared" ref="R243:R251" si="106">IF(P$12=0,0,P243/P$12)</f>
        <v>1.2321593262664727E-2</v>
      </c>
      <c r="S243" s="1"/>
      <c r="T243" s="1">
        <f>SUM(OSRRefT22_22x_0)</f>
        <v>78085</v>
      </c>
      <c r="U243" s="1"/>
      <c r="V243" s="5">
        <f t="shared" ref="V243:V251" si="107">IF(T$12=0,0,T243/T$12)</f>
        <v>1.3005378100643322E-2</v>
      </c>
      <c r="W243" s="1"/>
      <c r="X243" s="1">
        <f t="shared" ref="X243:X251" si="108">+P243-T243</f>
        <v>-7372.75</v>
      </c>
      <c r="Y243" s="1"/>
      <c r="Z243" s="5">
        <f t="shared" ref="Z243:Z251" si="109">IF(T243=0,0,X243/T243)</f>
        <v>-9.4419542805916634E-2</v>
      </c>
    </row>
    <row r="244" spans="1:26" s="24" customFormat="1" hidden="1" outlineLevel="2" x14ac:dyDescent="0.25">
      <c r="A244" s="27"/>
      <c r="B244" s="11" t="str">
        <f>CONCATENATE("          ", "6234", " - ", "EXPENDABLE SUPPLIES &amp; EQUIPMEN")</f>
        <v xml:space="preserve">          6234 - EXPENDABLE SUPPLIES &amp; EQUIPMEN</v>
      </c>
      <c r="C244" s="11"/>
      <c r="D244" s="6"/>
      <c r="E244" s="2"/>
      <c r="F244" s="7">
        <f t="shared" si="102"/>
        <v>0</v>
      </c>
      <c r="G244" s="2"/>
      <c r="H244" s="6">
        <v>500</v>
      </c>
      <c r="I244" s="2"/>
      <c r="J244" s="7">
        <f t="shared" si="103"/>
        <v>4.9999869567340244E-4</v>
      </c>
      <c r="K244" s="2"/>
      <c r="L244" s="6">
        <f t="shared" si="104"/>
        <v>-500</v>
      </c>
      <c r="M244" s="2"/>
      <c r="N244" s="7">
        <f t="shared" si="105"/>
        <v>-1</v>
      </c>
      <c r="O244" s="11"/>
      <c r="P244" s="6">
        <v>2780.34</v>
      </c>
      <c r="Q244" s="2"/>
      <c r="R244" s="7">
        <f t="shared" si="106"/>
        <v>4.8447360410561462E-4</v>
      </c>
      <c r="S244" s="2"/>
      <c r="T244" s="6">
        <v>5550</v>
      </c>
      <c r="U244" s="2"/>
      <c r="V244" s="7">
        <f t="shared" si="107"/>
        <v>9.2437534044400888E-4</v>
      </c>
      <c r="W244" s="2"/>
      <c r="X244" s="6">
        <f t="shared" si="108"/>
        <v>-2769.66</v>
      </c>
      <c r="Y244" s="2"/>
      <c r="Z244" s="7">
        <f t="shared" si="109"/>
        <v>-0.49903783783783784</v>
      </c>
    </row>
    <row r="245" spans="1:26" s="24" customFormat="1" hidden="1" outlineLevel="2" x14ac:dyDescent="0.25">
      <c r="A245" s="27"/>
      <c r="B245" s="11" t="str">
        <f>CONCATENATE("          ", "6237", " - ", "JANITORIAL SUPPLIES")</f>
        <v xml:space="preserve">          6237 - JANITORIAL SUPPLIES</v>
      </c>
      <c r="C245" s="11"/>
      <c r="D245" s="6">
        <v>1126.3499999999999</v>
      </c>
      <c r="E245" s="2"/>
      <c r="F245" s="7">
        <f t="shared" si="102"/>
        <v>1.116968204283037E-3</v>
      </c>
      <c r="G245" s="2"/>
      <c r="H245" s="6">
        <v>145</v>
      </c>
      <c r="I245" s="2"/>
      <c r="J245" s="7">
        <f t="shared" si="103"/>
        <v>1.4499962174528672E-4</v>
      </c>
      <c r="K245" s="2"/>
      <c r="L245" s="6">
        <f t="shared" si="104"/>
        <v>981.34999999999991</v>
      </c>
      <c r="M245" s="2"/>
      <c r="N245" s="7">
        <f t="shared" si="105"/>
        <v>6.7679310344827579</v>
      </c>
      <c r="O245" s="11"/>
      <c r="P245" s="6">
        <v>4175.8599999999997</v>
      </c>
      <c r="Q245" s="2"/>
      <c r="R245" s="7">
        <f t="shared" si="106"/>
        <v>7.2764264242519683E-4</v>
      </c>
      <c r="S245" s="2"/>
      <c r="T245" s="6">
        <v>790</v>
      </c>
      <c r="U245" s="2"/>
      <c r="V245" s="7">
        <f t="shared" si="107"/>
        <v>1.3157775116230035E-4</v>
      </c>
      <c r="W245" s="2"/>
      <c r="X245" s="6">
        <f t="shared" si="108"/>
        <v>3385.8599999999997</v>
      </c>
      <c r="Y245" s="2"/>
      <c r="Z245" s="7">
        <f t="shared" si="109"/>
        <v>4.2858987341772146</v>
      </c>
    </row>
    <row r="246" spans="1:26" s="24" customFormat="1" hidden="1" outlineLevel="2" x14ac:dyDescent="0.25">
      <c r="A246" s="27"/>
      <c r="B246" s="11" t="str">
        <f>CONCATENATE("          ", "6241", " - ", "OFFICE EXPENSE")</f>
        <v xml:space="preserve">          6241 - OFFICE EXPENSE</v>
      </c>
      <c r="C246" s="11"/>
      <c r="D246" s="6">
        <v>3030.18</v>
      </c>
      <c r="E246" s="2"/>
      <c r="F246" s="7">
        <f t="shared" si="102"/>
        <v>3.0049404832018225E-3</v>
      </c>
      <c r="G246" s="2"/>
      <c r="H246" s="6">
        <v>1775</v>
      </c>
      <c r="I246" s="2"/>
      <c r="J246" s="7">
        <f t="shared" si="103"/>
        <v>1.7749953696405787E-3</v>
      </c>
      <c r="K246" s="2"/>
      <c r="L246" s="6">
        <f t="shared" si="104"/>
        <v>1255.1799999999998</v>
      </c>
      <c r="M246" s="2"/>
      <c r="N246" s="7">
        <f t="shared" si="105"/>
        <v>0.70714366197183087</v>
      </c>
      <c r="O246" s="11"/>
      <c r="P246" s="6">
        <v>13760.82</v>
      </c>
      <c r="Q246" s="2"/>
      <c r="R246" s="7">
        <f t="shared" si="106"/>
        <v>2.3978197130022313E-3</v>
      </c>
      <c r="S246" s="2"/>
      <c r="T246" s="6">
        <v>5240</v>
      </c>
      <c r="U246" s="2"/>
      <c r="V246" s="7">
        <f t="shared" si="107"/>
        <v>8.7274356467146057E-4</v>
      </c>
      <c r="W246" s="2"/>
      <c r="X246" s="6">
        <f t="shared" si="108"/>
        <v>8520.82</v>
      </c>
      <c r="Y246" s="2"/>
      <c r="Z246" s="7">
        <f t="shared" si="109"/>
        <v>1.6261106870229007</v>
      </c>
    </row>
    <row r="247" spans="1:26" s="24" customFormat="1" hidden="1" outlineLevel="2" x14ac:dyDescent="0.25">
      <c r="A247" s="27"/>
      <c r="B247" s="11" t="str">
        <f>CONCATENATE("          ", "6243", " - ", "PAPER SUPPLIES")</f>
        <v xml:space="preserve">          6243 - PAPER SUPPLIES</v>
      </c>
      <c r="C247" s="11"/>
      <c r="D247" s="6">
        <v>3827.95</v>
      </c>
      <c r="E247" s="2"/>
      <c r="F247" s="7">
        <f t="shared" si="102"/>
        <v>3.79606555474342E-3</v>
      </c>
      <c r="G247" s="2"/>
      <c r="H247" s="6">
        <v>250</v>
      </c>
      <c r="I247" s="2"/>
      <c r="J247" s="7">
        <f t="shared" si="103"/>
        <v>2.4999934783670122E-4</v>
      </c>
      <c r="K247" s="2"/>
      <c r="L247" s="6">
        <f t="shared" si="104"/>
        <v>3577.95</v>
      </c>
      <c r="M247" s="2"/>
      <c r="N247" s="7">
        <f t="shared" si="105"/>
        <v>14.3118</v>
      </c>
      <c r="O247" s="11"/>
      <c r="P247" s="6">
        <v>7603.96</v>
      </c>
      <c r="Q247" s="2"/>
      <c r="R247" s="7">
        <f t="shared" si="106"/>
        <v>1.3249882772160704E-3</v>
      </c>
      <c r="S247" s="2"/>
      <c r="T247" s="6">
        <v>1500</v>
      </c>
      <c r="U247" s="2"/>
      <c r="V247" s="7">
        <f t="shared" si="107"/>
        <v>2.4983117309297539E-4</v>
      </c>
      <c r="W247" s="2"/>
      <c r="X247" s="6">
        <f t="shared" si="108"/>
        <v>6103.96</v>
      </c>
      <c r="Y247" s="2"/>
      <c r="Z247" s="7">
        <f t="shared" si="109"/>
        <v>4.0693066666666668</v>
      </c>
    </row>
    <row r="248" spans="1:26" s="24" customFormat="1" hidden="1" outlineLevel="2" x14ac:dyDescent="0.25">
      <c r="A248" s="27"/>
      <c r="B248" s="11" t="str">
        <f>CONCATENATE("          ", "6244", " - ", "SAFETY SUPPLY EXPENSE")</f>
        <v xml:space="preserve">          6244 - SAFETY SUPPLY EXPENSE</v>
      </c>
      <c r="C248" s="11"/>
      <c r="D248" s="6"/>
      <c r="E248" s="2"/>
      <c r="F248" s="7">
        <f t="shared" si="102"/>
        <v>0</v>
      </c>
      <c r="G248" s="2"/>
      <c r="H248" s="6"/>
      <c r="I248" s="2"/>
      <c r="J248" s="7">
        <f t="shared" si="103"/>
        <v>0</v>
      </c>
      <c r="K248" s="2"/>
      <c r="L248" s="6">
        <f t="shared" si="104"/>
        <v>0</v>
      </c>
      <c r="M248" s="2"/>
      <c r="N248" s="7">
        <f t="shared" si="105"/>
        <v>0</v>
      </c>
      <c r="O248" s="11"/>
      <c r="P248" s="6"/>
      <c r="Q248" s="2"/>
      <c r="R248" s="7">
        <f t="shared" si="106"/>
        <v>0</v>
      </c>
      <c r="S248" s="2"/>
      <c r="T248" s="6">
        <v>30</v>
      </c>
      <c r="U248" s="2"/>
      <c r="V248" s="7">
        <f t="shared" si="107"/>
        <v>4.9966234618595072E-6</v>
      </c>
      <c r="W248" s="2"/>
      <c r="X248" s="6">
        <f t="shared" si="108"/>
        <v>-30</v>
      </c>
      <c r="Y248" s="2"/>
      <c r="Z248" s="7">
        <f t="shared" si="109"/>
        <v>-1</v>
      </c>
    </row>
    <row r="249" spans="1:26" s="24" customFormat="1" hidden="1" outlineLevel="2" x14ac:dyDescent="0.25">
      <c r="A249" s="27"/>
      <c r="B249" s="11" t="str">
        <f>CONCATENATE("          ", "6245", " - ", "PRINTING")</f>
        <v xml:space="preserve">          6245 - PRINTING</v>
      </c>
      <c r="C249" s="11"/>
      <c r="D249" s="6">
        <v>16</v>
      </c>
      <c r="E249" s="2"/>
      <c r="F249" s="7">
        <f t="shared" si="102"/>
        <v>1.5866729940541208E-5</v>
      </c>
      <c r="G249" s="2"/>
      <c r="H249" s="6">
        <v>100</v>
      </c>
      <c r="I249" s="2"/>
      <c r="J249" s="7">
        <f t="shared" si="103"/>
        <v>9.9999739134680492E-5</v>
      </c>
      <c r="K249" s="2"/>
      <c r="L249" s="6">
        <f t="shared" si="104"/>
        <v>-84</v>
      </c>
      <c r="M249" s="2"/>
      <c r="N249" s="7">
        <f t="shared" si="105"/>
        <v>-0.84</v>
      </c>
      <c r="O249" s="11"/>
      <c r="P249" s="6">
        <v>5291.55</v>
      </c>
      <c r="Q249" s="2"/>
      <c r="R249" s="7">
        <f t="shared" si="106"/>
        <v>9.2205136774821254E-4</v>
      </c>
      <c r="S249" s="2"/>
      <c r="T249" s="6">
        <v>800</v>
      </c>
      <c r="U249" s="2"/>
      <c r="V249" s="7">
        <f t="shared" si="107"/>
        <v>1.3324329231625352E-4</v>
      </c>
      <c r="W249" s="2"/>
      <c r="X249" s="6">
        <f t="shared" si="108"/>
        <v>4491.55</v>
      </c>
      <c r="Y249" s="2"/>
      <c r="Z249" s="7">
        <f t="shared" si="109"/>
        <v>5.6144375000000002</v>
      </c>
    </row>
    <row r="250" spans="1:26" s="24" customFormat="1" hidden="1" outlineLevel="2" x14ac:dyDescent="0.25">
      <c r="A250" s="27"/>
      <c r="B250" s="11" t="str">
        <f>CONCATENATE("          ", "6247", " - ", "STORE SUPPLIES")</f>
        <v xml:space="preserve">          6247 - STORE SUPPLIES</v>
      </c>
      <c r="C250" s="11"/>
      <c r="D250" s="6">
        <v>5341</v>
      </c>
      <c r="E250" s="2"/>
      <c r="F250" s="7">
        <f t="shared" si="102"/>
        <v>5.2965127882769122E-3</v>
      </c>
      <c r="G250" s="2"/>
      <c r="H250" s="6">
        <v>14262</v>
      </c>
      <c r="I250" s="2"/>
      <c r="J250" s="7">
        <f t="shared" si="103"/>
        <v>1.4261962795388132E-2</v>
      </c>
      <c r="K250" s="2"/>
      <c r="L250" s="6">
        <f t="shared" si="104"/>
        <v>-8921</v>
      </c>
      <c r="M250" s="2"/>
      <c r="N250" s="7">
        <f t="shared" si="105"/>
        <v>-0.62550834385079235</v>
      </c>
      <c r="O250" s="11"/>
      <c r="P250" s="6">
        <v>37099.72</v>
      </c>
      <c r="Q250" s="2"/>
      <c r="R250" s="7">
        <f t="shared" si="106"/>
        <v>6.4646176581674014E-3</v>
      </c>
      <c r="S250" s="2"/>
      <c r="T250" s="6">
        <v>59875.000000000007</v>
      </c>
      <c r="U250" s="2"/>
      <c r="V250" s="7">
        <f t="shared" si="107"/>
        <v>9.9724276592946005E-3</v>
      </c>
      <c r="W250" s="2"/>
      <c r="X250" s="6">
        <f t="shared" si="108"/>
        <v>-22775.280000000006</v>
      </c>
      <c r="Y250" s="2"/>
      <c r="Z250" s="7">
        <f t="shared" si="109"/>
        <v>-0.38038045929018793</v>
      </c>
    </row>
    <row r="251" spans="1:26" s="24" customFormat="1" hidden="1" outlineLevel="2" x14ac:dyDescent="0.25">
      <c r="A251" s="27"/>
      <c r="B251" s="11" t="str">
        <f>CONCATENATE("          ", "6248", " - ", "UNIFORMS")</f>
        <v xml:space="preserve">          6248 - UNIFORMS</v>
      </c>
      <c r="C251" s="11"/>
      <c r="D251" s="6"/>
      <c r="E251" s="2"/>
      <c r="F251" s="7">
        <f t="shared" si="102"/>
        <v>0</v>
      </c>
      <c r="G251" s="2"/>
      <c r="H251" s="6">
        <v>1000</v>
      </c>
      <c r="I251" s="2"/>
      <c r="J251" s="7">
        <f t="shared" si="103"/>
        <v>9.9999739134680487E-4</v>
      </c>
      <c r="K251" s="2"/>
      <c r="L251" s="6">
        <f t="shared" si="104"/>
        <v>-1000</v>
      </c>
      <c r="M251" s="2"/>
      <c r="N251" s="7">
        <f t="shared" si="105"/>
        <v>-1</v>
      </c>
      <c r="O251" s="11"/>
      <c r="P251" s="6"/>
      <c r="Q251" s="2"/>
      <c r="R251" s="7">
        <f t="shared" si="106"/>
        <v>0</v>
      </c>
      <c r="S251" s="2"/>
      <c r="T251" s="6">
        <v>4300</v>
      </c>
      <c r="U251" s="2"/>
      <c r="V251" s="7">
        <f t="shared" si="107"/>
        <v>7.1618269619986273E-4</v>
      </c>
      <c r="W251" s="2"/>
      <c r="X251" s="6">
        <f t="shared" si="108"/>
        <v>-4300</v>
      </c>
      <c r="Y251" s="2"/>
      <c r="Z251" s="7">
        <f t="shared" si="109"/>
        <v>-1</v>
      </c>
    </row>
    <row r="252" spans="1:26" s="26" customFormat="1" outlineLevel="1" collapsed="1" x14ac:dyDescent="0.25">
      <c r="A252" s="25"/>
      <c r="B252" s="13" t="str">
        <f>CONCATENATE("     ","Telephone/Data Lines                              ")</f>
        <v xml:space="preserve">     Telephone/Data Lines                              </v>
      </c>
      <c r="C252" s="13"/>
      <c r="D252" s="1">
        <f>SUM(OSRRefD22_23x_0)</f>
        <v>1012.78</v>
      </c>
      <c r="E252" s="1"/>
      <c r="F252" s="5">
        <f t="shared" ref="F252:F254" si="110">IF(D$12=0,0,D252/D$12)</f>
        <v>1.0043441718238328E-3</v>
      </c>
      <c r="G252" s="1"/>
      <c r="H252" s="1">
        <f>SUM(OSRRefH22_23x_0)</f>
        <v>2980</v>
      </c>
      <c r="I252" s="1"/>
      <c r="J252" s="5">
        <f t="shared" ref="J252:J254" si="111">IF(H$12=0,0,H252/H$12)</f>
        <v>2.9799922262134788E-3</v>
      </c>
      <c r="K252" s="1"/>
      <c r="L252" s="1">
        <f t="shared" ref="L252:L254" si="112">+D252-H252</f>
        <v>-1967.22</v>
      </c>
      <c r="M252" s="1"/>
      <c r="N252" s="5">
        <f t="shared" ref="N252:N254" si="113">IF(H252=0,0,L252/H252)</f>
        <v>-0.66014093959731546</v>
      </c>
      <c r="O252" s="13"/>
      <c r="P252" s="1">
        <f>SUM(OSRRefP22_23x_0)</f>
        <v>12438.76</v>
      </c>
      <c r="Q252" s="1"/>
      <c r="R252" s="5">
        <f t="shared" ref="R252:R254" si="114">IF(P$12=0,0,P252/P$12)</f>
        <v>2.1674510627494319E-3</v>
      </c>
      <c r="S252" s="1"/>
      <c r="T252" s="1">
        <f>SUM(OSRRefT22_23x_0)</f>
        <v>13995</v>
      </c>
      <c r="U252" s="1"/>
      <c r="V252" s="5">
        <f t="shared" ref="V252:V254" si="115">IF(T$12=0,0,T252/T$12)</f>
        <v>2.3309248449574602E-3</v>
      </c>
      <c r="W252" s="1"/>
      <c r="X252" s="1">
        <f t="shared" ref="X252:X254" si="116">+P252-T252</f>
        <v>-1556.2399999999998</v>
      </c>
      <c r="Y252" s="1"/>
      <c r="Z252" s="5">
        <f t="shared" ref="Z252:Z254" si="117">IF(T252=0,0,X252/T252)</f>
        <v>-0.111199714183637</v>
      </c>
    </row>
    <row r="253" spans="1:26" s="24" customFormat="1" hidden="1" outlineLevel="2" x14ac:dyDescent="0.25">
      <c r="A253" s="27"/>
      <c r="B253" s="11" t="str">
        <f>CONCATENATE("          ", "6303", " - ", "DATA PHONE LINES")</f>
        <v xml:space="preserve">          6303 - DATA PHONE LINES</v>
      </c>
      <c r="C253" s="11"/>
      <c r="D253" s="6">
        <v>295</v>
      </c>
      <c r="E253" s="2"/>
      <c r="F253" s="7">
        <f t="shared" si="110"/>
        <v>2.9254283327872853E-4</v>
      </c>
      <c r="G253" s="2"/>
      <c r="H253" s="6">
        <v>950</v>
      </c>
      <c r="I253" s="2"/>
      <c r="J253" s="7">
        <f t="shared" si="111"/>
        <v>9.4999752177946475E-4</v>
      </c>
      <c r="K253" s="2"/>
      <c r="L253" s="6">
        <f t="shared" si="112"/>
        <v>-655</v>
      </c>
      <c r="M253" s="2"/>
      <c r="N253" s="7">
        <f t="shared" si="113"/>
        <v>-0.68947368421052635</v>
      </c>
      <c r="O253" s="11"/>
      <c r="P253" s="6">
        <v>1180</v>
      </c>
      <c r="Q253" s="2"/>
      <c r="R253" s="7">
        <f t="shared" si="114"/>
        <v>2.0561472799895885E-4</v>
      </c>
      <c r="S253" s="2"/>
      <c r="T253" s="6">
        <v>4675</v>
      </c>
      <c r="U253" s="2"/>
      <c r="V253" s="7">
        <f t="shared" si="115"/>
        <v>7.7864048947310662E-4</v>
      </c>
      <c r="W253" s="2"/>
      <c r="X253" s="6">
        <f t="shared" si="116"/>
        <v>-3495</v>
      </c>
      <c r="Y253" s="2"/>
      <c r="Z253" s="7">
        <f t="shared" si="117"/>
        <v>-0.7475935828877005</v>
      </c>
    </row>
    <row r="254" spans="1:26" s="24" customFormat="1" hidden="1" outlineLevel="2" x14ac:dyDescent="0.25">
      <c r="A254" s="27"/>
      <c r="B254" s="11" t="str">
        <f>CONCATENATE("          ", "6309", " - ", "TELEPHONE")</f>
        <v xml:space="preserve">          6309 - TELEPHONE</v>
      </c>
      <c r="C254" s="11"/>
      <c r="D254" s="6">
        <v>717.78</v>
      </c>
      <c r="E254" s="2"/>
      <c r="F254" s="7">
        <f t="shared" si="110"/>
        <v>7.1180133854510436E-4</v>
      </c>
      <c r="G254" s="2"/>
      <c r="H254" s="6">
        <v>2030</v>
      </c>
      <c r="I254" s="2"/>
      <c r="J254" s="7">
        <f t="shared" si="111"/>
        <v>2.029994704434014E-3</v>
      </c>
      <c r="K254" s="2"/>
      <c r="L254" s="6">
        <f t="shared" si="112"/>
        <v>-1312.22</v>
      </c>
      <c r="M254" s="2"/>
      <c r="N254" s="7">
        <f t="shared" si="113"/>
        <v>-0.64641379310344826</v>
      </c>
      <c r="O254" s="11"/>
      <c r="P254" s="6">
        <v>11258.76</v>
      </c>
      <c r="Q254" s="2"/>
      <c r="R254" s="7">
        <f t="shared" si="114"/>
        <v>1.9618363347504728E-3</v>
      </c>
      <c r="S254" s="2"/>
      <c r="T254" s="6">
        <v>9320</v>
      </c>
      <c r="U254" s="2"/>
      <c r="V254" s="7">
        <f t="shared" si="115"/>
        <v>1.5522843554843537E-3</v>
      </c>
      <c r="W254" s="2"/>
      <c r="X254" s="6">
        <f t="shared" si="116"/>
        <v>1938.7600000000002</v>
      </c>
      <c r="Y254" s="2"/>
      <c r="Z254" s="7">
        <f t="shared" si="117"/>
        <v>0.20802145922746784</v>
      </c>
    </row>
    <row r="255" spans="1:26" s="26" customFormat="1" outlineLevel="1" collapsed="1" x14ac:dyDescent="0.25">
      <c r="A255" s="25"/>
      <c r="B255" s="13" t="str">
        <f>CONCATENATE("     ","Training                                          ")</f>
        <v xml:space="preserve">     Training                                          </v>
      </c>
      <c r="C255" s="13"/>
      <c r="D255" s="1">
        <f>SUM(OSRRefD22_24x_0)</f>
        <v>3000.52</v>
      </c>
      <c r="E255" s="1"/>
      <c r="F255" s="5">
        <f t="shared" ref="F255:F260" si="118">IF(D$12=0,0,D255/D$12)</f>
        <v>2.9755275325745443E-3</v>
      </c>
      <c r="G255" s="1"/>
      <c r="H255" s="1">
        <f>SUM(OSRRefH22_24x_0)</f>
        <v>1800</v>
      </c>
      <c r="I255" s="1"/>
      <c r="J255" s="5">
        <f t="shared" ref="J255:J260" si="119">IF(H$12=0,0,H255/H$12)</f>
        <v>1.7999953044242488E-3</v>
      </c>
      <c r="K255" s="1"/>
      <c r="L255" s="1">
        <f t="shared" ref="L255:L260" si="120">+D255-H255</f>
        <v>1200.52</v>
      </c>
      <c r="M255" s="1"/>
      <c r="N255" s="5">
        <f t="shared" ref="N255:N260" si="121">IF(H255=0,0,L255/H255)</f>
        <v>0.66695555555555552</v>
      </c>
      <c r="O255" s="13"/>
      <c r="P255" s="1">
        <f>SUM(OSRRefP22_24x_0)</f>
        <v>5516.76</v>
      </c>
      <c r="Q255" s="1"/>
      <c r="R255" s="5">
        <f t="shared" ref="R255:R260" si="122">IF(P$12=0,0,P255/P$12)</f>
        <v>9.6129415833520022E-4</v>
      </c>
      <c r="S255" s="1"/>
      <c r="T255" s="1">
        <f>SUM(OSRRefT22_24x_0)</f>
        <v>7800</v>
      </c>
      <c r="U255" s="1"/>
      <c r="V255" s="5">
        <f t="shared" ref="V255:V260" si="123">IF(T$12=0,0,T255/T$12)</f>
        <v>1.2991221000834719E-3</v>
      </c>
      <c r="W255" s="1"/>
      <c r="X255" s="1">
        <f t="shared" ref="X255:X260" si="124">+P255-T255</f>
        <v>-2283.2399999999998</v>
      </c>
      <c r="Y255" s="1"/>
      <c r="Z255" s="5">
        <f t="shared" ref="Z255:Z260" si="125">IF(T255=0,0,X255/T255)</f>
        <v>-0.29272307692307692</v>
      </c>
    </row>
    <row r="256" spans="1:26" s="24" customFormat="1" hidden="1" outlineLevel="2" x14ac:dyDescent="0.25">
      <c r="A256" s="27"/>
      <c r="B256" s="11" t="str">
        <f>CONCATENATE("          ", "6376", " - ", "TRAINING")</f>
        <v xml:space="preserve">          6376 - TRAINING</v>
      </c>
      <c r="C256" s="11"/>
      <c r="D256" s="6">
        <v>3000.52</v>
      </c>
      <c r="E256" s="2"/>
      <c r="F256" s="7">
        <f t="shared" si="118"/>
        <v>2.9755275325745443E-3</v>
      </c>
      <c r="G256" s="2"/>
      <c r="H256" s="6">
        <v>1800</v>
      </c>
      <c r="I256" s="2"/>
      <c r="J256" s="7">
        <f t="shared" si="119"/>
        <v>1.7999953044242488E-3</v>
      </c>
      <c r="K256" s="2"/>
      <c r="L256" s="6">
        <f t="shared" si="120"/>
        <v>1200.52</v>
      </c>
      <c r="M256" s="2"/>
      <c r="N256" s="7">
        <f t="shared" si="121"/>
        <v>0.66695555555555552</v>
      </c>
      <c r="O256" s="11"/>
      <c r="P256" s="6">
        <v>5516.76</v>
      </c>
      <c r="Q256" s="2"/>
      <c r="R256" s="7">
        <f t="shared" si="122"/>
        <v>9.6129415833520022E-4</v>
      </c>
      <c r="S256" s="2"/>
      <c r="T256" s="6">
        <v>7800</v>
      </c>
      <c r="U256" s="2"/>
      <c r="V256" s="7">
        <f t="shared" si="123"/>
        <v>1.2991221000834719E-3</v>
      </c>
      <c r="W256" s="2"/>
      <c r="X256" s="6">
        <f t="shared" si="124"/>
        <v>-2283.2399999999998</v>
      </c>
      <c r="Y256" s="2"/>
      <c r="Z256" s="7">
        <f t="shared" si="125"/>
        <v>-0.29272307692307692</v>
      </c>
    </row>
    <row r="257" spans="1:26" s="26" customFormat="1" outlineLevel="1" collapsed="1" x14ac:dyDescent="0.25">
      <c r="A257" s="25"/>
      <c r="B257" s="13" t="str">
        <f>CONCATENATE("     ","Travel                                            ")</f>
        <v xml:space="preserve">     Travel                                            </v>
      </c>
      <c r="C257" s="13"/>
      <c r="D257" s="1">
        <f>SUM(OSRRefD22_25x_0)</f>
        <v>633.25</v>
      </c>
      <c r="E257" s="1"/>
      <c r="F257" s="5">
        <f t="shared" si="118"/>
        <v>6.2797542092798259E-4</v>
      </c>
      <c r="G257" s="1"/>
      <c r="H257" s="1">
        <f>SUM(OSRRefH22_25x_0)</f>
        <v>1075</v>
      </c>
      <c r="I257" s="1"/>
      <c r="J257" s="5">
        <f t="shared" si="119"/>
        <v>1.0749971956978152E-3</v>
      </c>
      <c r="K257" s="1"/>
      <c r="L257" s="1">
        <f t="shared" si="120"/>
        <v>-441.75</v>
      </c>
      <c r="M257" s="1"/>
      <c r="N257" s="5">
        <f t="shared" si="121"/>
        <v>-0.41093023255813954</v>
      </c>
      <c r="O257" s="13"/>
      <c r="P257" s="1">
        <f>SUM(OSRRefP22_25x_0)</f>
        <v>1247.1099999999999</v>
      </c>
      <c r="Q257" s="1"/>
      <c r="R257" s="5">
        <f t="shared" si="122"/>
        <v>2.173086300294759E-4</v>
      </c>
      <c r="S257" s="1"/>
      <c r="T257" s="1">
        <f>SUM(OSRRefT22_25x_0)</f>
        <v>1885</v>
      </c>
      <c r="U257" s="1"/>
      <c r="V257" s="5">
        <f t="shared" si="123"/>
        <v>3.139545075201724E-4</v>
      </c>
      <c r="W257" s="1"/>
      <c r="X257" s="1">
        <f t="shared" si="124"/>
        <v>-637.8900000000001</v>
      </c>
      <c r="Y257" s="1"/>
      <c r="Z257" s="5">
        <f t="shared" si="125"/>
        <v>-0.33840318302387273</v>
      </c>
    </row>
    <row r="258" spans="1:26" s="24" customFormat="1" hidden="1" outlineLevel="2" x14ac:dyDescent="0.25">
      <c r="A258" s="27"/>
      <c r="B258" s="11" t="str">
        <f>CONCATENATE("          ", "6292", " - ", "TRAVEL/CONFERENCE")</f>
        <v xml:space="preserve">          6292 - TRAVEL/CONFERENCE</v>
      </c>
      <c r="C258" s="11"/>
      <c r="D258" s="6">
        <v>298.88</v>
      </c>
      <c r="E258" s="2"/>
      <c r="F258" s="7">
        <f t="shared" si="118"/>
        <v>2.9639051528930981E-4</v>
      </c>
      <c r="G258" s="2"/>
      <c r="H258" s="6">
        <v>1000</v>
      </c>
      <c r="I258" s="2"/>
      <c r="J258" s="7">
        <f t="shared" si="119"/>
        <v>9.9999739134680487E-4</v>
      </c>
      <c r="K258" s="2"/>
      <c r="L258" s="6">
        <f t="shared" si="120"/>
        <v>-701.12</v>
      </c>
      <c r="M258" s="2"/>
      <c r="N258" s="7">
        <f t="shared" si="121"/>
        <v>-0.70111999999999997</v>
      </c>
      <c r="O258" s="11"/>
      <c r="P258" s="6">
        <v>640.65</v>
      </c>
      <c r="Q258" s="2"/>
      <c r="R258" s="7">
        <f t="shared" si="122"/>
        <v>1.116331148241805E-4</v>
      </c>
      <c r="S258" s="2"/>
      <c r="T258" s="6">
        <v>1000</v>
      </c>
      <c r="U258" s="2"/>
      <c r="V258" s="7">
        <f t="shared" si="123"/>
        <v>1.6655411539531691E-4</v>
      </c>
      <c r="W258" s="2"/>
      <c r="X258" s="6">
        <f t="shared" si="124"/>
        <v>-359.35</v>
      </c>
      <c r="Y258" s="2"/>
      <c r="Z258" s="7">
        <f t="shared" si="125"/>
        <v>-0.35935</v>
      </c>
    </row>
    <row r="259" spans="1:26" s="24" customFormat="1" hidden="1" outlineLevel="2" x14ac:dyDescent="0.25">
      <c r="A259" s="27"/>
      <c r="B259" s="11" t="str">
        <f>CONCATENATE("          ", "6294", " - ", "TRAVEL OPERATIONAL")</f>
        <v xml:space="preserve">          6294 - TRAVEL OPERATIONAL</v>
      </c>
      <c r="C259" s="11"/>
      <c r="D259" s="6">
        <v>334.37</v>
      </c>
      <c r="E259" s="2"/>
      <c r="F259" s="7">
        <f t="shared" si="118"/>
        <v>3.3158490563867278E-4</v>
      </c>
      <c r="G259" s="2"/>
      <c r="H259" s="6">
        <v>75</v>
      </c>
      <c r="I259" s="2"/>
      <c r="J259" s="7">
        <f t="shared" si="119"/>
        <v>7.4999804351010376E-5</v>
      </c>
      <c r="K259" s="2"/>
      <c r="L259" s="6">
        <f t="shared" si="120"/>
        <v>259.37</v>
      </c>
      <c r="M259" s="2"/>
      <c r="N259" s="7">
        <f t="shared" si="121"/>
        <v>3.4582666666666668</v>
      </c>
      <c r="O259" s="11"/>
      <c r="P259" s="6">
        <v>436.47</v>
      </c>
      <c r="Q259" s="2"/>
      <c r="R259" s="7">
        <f t="shared" si="122"/>
        <v>7.6054796889580989E-5</v>
      </c>
      <c r="S259" s="2"/>
      <c r="T259" s="6">
        <v>435</v>
      </c>
      <c r="U259" s="2"/>
      <c r="V259" s="7">
        <f t="shared" si="123"/>
        <v>7.2451040196962852E-5</v>
      </c>
      <c r="W259" s="2"/>
      <c r="X259" s="6">
        <f t="shared" si="124"/>
        <v>1.4700000000000273</v>
      </c>
      <c r="Y259" s="2"/>
      <c r="Z259" s="7">
        <f t="shared" si="125"/>
        <v>3.379310344827649E-3</v>
      </c>
    </row>
    <row r="260" spans="1:26" s="24" customFormat="1" hidden="1" outlineLevel="2" x14ac:dyDescent="0.25">
      <c r="A260" s="27"/>
      <c r="B260" s="11" t="str">
        <f>CONCATENATE("          ", "6298", " - ", "VEHICLE MILEAGE")</f>
        <v xml:space="preserve">          6298 - VEHICLE MILEAGE</v>
      </c>
      <c r="C260" s="11"/>
      <c r="D260" s="6"/>
      <c r="E260" s="2"/>
      <c r="F260" s="7">
        <f t="shared" si="118"/>
        <v>0</v>
      </c>
      <c r="G260" s="2"/>
      <c r="H260" s="6"/>
      <c r="I260" s="2"/>
      <c r="J260" s="7">
        <f t="shared" si="119"/>
        <v>0</v>
      </c>
      <c r="K260" s="2"/>
      <c r="L260" s="6">
        <f t="shared" si="120"/>
        <v>0</v>
      </c>
      <c r="M260" s="2"/>
      <c r="N260" s="7">
        <f t="shared" si="121"/>
        <v>0</v>
      </c>
      <c r="O260" s="11"/>
      <c r="P260" s="6">
        <v>169.99</v>
      </c>
      <c r="Q260" s="2"/>
      <c r="R260" s="7">
        <f t="shared" si="122"/>
        <v>2.9620718315714419E-5</v>
      </c>
      <c r="S260" s="2"/>
      <c r="T260" s="6">
        <v>450</v>
      </c>
      <c r="U260" s="2"/>
      <c r="V260" s="7">
        <f t="shared" si="123"/>
        <v>7.4949351927892607E-5</v>
      </c>
      <c r="W260" s="2"/>
      <c r="X260" s="6">
        <f t="shared" si="124"/>
        <v>-280.01</v>
      </c>
      <c r="Y260" s="2"/>
      <c r="Z260" s="7">
        <f t="shared" si="125"/>
        <v>-0.62224444444444438</v>
      </c>
    </row>
    <row r="261" spans="1:26" s="26" customFormat="1" outlineLevel="1" collapsed="1" x14ac:dyDescent="0.25">
      <c r="A261" s="25"/>
      <c r="B261" s="13" t="str">
        <f>CONCATENATE("     ","Utilities                                         ")</f>
        <v xml:space="preserve">     Utilities                                         </v>
      </c>
      <c r="C261" s="13"/>
      <c r="D261" s="1">
        <f>SUM(OSRRefD22_26x_0)</f>
        <v>6641.86</v>
      </c>
      <c r="E261" s="1"/>
      <c r="F261" s="5">
        <f t="shared" ref="F261:F262" si="126">IF(D$12=0,0,D261/D$12)</f>
        <v>6.5865374326801894E-3</v>
      </c>
      <c r="G261" s="1"/>
      <c r="H261" s="1">
        <f>SUM(OSRRefH22_26x_0)</f>
        <v>6252</v>
      </c>
      <c r="I261" s="1"/>
      <c r="J261" s="5">
        <f t="shared" ref="J261:J262" si="127">IF(H$12=0,0,H261/H$12)</f>
        <v>6.2519836907002245E-3</v>
      </c>
      <c r="K261" s="1"/>
      <c r="L261" s="1">
        <f t="shared" ref="L261:L262" si="128">+D261-H261</f>
        <v>389.85999999999967</v>
      </c>
      <c r="M261" s="1"/>
      <c r="N261" s="5">
        <f t="shared" ref="N261:N262" si="129">IF(H261=0,0,L261/H261)</f>
        <v>6.2357645553422852E-2</v>
      </c>
      <c r="O261" s="13"/>
      <c r="P261" s="1">
        <f>SUM(OSRRefP22_26x_0)</f>
        <v>19034.78</v>
      </c>
      <c r="Q261" s="1"/>
      <c r="R261" s="5">
        <f t="shared" ref="R261:R262" si="130">IF(P$12=0,0,P261/P$12)</f>
        <v>3.3168060273051033E-3</v>
      </c>
      <c r="S261" s="1"/>
      <c r="T261" s="1">
        <f>SUM(OSRRefT22_26x_0)</f>
        <v>24871</v>
      </c>
      <c r="U261" s="1"/>
      <c r="V261" s="5">
        <f t="shared" ref="V261:V262" si="131">IF(T$12=0,0,T261/T$12)</f>
        <v>4.1423674039969272E-3</v>
      </c>
      <c r="W261" s="1"/>
      <c r="X261" s="1">
        <f t="shared" ref="X261:X262" si="132">+P261-T261</f>
        <v>-5836.2200000000012</v>
      </c>
      <c r="Y261" s="1"/>
      <c r="Z261" s="5">
        <f t="shared" ref="Z261:Z262" si="133">IF(T261=0,0,X261/T261)</f>
        <v>-0.234659643761811</v>
      </c>
    </row>
    <row r="262" spans="1:26" s="24" customFormat="1" hidden="1" outlineLevel="2" x14ac:dyDescent="0.25">
      <c r="A262" s="27"/>
      <c r="B262" s="11" t="str">
        <f>CONCATENATE("          ", "6274", " - ", "UTILITIES")</f>
        <v xml:space="preserve">          6274 - UTILITIES</v>
      </c>
      <c r="C262" s="11"/>
      <c r="D262" s="6">
        <v>6641.86</v>
      </c>
      <c r="E262" s="2"/>
      <c r="F262" s="7">
        <f t="shared" si="126"/>
        <v>6.5865374326801894E-3</v>
      </c>
      <c r="G262" s="2"/>
      <c r="H262" s="6">
        <v>6252</v>
      </c>
      <c r="I262" s="2"/>
      <c r="J262" s="7">
        <f t="shared" si="127"/>
        <v>6.2519836907002245E-3</v>
      </c>
      <c r="K262" s="2"/>
      <c r="L262" s="6">
        <f t="shared" si="128"/>
        <v>389.85999999999967</v>
      </c>
      <c r="M262" s="2"/>
      <c r="N262" s="7">
        <f t="shared" si="129"/>
        <v>6.2357645553422852E-2</v>
      </c>
      <c r="O262" s="11"/>
      <c r="P262" s="6">
        <v>19034.78</v>
      </c>
      <c r="Q262" s="2"/>
      <c r="R262" s="7">
        <f t="shared" si="130"/>
        <v>3.3168060273051033E-3</v>
      </c>
      <c r="S262" s="2"/>
      <c r="T262" s="6">
        <v>24871</v>
      </c>
      <c r="U262" s="2"/>
      <c r="V262" s="7">
        <f t="shared" si="131"/>
        <v>4.1423674039969272E-3</v>
      </c>
      <c r="W262" s="2"/>
      <c r="X262" s="6">
        <f t="shared" si="132"/>
        <v>-5836.2200000000012</v>
      </c>
      <c r="Y262" s="2"/>
      <c r="Z262" s="7">
        <f t="shared" si="133"/>
        <v>-0.234659643761811</v>
      </c>
    </row>
    <row r="263" spans="1:26" s="61" customFormat="1" x14ac:dyDescent="0.25">
      <c r="A263" s="36"/>
      <c r="B263" s="36"/>
      <c r="C263" s="36"/>
      <c r="D263" s="1"/>
      <c r="E263" s="1"/>
      <c r="F263" s="5"/>
      <c r="G263" s="1"/>
      <c r="H263" s="1"/>
      <c r="I263" s="1"/>
      <c r="J263" s="5"/>
      <c r="K263" s="1"/>
      <c r="L263" s="1"/>
      <c r="M263" s="1"/>
      <c r="N263" s="5"/>
      <c r="O263" s="36"/>
      <c r="P263" s="1"/>
      <c r="Q263" s="1"/>
      <c r="R263" s="5"/>
      <c r="S263" s="1"/>
      <c r="T263" s="1"/>
      <c r="U263" s="1"/>
      <c r="V263" s="5"/>
      <c r="W263" s="1"/>
      <c r="X263" s="1"/>
      <c r="Y263" s="1"/>
      <c r="Z263" s="5"/>
    </row>
    <row r="264" spans="1:26" s="23" customFormat="1" collapsed="1" x14ac:dyDescent="0.25">
      <c r="A264" s="10"/>
      <c r="B264" s="29" t="s">
        <v>0</v>
      </c>
      <c r="C264" s="10"/>
      <c r="D264" s="4">
        <f>SUM(OSRRefD25x_0)</f>
        <v>134453.71000000002</v>
      </c>
      <c r="E264" s="4"/>
      <c r="F264" s="12">
        <f t="shared" ref="F264:F272" si="134">IF(D$12=0,0,D264/D$12)</f>
        <v>0.13333379412961532</v>
      </c>
      <c r="G264" s="4"/>
      <c r="H264" s="4">
        <f>SUM(OSRRefH25x_0)</f>
        <v>60175</v>
      </c>
      <c r="I264" s="4"/>
      <c r="J264" s="12">
        <f t="shared" ref="J264:J272" si="135">IF(H$12=0,0,H264/H$12)</f>
        <v>6.0174843024293989E-2</v>
      </c>
      <c r="K264" s="4"/>
      <c r="L264" s="4">
        <f t="shared" ref="L264:L272" si="136">+D264-H264</f>
        <v>74278.710000000021</v>
      </c>
      <c r="M264" s="4"/>
      <c r="N264" s="12">
        <f t="shared" ref="N264:N272" si="137">IF(H264=0,0,L264/H264)</f>
        <v>1.2343782301620279</v>
      </c>
      <c r="O264" s="10"/>
      <c r="P264" s="4">
        <f>SUM(OSRRefP25x_0)</f>
        <v>378997.00999999995</v>
      </c>
      <c r="Q264" s="4"/>
      <c r="R264" s="12">
        <f t="shared" ref="R264:R272" si="138">IF(P$12=0,0,P264/P$12)</f>
        <v>6.6040141630142948E-2</v>
      </c>
      <c r="S264" s="4"/>
      <c r="T264" s="4">
        <f>SUM(OSRRefT25x_0)</f>
        <v>318100</v>
      </c>
      <c r="U264" s="4"/>
      <c r="V264" s="12">
        <f t="shared" ref="V264:V272" si="139">IF(T$12=0,0,T264/T$12)</f>
        <v>5.2980864107250308E-2</v>
      </c>
      <c r="W264" s="4"/>
      <c r="X264" s="4">
        <f t="shared" ref="X264:X272" si="140">+P264-T264</f>
        <v>60897.009999999951</v>
      </c>
      <c r="Y264" s="4"/>
      <c r="Z264" s="12">
        <f t="shared" ref="Z264:Z272" si="141">IF(T264=0,0,X264/T264)</f>
        <v>0.1914398302420621</v>
      </c>
    </row>
    <row r="265" spans="1:26" s="24" customFormat="1" hidden="1" outlineLevel="1" x14ac:dyDescent="0.25">
      <c r="A265" s="44"/>
      <c r="B265" s="11" t="str">
        <f>CONCATENATE("          ", "4098", " - ", "TAXABLE SALES-GRAD RENTALS")</f>
        <v xml:space="preserve">          4098 - TAXABLE SALES-GRAD RENTALS</v>
      </c>
      <c r="C265" s="11"/>
      <c r="D265" s="2">
        <f t="shared" ref="D265:D267" si="142">0</f>
        <v>0</v>
      </c>
      <c r="E265" s="2"/>
      <c r="F265" s="19">
        <f t="shared" si="134"/>
        <v>0</v>
      </c>
      <c r="G265" s="2"/>
      <c r="H265" s="2"/>
      <c r="I265" s="2"/>
      <c r="J265" s="19">
        <f t="shared" si="135"/>
        <v>0</v>
      </c>
      <c r="K265" s="2"/>
      <c r="L265" s="2">
        <f t="shared" si="136"/>
        <v>0</v>
      </c>
      <c r="M265" s="2"/>
      <c r="N265" s="19">
        <f t="shared" si="137"/>
        <v>0</v>
      </c>
      <c r="O265" s="11"/>
      <c r="P265" s="2">
        <f>--1626.85</f>
        <v>1626.85</v>
      </c>
      <c r="Q265" s="2"/>
      <c r="R265" s="19">
        <f t="shared" si="138"/>
        <v>2.8347823749585272E-4</v>
      </c>
      <c r="S265" s="2"/>
      <c r="T265" s="2"/>
      <c r="U265" s="2"/>
      <c r="V265" s="19">
        <f t="shared" si="139"/>
        <v>0</v>
      </c>
      <c r="W265" s="2"/>
      <c r="X265" s="2">
        <f t="shared" si="140"/>
        <v>1626.85</v>
      </c>
      <c r="Y265" s="2"/>
      <c r="Z265" s="19">
        <f t="shared" si="141"/>
        <v>0</v>
      </c>
    </row>
    <row r="266" spans="1:26" s="24" customFormat="1" hidden="1" outlineLevel="1" x14ac:dyDescent="0.25">
      <c r="A266" s="44"/>
      <c r="B266" s="11" t="str">
        <f>CONCATENATE("          ", "4197", " - ", "NON-TAXABLE SALES-RETURNED CHE")</f>
        <v xml:space="preserve">          4197 - NON-TAXABLE SALES-RETURNED CHE</v>
      </c>
      <c r="C266" s="11"/>
      <c r="D266" s="2">
        <f t="shared" si="142"/>
        <v>0</v>
      </c>
      <c r="E266" s="2"/>
      <c r="F266" s="19">
        <f t="shared" si="134"/>
        <v>0</v>
      </c>
      <c r="G266" s="2"/>
      <c r="H266" s="2"/>
      <c r="I266" s="2"/>
      <c r="J266" s="19">
        <f t="shared" si="135"/>
        <v>0</v>
      </c>
      <c r="K266" s="2"/>
      <c r="L266" s="2">
        <f t="shared" si="136"/>
        <v>0</v>
      </c>
      <c r="M266" s="2"/>
      <c r="N266" s="19">
        <f t="shared" si="137"/>
        <v>0</v>
      </c>
      <c r="O266" s="11"/>
      <c r="P266" s="2">
        <f>--30</f>
        <v>30</v>
      </c>
      <c r="Q266" s="2"/>
      <c r="R266" s="19">
        <f t="shared" si="138"/>
        <v>5.227493084719293E-6</v>
      </c>
      <c r="S266" s="2"/>
      <c r="T266" s="2"/>
      <c r="U266" s="2"/>
      <c r="V266" s="19">
        <f t="shared" si="139"/>
        <v>0</v>
      </c>
      <c r="W266" s="2"/>
      <c r="X266" s="2">
        <f t="shared" si="140"/>
        <v>30</v>
      </c>
      <c r="Y266" s="2"/>
      <c r="Z266" s="19">
        <f t="shared" si="141"/>
        <v>0</v>
      </c>
    </row>
    <row r="267" spans="1:26" s="24" customFormat="1" hidden="1" outlineLevel="1" x14ac:dyDescent="0.25">
      <c r="A267" s="44"/>
      <c r="B267" s="11" t="str">
        <f>CONCATENATE("          ", "4198", " - ", "NON-TAXABLE SALES-GRAD RENTALS")</f>
        <v xml:space="preserve">          4198 - NON-TAXABLE SALES-GRAD RENTALS</v>
      </c>
      <c r="C267" s="11"/>
      <c r="D267" s="2">
        <f t="shared" si="142"/>
        <v>0</v>
      </c>
      <c r="E267" s="2"/>
      <c r="F267" s="19">
        <f t="shared" si="134"/>
        <v>0</v>
      </c>
      <c r="G267" s="2"/>
      <c r="H267" s="2"/>
      <c r="I267" s="2"/>
      <c r="J267" s="19">
        <f t="shared" si="135"/>
        <v>0</v>
      </c>
      <c r="K267" s="2"/>
      <c r="L267" s="2">
        <f t="shared" si="136"/>
        <v>0</v>
      </c>
      <c r="M267" s="2"/>
      <c r="N267" s="19">
        <f t="shared" si="137"/>
        <v>0</v>
      </c>
      <c r="O267" s="11"/>
      <c r="P267" s="2">
        <f>--495</f>
        <v>495</v>
      </c>
      <c r="Q267" s="2"/>
      <c r="R267" s="19">
        <f t="shared" si="138"/>
        <v>8.6253635897868327E-5</v>
      </c>
      <c r="S267" s="2"/>
      <c r="T267" s="2"/>
      <c r="U267" s="2"/>
      <c r="V267" s="19">
        <f t="shared" si="139"/>
        <v>0</v>
      </c>
      <c r="W267" s="2"/>
      <c r="X267" s="2">
        <f t="shared" si="140"/>
        <v>495</v>
      </c>
      <c r="Y267" s="2"/>
      <c r="Z267" s="19">
        <f t="shared" si="141"/>
        <v>0</v>
      </c>
    </row>
    <row r="268" spans="1:26" s="24" customFormat="1" hidden="1" outlineLevel="1" x14ac:dyDescent="0.25">
      <c r="A268" s="44"/>
      <c r="B268" s="11" t="str">
        <f>CONCATENATE("          ", "9150", " - ", "MISC. INCOME")</f>
        <v xml:space="preserve">          9150 - MISC. INCOME</v>
      </c>
      <c r="C268" s="11"/>
      <c r="D268" s="2">
        <f>--69263.32</f>
        <v>69263.320000000007</v>
      </c>
      <c r="E268" s="2"/>
      <c r="F268" s="19">
        <f t="shared" si="134"/>
        <v>6.8686399576580431E-2</v>
      </c>
      <c r="G268" s="2"/>
      <c r="H268" s="2">
        <v>29225</v>
      </c>
      <c r="I268" s="2"/>
      <c r="J268" s="19">
        <f t="shared" si="135"/>
        <v>2.9224923762110375E-2</v>
      </c>
      <c r="K268" s="2"/>
      <c r="L268" s="2">
        <f t="shared" si="136"/>
        <v>40038.320000000007</v>
      </c>
      <c r="M268" s="2"/>
      <c r="N268" s="19">
        <f t="shared" si="137"/>
        <v>1.370002395209581</v>
      </c>
      <c r="O268" s="11"/>
      <c r="P268" s="2">
        <f>--206650.24</f>
        <v>206650.23999999999</v>
      </c>
      <c r="Q268" s="2"/>
      <c r="R268" s="19">
        <f t="shared" si="138"/>
        <v>3.600875668518607E-2</v>
      </c>
      <c r="S268" s="2"/>
      <c r="T268" s="2">
        <v>129150.00000000001</v>
      </c>
      <c r="U268" s="2"/>
      <c r="V268" s="19">
        <f t="shared" si="139"/>
        <v>2.1510464003305182E-2</v>
      </c>
      <c r="W268" s="2"/>
      <c r="X268" s="2">
        <f t="shared" si="140"/>
        <v>77500.239999999976</v>
      </c>
      <c r="Y268" s="2"/>
      <c r="Z268" s="19">
        <f t="shared" si="141"/>
        <v>0.60007928765001906</v>
      </c>
    </row>
    <row r="269" spans="1:26" s="24" customFormat="1" hidden="1" outlineLevel="1" x14ac:dyDescent="0.25">
      <c r="A269" s="44"/>
      <c r="B269" s="11" t="str">
        <f>CONCATENATE("          ", "9151", " - ", "MISC. INCOME")</f>
        <v xml:space="preserve">          9151 - MISC. INCOME</v>
      </c>
      <c r="C269" s="11"/>
      <c r="D269" s="2">
        <f>--4030.76</f>
        <v>4030.76</v>
      </c>
      <c r="E269" s="2"/>
      <c r="F269" s="19">
        <f t="shared" si="134"/>
        <v>3.9971862734459931E-3</v>
      </c>
      <c r="G269" s="2"/>
      <c r="H269" s="2">
        <v>12850</v>
      </c>
      <c r="I269" s="2"/>
      <c r="J269" s="19">
        <f t="shared" si="135"/>
        <v>1.2849966478806443E-2</v>
      </c>
      <c r="K269" s="2"/>
      <c r="L269" s="2">
        <f t="shared" si="136"/>
        <v>-8819.24</v>
      </c>
      <c r="M269" s="2"/>
      <c r="N269" s="19">
        <f t="shared" si="137"/>
        <v>-0.68632217898832681</v>
      </c>
      <c r="O269" s="11"/>
      <c r="P269" s="2">
        <f>--87224.27</f>
        <v>87224.27</v>
      </c>
      <c r="Q269" s="2"/>
      <c r="R269" s="19">
        <f t="shared" si="138"/>
        <v>1.5198808941489617E-2</v>
      </c>
      <c r="S269" s="2"/>
      <c r="T269" s="2">
        <v>39150</v>
      </c>
      <c r="U269" s="2"/>
      <c r="V269" s="19">
        <f t="shared" si="139"/>
        <v>6.520593617726657E-3</v>
      </c>
      <c r="W269" s="2"/>
      <c r="X269" s="2">
        <f t="shared" si="140"/>
        <v>48074.270000000004</v>
      </c>
      <c r="Y269" s="2"/>
      <c r="Z269" s="19">
        <f t="shared" si="141"/>
        <v>1.2279507024265646</v>
      </c>
    </row>
    <row r="270" spans="1:26" s="24" customFormat="1" hidden="1" outlineLevel="1" x14ac:dyDescent="0.25">
      <c r="A270" s="44"/>
      <c r="B270" s="11" t="str">
        <f>CONCATENATE("          ", "9152", " - ", "MISC. INCOME")</f>
        <v xml:space="preserve">          9152 - MISC. INCOME</v>
      </c>
      <c r="C270" s="11"/>
      <c r="D270" s="2">
        <f>--53.08</f>
        <v>53.08</v>
      </c>
      <c r="E270" s="2"/>
      <c r="F270" s="19">
        <f t="shared" si="134"/>
        <v>5.263787657774546E-5</v>
      </c>
      <c r="G270" s="2"/>
      <c r="H270" s="2"/>
      <c r="I270" s="2"/>
      <c r="J270" s="19">
        <f t="shared" si="135"/>
        <v>0</v>
      </c>
      <c r="K270" s="2"/>
      <c r="L270" s="2">
        <f t="shared" si="136"/>
        <v>53.08</v>
      </c>
      <c r="M270" s="2"/>
      <c r="N270" s="19">
        <f t="shared" si="137"/>
        <v>0</v>
      </c>
      <c r="O270" s="11"/>
      <c r="P270" s="2">
        <f>--694.1</f>
        <v>694.1</v>
      </c>
      <c r="Q270" s="2"/>
      <c r="R270" s="19">
        <f t="shared" si="138"/>
        <v>1.2094676500345538E-4</v>
      </c>
      <c r="S270" s="2"/>
      <c r="T270" s="2"/>
      <c r="U270" s="2"/>
      <c r="V270" s="19">
        <f t="shared" si="139"/>
        <v>0</v>
      </c>
      <c r="W270" s="2"/>
      <c r="X270" s="2">
        <f t="shared" si="140"/>
        <v>694.1</v>
      </c>
      <c r="Y270" s="2"/>
      <c r="Z270" s="19">
        <f t="shared" si="141"/>
        <v>0</v>
      </c>
    </row>
    <row r="271" spans="1:26" s="24" customFormat="1" hidden="1" outlineLevel="1" x14ac:dyDescent="0.25">
      <c r="A271" s="44"/>
      <c r="B271" s="11" t="str">
        <f>CONCATENATE("          ", "9160", " - ", "MISC. INCOME")</f>
        <v xml:space="preserve">          9160 - MISC. INCOME</v>
      </c>
      <c r="C271" s="11"/>
      <c r="D271" s="2">
        <f>0</f>
        <v>0</v>
      </c>
      <c r="E271" s="2"/>
      <c r="F271" s="19">
        <f t="shared" si="134"/>
        <v>0</v>
      </c>
      <c r="G271" s="2"/>
      <c r="H271" s="2">
        <v>18100</v>
      </c>
      <c r="I271" s="2"/>
      <c r="J271" s="19">
        <f t="shared" si="135"/>
        <v>1.8099952783377171E-2</v>
      </c>
      <c r="K271" s="2"/>
      <c r="L271" s="2">
        <f t="shared" si="136"/>
        <v>-18100</v>
      </c>
      <c r="M271" s="2"/>
      <c r="N271" s="19">
        <f t="shared" si="137"/>
        <v>-1</v>
      </c>
      <c r="O271" s="11"/>
      <c r="P271" s="2">
        <f>--21170</f>
        <v>21170</v>
      </c>
      <c r="Q271" s="2"/>
      <c r="R271" s="19">
        <f t="shared" si="138"/>
        <v>3.6888676201169142E-3</v>
      </c>
      <c r="S271" s="2"/>
      <c r="T271" s="2">
        <v>149800</v>
      </c>
      <c r="U271" s="2"/>
      <c r="V271" s="19">
        <f t="shared" si="139"/>
        <v>2.4949806486218473E-2</v>
      </c>
      <c r="W271" s="2"/>
      <c r="X271" s="2">
        <f t="shared" si="140"/>
        <v>-128630</v>
      </c>
      <c r="Y271" s="2"/>
      <c r="Z271" s="19">
        <f t="shared" si="141"/>
        <v>-0.85867823765020024</v>
      </c>
    </row>
    <row r="272" spans="1:26" s="24" customFormat="1" hidden="1" outlineLevel="1" x14ac:dyDescent="0.25">
      <c r="A272" s="44"/>
      <c r="B272" s="11" t="str">
        <f>CONCATENATE("          ", "9163", " - ", "MISC. INCOME")</f>
        <v xml:space="preserve">          9163 - MISC. INCOME</v>
      </c>
      <c r="C272" s="11"/>
      <c r="D272" s="2">
        <f>--61106.55</f>
        <v>61106.55</v>
      </c>
      <c r="E272" s="2"/>
      <c r="F272" s="19">
        <f t="shared" si="134"/>
        <v>6.0597570403011156E-2</v>
      </c>
      <c r="G272" s="2"/>
      <c r="H272" s="2"/>
      <c r="I272" s="2"/>
      <c r="J272" s="19">
        <f t="shared" si="135"/>
        <v>0</v>
      </c>
      <c r="K272" s="2"/>
      <c r="L272" s="2">
        <f t="shared" si="136"/>
        <v>61106.55</v>
      </c>
      <c r="M272" s="2"/>
      <c r="N272" s="19">
        <f t="shared" si="137"/>
        <v>0</v>
      </c>
      <c r="O272" s="11"/>
      <c r="P272" s="2">
        <f>--61106.55</f>
        <v>61106.55</v>
      </c>
      <c r="Q272" s="2"/>
      <c r="R272" s="19">
        <f t="shared" si="138"/>
        <v>1.0647802251868458E-2</v>
      </c>
      <c r="S272" s="2"/>
      <c r="T272" s="2"/>
      <c r="U272" s="2"/>
      <c r="V272" s="19">
        <f t="shared" si="139"/>
        <v>0</v>
      </c>
      <c r="W272" s="2"/>
      <c r="X272" s="2">
        <f t="shared" si="140"/>
        <v>61106.55</v>
      </c>
      <c r="Y272" s="2"/>
      <c r="Z272" s="19">
        <f t="shared" si="141"/>
        <v>0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10"/>
      <c r="B274" s="28" t="s">
        <v>3</v>
      </c>
      <c r="C274" s="28"/>
      <c r="D274" s="22">
        <f>+D160-D162+D264</f>
        <v>127779.24000000028</v>
      </c>
      <c r="E274" s="14"/>
      <c r="F274" s="20">
        <f>IF(D$12=0,0,D274/D$12)</f>
        <v>0.12671491831797535</v>
      </c>
      <c r="G274" s="14"/>
      <c r="H274" s="22">
        <f>+H160-H162+H264</f>
        <v>71858.797410254367</v>
      </c>
      <c r="I274" s="14"/>
      <c r="J274" s="20">
        <f>IF(H$12=0,0,H274/H$12)</f>
        <v>7.1858609955572916E-2</v>
      </c>
      <c r="K274" s="16"/>
      <c r="L274" s="22">
        <f>+D274-H274</f>
        <v>55920.442589745915</v>
      </c>
      <c r="M274" s="16"/>
      <c r="N274" s="20">
        <f>IF(H274=0,0,L274/H274)</f>
        <v>0.77819897639653479</v>
      </c>
      <c r="O274" s="29"/>
      <c r="P274" s="22">
        <f>+P160-P162+P264</f>
        <v>808953.8499999987</v>
      </c>
      <c r="Q274" s="14"/>
      <c r="R274" s="20">
        <f>IF(P$12=0,0,P274/P$12)</f>
        <v>0.14096002189106804</v>
      </c>
      <c r="S274" s="14"/>
      <c r="T274" s="22">
        <f>+T160-T162+T264</f>
        <v>784394.63605370396</v>
      </c>
      <c r="U274" s="14"/>
      <c r="V274" s="20">
        <f>IF(T$12=0,0,T274/T$12)</f>
        <v>0.13064415472875621</v>
      </c>
      <c r="W274" s="16"/>
      <c r="X274" s="22">
        <f>+P274-T274</f>
        <v>24559.213946294738</v>
      </c>
      <c r="Y274" s="16"/>
      <c r="Z274" s="20">
        <f>IF(T274=0,0,X274/T274)</f>
        <v>3.1309767835553226E-2</v>
      </c>
    </row>
    <row r="275" spans="1:26" x14ac:dyDescent="0.25">
      <c r="A275" s="9"/>
      <c r="B275" s="10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52"/>
      <c r="B276" s="10" t="s">
        <v>14</v>
      </c>
      <c r="C276" s="10"/>
      <c r="D276" s="4">
        <v>69573.97</v>
      </c>
      <c r="E276" s="4"/>
      <c r="F276" s="12">
        <f>IF(D$12=0,0,D276/D$12)</f>
        <v>6.8994462055082251E-2</v>
      </c>
      <c r="G276" s="4"/>
      <c r="H276" s="4">
        <v>90092</v>
      </c>
      <c r="I276" s="4"/>
      <c r="J276" s="12">
        <f>IF(H$12=0,0,H276/H$12)</f>
        <v>9.0091764981216349E-2</v>
      </c>
      <c r="K276" s="4"/>
      <c r="L276" s="4">
        <f>+D276-H276</f>
        <v>-20518.03</v>
      </c>
      <c r="M276" s="4"/>
      <c r="N276" s="12">
        <f>IF(H276=0,0,L276/H276)</f>
        <v>-0.22774530479953825</v>
      </c>
      <c r="O276" s="10"/>
      <c r="P276" s="4">
        <v>577691.17000000004</v>
      </c>
      <c r="Q276" s="4"/>
      <c r="R276" s="12">
        <f>IF(P$12=0,0,P276/P$12)</f>
        <v>0.10066255320927991</v>
      </c>
      <c r="S276" s="4"/>
      <c r="T276" s="4">
        <v>723027</v>
      </c>
      <c r="U276" s="4"/>
      <c r="V276" s="12">
        <f>IF(T$12=0,0,T276/T$12)</f>
        <v>0.1204231223919298</v>
      </c>
      <c r="W276" s="4"/>
      <c r="X276" s="4">
        <f>+P276-T276</f>
        <v>-145335.82999999996</v>
      </c>
      <c r="Y276" s="4"/>
      <c r="Z276" s="12">
        <f>IF(T276=0,0,X276/T276)</f>
        <v>-0.20101023889840899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ht="15.75" thickBot="1" x14ac:dyDescent="0.3">
      <c r="A278" s="10"/>
      <c r="B278" s="28" t="s">
        <v>4</v>
      </c>
      <c r="C278" s="28"/>
      <c r="D278" s="31">
        <f>+D274-D276</f>
        <v>58205.270000000281</v>
      </c>
      <c r="E278" s="14"/>
      <c r="F278" s="33">
        <f>IF(D$12=0,0,D278/D$12)</f>
        <v>5.7720456262893093E-2</v>
      </c>
      <c r="G278" s="14"/>
      <c r="H278" s="31">
        <f>+H274-H276</f>
        <v>-18233.202589745633</v>
      </c>
      <c r="I278" s="14"/>
      <c r="J278" s="33">
        <f>IF(H$12=0,0,H278/H$12)</f>
        <v>-1.8233155025643443E-2</v>
      </c>
      <c r="K278" s="16"/>
      <c r="L278" s="31">
        <f>D278-H278</f>
        <v>76438.472589745914</v>
      </c>
      <c r="M278" s="16"/>
      <c r="N278" s="33">
        <f>IF(H278=0,0,L278/H278)</f>
        <v>-4.1922680458086372</v>
      </c>
      <c r="O278" s="29"/>
      <c r="P278" s="31">
        <f>+P274-P276</f>
        <v>231262.67999999865</v>
      </c>
      <c r="Q278" s="14"/>
      <c r="R278" s="33">
        <f>IF(P$12=0,0,P278/P$12)</f>
        <v>4.0297468681788122E-2</v>
      </c>
      <c r="S278" s="14"/>
      <c r="T278" s="31">
        <f>+T274-T276</f>
        <v>61367.636053703958</v>
      </c>
      <c r="U278" s="14"/>
      <c r="V278" s="33">
        <f>IF(T$12=0,0,T278/T$12)</f>
        <v>1.0221032336826419E-2</v>
      </c>
      <c r="W278" s="16"/>
      <c r="X278" s="31">
        <f>P278-T278</f>
        <v>169895.0439462947</v>
      </c>
      <c r="Y278" s="16"/>
      <c r="Z278" s="33">
        <f>IF(T278=0,0,X278/T278)</f>
        <v>2.7684795255534431</v>
      </c>
    </row>
    <row r="279" spans="1:26" ht="15.75" thickTop="1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x14ac:dyDescent="0.25">
      <c r="A280" s="9"/>
      <c r="B280" s="9"/>
      <c r="C280" s="9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ht="15.75" thickBot="1" x14ac:dyDescent="0.3">
      <c r="A281" s="10"/>
      <c r="B281" s="28" t="s">
        <v>5</v>
      </c>
      <c r="C281" s="28"/>
      <c r="D281" s="32">
        <f>SUM(D278:D280)</f>
        <v>58205.270000000281</v>
      </c>
      <c r="E281" s="14"/>
      <c r="F281" s="34">
        <f>IF(D$12=0,0,D281/D$12)</f>
        <v>5.7720456262893093E-2</v>
      </c>
      <c r="G281" s="14"/>
      <c r="H281" s="32">
        <f>SUM(H278:H280)</f>
        <v>-18233.202589745633</v>
      </c>
      <c r="I281" s="14"/>
      <c r="J281" s="34">
        <f>IF(H$12=0,0,H281/H$12)</f>
        <v>-1.8233155025643443E-2</v>
      </c>
      <c r="K281" s="16"/>
      <c r="L281" s="32">
        <f>+D281-H281</f>
        <v>76438.472589745914</v>
      </c>
      <c r="M281" s="16"/>
      <c r="N281" s="34">
        <f>IF(H281=0,0,L281/H281)</f>
        <v>-4.1922680458086372</v>
      </c>
      <c r="O281" s="29"/>
      <c r="P281" s="32">
        <f>SUM(P278:P280)</f>
        <v>231262.67999999865</v>
      </c>
      <c r="Q281" s="14"/>
      <c r="R281" s="34">
        <f>IF(P$12=0,0,P281/P$12)</f>
        <v>4.0297468681788122E-2</v>
      </c>
      <c r="S281" s="14"/>
      <c r="T281" s="32">
        <f>SUM(T278:T280)</f>
        <v>61367.636053703958</v>
      </c>
      <c r="U281" s="14"/>
      <c r="V281" s="34">
        <f>IF(T$12=0,0,T281/T$12)</f>
        <v>1.0221032336826419E-2</v>
      </c>
      <c r="W281" s="16"/>
      <c r="X281" s="32">
        <f>+P281-T281</f>
        <v>169895.0439462947</v>
      </c>
      <c r="Y281" s="16"/>
      <c r="Z281" s="34">
        <f>IF(T281=0,0,X281/T281)</f>
        <v>2.7684795255534431</v>
      </c>
    </row>
    <row r="282" spans="1:26" ht="15.75" thickTop="1" x14ac:dyDescent="0.25">
      <c r="A282" s="9"/>
      <c r="C282" s="9"/>
      <c r="D282" s="17"/>
      <c r="E282" s="17"/>
      <c r="G282" s="17"/>
      <c r="H282" s="17"/>
      <c r="I282" s="17"/>
      <c r="J282" s="43"/>
      <c r="K282" s="17"/>
      <c r="L282" s="17"/>
      <c r="M282" s="17"/>
      <c r="P282" s="17"/>
      <c r="Q282" s="17"/>
      <c r="R282" s="43"/>
      <c r="S282" s="17"/>
      <c r="T282" s="17"/>
      <c r="U282" s="17"/>
      <c r="V282" s="43"/>
      <c r="W282" s="17"/>
      <c r="X282" s="17"/>
    </row>
    <row r="283" spans="1:26" x14ac:dyDescent="0.25">
      <c r="A283" s="9"/>
      <c r="B283" s="60">
        <v>43791.347614965278</v>
      </c>
      <c r="D283" s="17"/>
      <c r="E283" s="17"/>
      <c r="G283" s="17"/>
      <c r="H283" s="17"/>
      <c r="I283" s="17"/>
      <c r="J283" s="43"/>
      <c r="K283" s="17"/>
      <c r="L283" s="17"/>
      <c r="M283" s="17"/>
      <c r="P283" s="17"/>
      <c r="Q283" s="17"/>
      <c r="R283" s="43"/>
      <c r="S283" s="17"/>
      <c r="T283" s="17"/>
      <c r="U283" s="17"/>
      <c r="V283" s="43"/>
      <c r="W283" s="17"/>
      <c r="X283" s="17"/>
    </row>
    <row r="284" spans="1:26" x14ac:dyDescent="0.25">
      <c r="A284" s="9"/>
      <c r="B284" s="54" t="s">
        <v>314</v>
      </c>
      <c r="D284" s="17"/>
      <c r="E284" s="17"/>
      <c r="G284" s="17"/>
      <c r="H284" s="17"/>
      <c r="I284" s="17"/>
      <c r="J284" s="43"/>
      <c r="K284" s="17"/>
      <c r="L284" s="17"/>
      <c r="M284" s="17"/>
      <c r="P284" s="17"/>
      <c r="Q284" s="17"/>
      <c r="R284" s="43"/>
      <c r="S284" s="17"/>
      <c r="T284" s="17"/>
      <c r="U284" s="17"/>
      <c r="V284" s="43"/>
      <c r="W284" s="17"/>
      <c r="X284" s="17"/>
    </row>
    <row r="285" spans="1:26" x14ac:dyDescent="0.25">
      <c r="A285" s="9"/>
      <c r="B285" s="55"/>
      <c r="D285" s="17"/>
      <c r="E285" s="17"/>
      <c r="G285" s="17"/>
      <c r="H285" s="17"/>
      <c r="I285" s="17"/>
      <c r="J285" s="43"/>
      <c r="K285" s="17"/>
      <c r="L285" s="17"/>
      <c r="M285" s="17"/>
      <c r="P285" s="17"/>
      <c r="Q285" s="17"/>
      <c r="R285" s="43"/>
      <c r="S285" s="17"/>
      <c r="T285" s="17"/>
      <c r="U285" s="17"/>
      <c r="V285" s="43"/>
      <c r="W285" s="17"/>
      <c r="X285" s="17"/>
    </row>
    <row r="286" spans="1:26" x14ac:dyDescent="0.25">
      <c r="D286" s="17"/>
      <c r="E286" s="17"/>
      <c r="G286" s="17"/>
      <c r="H286" s="17"/>
      <c r="I286" s="17"/>
      <c r="J286" s="43"/>
      <c r="K286" s="17"/>
      <c r="L286" s="17"/>
      <c r="M286" s="17"/>
      <c r="P286" s="17"/>
      <c r="Q286" s="17"/>
      <c r="R286" s="43"/>
      <c r="S286" s="17"/>
      <c r="T286" s="17"/>
      <c r="U286" s="17"/>
      <c r="V286" s="43"/>
      <c r="W286" s="17"/>
      <c r="X286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478812.74</v>
      </c>
      <c r="E12" s="4"/>
      <c r="F12" s="12"/>
      <c r="G12" s="4"/>
      <c r="H12" s="4">
        <f>SUM(OSRRefH13x_0)</f>
        <v>484968.60865999997</v>
      </c>
      <c r="I12" s="4"/>
      <c r="J12" s="12"/>
      <c r="K12" s="4"/>
      <c r="L12" s="4">
        <f t="shared" ref="L12:L101" si="0">+D12-H12</f>
        <v>-6155.8686599999783</v>
      </c>
      <c r="M12" s="4"/>
      <c r="N12" s="12">
        <f t="shared" ref="N12:N101" si="1">IF(H12=0,0,L12/H12)</f>
        <v>-1.2693334269632517E-2</v>
      </c>
      <c r="O12" s="10"/>
      <c r="P12" s="4">
        <f>SUM(OSRRefP13x_0)</f>
        <v>4620816.0699999984</v>
      </c>
      <c r="Q12" s="4"/>
      <c r="R12" s="12"/>
      <c r="S12" s="4"/>
      <c r="T12" s="4">
        <f>SUM(OSRRefT13x_0)</f>
        <v>4885289.3838599995</v>
      </c>
      <c r="U12" s="4"/>
      <c r="V12" s="12"/>
      <c r="W12" s="4"/>
      <c r="X12" s="4">
        <f t="shared" ref="X12:X101" si="2">+P12-T12</f>
        <v>-264473.31386000104</v>
      </c>
      <c r="Y12" s="4"/>
      <c r="Z12" s="12">
        <f t="shared" ref="Z12:Z101" si="3">IF(T12=0,0,X12/T12)</f>
        <v>-5.4136672995005575E-2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396591.60865999997</v>
      </c>
      <c r="I13" s="2"/>
      <c r="J13" s="19"/>
      <c r="K13" s="2"/>
      <c r="L13" s="2">
        <f t="shared" si="0"/>
        <v>-396591.60865999997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1671187.3838599999</v>
      </c>
      <c r="U13" s="2"/>
      <c r="V13" s="19"/>
      <c r="W13" s="2"/>
      <c r="X13" s="2">
        <f t="shared" si="2"/>
        <v>-1671187.3838599999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--31204.32</f>
        <v>31204.32</v>
      </c>
      <c r="E14" s="2"/>
      <c r="F14" s="19"/>
      <c r="G14" s="2"/>
      <c r="H14" s="2"/>
      <c r="I14" s="2"/>
      <c r="J14" s="19"/>
      <c r="K14" s="2"/>
      <c r="L14" s="2">
        <f t="shared" si="0"/>
        <v>31204.32</v>
      </c>
      <c r="M14" s="2"/>
      <c r="N14" s="19">
        <f t="shared" si="1"/>
        <v>0</v>
      </c>
      <c r="O14" s="11"/>
      <c r="P14" s="2">
        <f>--1495159.74</f>
        <v>1495159.74</v>
      </c>
      <c r="Q14" s="2"/>
      <c r="R14" s="19"/>
      <c r="S14" s="2"/>
      <c r="T14" s="2"/>
      <c r="U14" s="2"/>
      <c r="V14" s="19"/>
      <c r="W14" s="2"/>
      <c r="X14" s="2">
        <f t="shared" si="2"/>
        <v>1495159.74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--8985.78</f>
        <v>8985.7800000000007</v>
      </c>
      <c r="E15" s="2"/>
      <c r="F15" s="19"/>
      <c r="G15" s="2"/>
      <c r="H15" s="2"/>
      <c r="I15" s="2"/>
      <c r="J15" s="19"/>
      <c r="K15" s="2"/>
      <c r="L15" s="2">
        <f t="shared" si="0"/>
        <v>8985.7800000000007</v>
      </c>
      <c r="M15" s="2"/>
      <c r="N15" s="19">
        <f t="shared" si="1"/>
        <v>0</v>
      </c>
      <c r="O15" s="11"/>
      <c r="P15" s="2">
        <f>--666296.36</f>
        <v>666296.36</v>
      </c>
      <c r="Q15" s="2"/>
      <c r="R15" s="19"/>
      <c r="S15" s="2"/>
      <c r="T15" s="2"/>
      <c r="U15" s="2"/>
      <c r="V15" s="19"/>
      <c r="W15" s="2"/>
      <c r="X15" s="2">
        <f t="shared" si="2"/>
        <v>666296.36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--307.97</f>
        <v>307.97000000000003</v>
      </c>
      <c r="E16" s="2"/>
      <c r="F16" s="19"/>
      <c r="G16" s="2"/>
      <c r="H16" s="2"/>
      <c r="I16" s="2"/>
      <c r="J16" s="19"/>
      <c r="K16" s="2"/>
      <c r="L16" s="2">
        <f t="shared" si="0"/>
        <v>307.97000000000003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--460.04</f>
        <v>460.04</v>
      </c>
      <c r="E17" s="2"/>
      <c r="F17" s="19"/>
      <c r="G17" s="2"/>
      <c r="H17" s="2"/>
      <c r="I17" s="2"/>
      <c r="J17" s="19"/>
      <c r="K17" s="2"/>
      <c r="L17" s="2">
        <f t="shared" si="0"/>
        <v>460.04</v>
      </c>
      <c r="M17" s="2"/>
      <c r="N17" s="19">
        <f t="shared" si="1"/>
        <v>0</v>
      </c>
      <c r="O17" s="11"/>
      <c r="P17" s="2">
        <f>--30160.48</f>
        <v>30160.48</v>
      </c>
      <c r="Q17" s="2"/>
      <c r="R17" s="19"/>
      <c r="S17" s="2"/>
      <c r="T17" s="2"/>
      <c r="U17" s="2"/>
      <c r="V17" s="19"/>
      <c r="W17" s="2"/>
      <c r="X17" s="2">
        <f t="shared" si="2"/>
        <v>30160.48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--686.63</f>
        <v>686.63</v>
      </c>
      <c r="E19" s="2"/>
      <c r="F19" s="19"/>
      <c r="G19" s="2"/>
      <c r="H19" s="2"/>
      <c r="I19" s="2"/>
      <c r="J19" s="19"/>
      <c r="K19" s="2"/>
      <c r="L19" s="2">
        <f t="shared" si="0"/>
        <v>686.63</v>
      </c>
      <c r="M19" s="2"/>
      <c r="N19" s="19">
        <f t="shared" si="1"/>
        <v>0</v>
      </c>
      <c r="O19" s="11"/>
      <c r="P19" s="2">
        <f>--827.39</f>
        <v>827.39</v>
      </c>
      <c r="Q19" s="2"/>
      <c r="R19" s="19"/>
      <c r="S19" s="2"/>
      <c r="T19" s="2"/>
      <c r="U19" s="2"/>
      <c r="V19" s="19"/>
      <c r="W19" s="2"/>
      <c r="X19" s="2">
        <f t="shared" si="2"/>
        <v>827.39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--171.13</f>
        <v>171.13</v>
      </c>
      <c r="E20" s="2"/>
      <c r="F20" s="19"/>
      <c r="G20" s="2"/>
      <c r="H20" s="2"/>
      <c r="I20" s="2"/>
      <c r="J20" s="19"/>
      <c r="K20" s="2"/>
      <c r="L20" s="2">
        <f t="shared" si="0"/>
        <v>171.13</v>
      </c>
      <c r="M20" s="2"/>
      <c r="N20" s="19">
        <f t="shared" si="1"/>
        <v>0</v>
      </c>
      <c r="O20" s="11"/>
      <c r="P20" s="2">
        <f>--694.22</f>
        <v>694.22</v>
      </c>
      <c r="Q20" s="2"/>
      <c r="R20" s="19"/>
      <c r="S20" s="2"/>
      <c r="T20" s="2"/>
      <c r="U20" s="2"/>
      <c r="V20" s="19"/>
      <c r="W20" s="2"/>
      <c r="X20" s="2">
        <f t="shared" si="2"/>
        <v>694.22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--2.98</f>
        <v>2.98</v>
      </c>
      <c r="E21" s="2"/>
      <c r="F21" s="19"/>
      <c r="G21" s="2"/>
      <c r="H21" s="2"/>
      <c r="I21" s="2"/>
      <c r="J21" s="19"/>
      <c r="K21" s="2"/>
      <c r="L21" s="2">
        <f t="shared" si="0"/>
        <v>2.98</v>
      </c>
      <c r="M21" s="2"/>
      <c r="N21" s="19">
        <f t="shared" si="1"/>
        <v>0</v>
      </c>
      <c r="O21" s="11"/>
      <c r="P21" s="2">
        <f>--225.67</f>
        <v>225.67</v>
      </c>
      <c r="Q21" s="2"/>
      <c r="R21" s="19"/>
      <c r="S21" s="2"/>
      <c r="T21" s="2"/>
      <c r="U21" s="2"/>
      <c r="V21" s="19"/>
      <c r="W21" s="2"/>
      <c r="X21" s="2">
        <f t="shared" si="2"/>
        <v>225.67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--394.68</f>
        <v>394.68</v>
      </c>
      <c r="E22" s="2"/>
      <c r="F22" s="19"/>
      <c r="G22" s="2"/>
      <c r="H22" s="2"/>
      <c r="I22" s="2"/>
      <c r="J22" s="19"/>
      <c r="K22" s="2"/>
      <c r="L22" s="2">
        <f t="shared" si="0"/>
        <v>394.68</v>
      </c>
      <c r="M22" s="2"/>
      <c r="N22" s="19">
        <f t="shared" si="1"/>
        <v>0</v>
      </c>
      <c r="O22" s="11"/>
      <c r="P22" s="2">
        <f>--2454.83</f>
        <v>2454.83</v>
      </c>
      <c r="Q22" s="2"/>
      <c r="R22" s="19"/>
      <c r="S22" s="2"/>
      <c r="T22" s="2"/>
      <c r="U22" s="2"/>
      <c r="V22" s="19"/>
      <c r="W22" s="2"/>
      <c r="X22" s="2">
        <f t="shared" si="2"/>
        <v>2454.83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--14.95</f>
        <v>14.95</v>
      </c>
      <c r="E23" s="2"/>
      <c r="F23" s="19"/>
      <c r="G23" s="2"/>
      <c r="H23" s="2"/>
      <c r="I23" s="2"/>
      <c r="J23" s="19"/>
      <c r="K23" s="2"/>
      <c r="L23" s="2">
        <f t="shared" si="0"/>
        <v>14.95</v>
      </c>
      <c r="M23" s="2"/>
      <c r="N23" s="19">
        <f t="shared" si="1"/>
        <v>0</v>
      </c>
      <c r="O23" s="11"/>
      <c r="P23" s="2">
        <f>--29.9</f>
        <v>29.9</v>
      </c>
      <c r="Q23" s="2"/>
      <c r="R23" s="19"/>
      <c r="S23" s="2"/>
      <c r="T23" s="2"/>
      <c r="U23" s="2"/>
      <c r="V23" s="19"/>
      <c r="W23" s="2"/>
      <c r="X23" s="2">
        <f t="shared" si="2"/>
        <v>29.9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--10035.97</f>
        <v>10035.969999999999</v>
      </c>
      <c r="E24" s="2"/>
      <c r="F24" s="19"/>
      <c r="G24" s="2"/>
      <c r="H24" s="2"/>
      <c r="I24" s="2"/>
      <c r="J24" s="19"/>
      <c r="K24" s="2"/>
      <c r="L24" s="2">
        <f t="shared" si="0"/>
        <v>10035.969999999999</v>
      </c>
      <c r="M24" s="2"/>
      <c r="N24" s="19">
        <f t="shared" si="1"/>
        <v>0</v>
      </c>
      <c r="O24" s="11"/>
      <c r="P24" s="2">
        <f>--26332.04</f>
        <v>26332.04</v>
      </c>
      <c r="Q24" s="2"/>
      <c r="R24" s="19"/>
      <c r="S24" s="2"/>
      <c r="T24" s="2"/>
      <c r="U24" s="2"/>
      <c r="V24" s="19"/>
      <c r="W24" s="2"/>
      <c r="X24" s="2">
        <f t="shared" si="2"/>
        <v>26332.04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--12565.24</f>
        <v>12565.24</v>
      </c>
      <c r="E25" s="2"/>
      <c r="F25" s="19"/>
      <c r="G25" s="2"/>
      <c r="H25" s="2"/>
      <c r="I25" s="2"/>
      <c r="J25" s="19"/>
      <c r="K25" s="2"/>
      <c r="L25" s="2">
        <f t="shared" si="0"/>
        <v>12565.24</v>
      </c>
      <c r="M25" s="2"/>
      <c r="N25" s="19">
        <f t="shared" si="1"/>
        <v>0</v>
      </c>
      <c r="O25" s="11"/>
      <c r="P25" s="2">
        <f>--37064.54</f>
        <v>37064.54</v>
      </c>
      <c r="Q25" s="2"/>
      <c r="R25" s="19"/>
      <c r="S25" s="2"/>
      <c r="T25" s="2"/>
      <c r="U25" s="2"/>
      <c r="V25" s="19"/>
      <c r="W25" s="2"/>
      <c r="X25" s="2">
        <f t="shared" si="2"/>
        <v>37064.54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--20952.95</f>
        <v>20952.95</v>
      </c>
      <c r="E26" s="2"/>
      <c r="F26" s="19"/>
      <c r="G26" s="2"/>
      <c r="H26" s="2"/>
      <c r="I26" s="2"/>
      <c r="J26" s="19"/>
      <c r="K26" s="2"/>
      <c r="L26" s="2">
        <f t="shared" si="0"/>
        <v>20952.95</v>
      </c>
      <c r="M26" s="2"/>
      <c r="N26" s="19">
        <f t="shared" si="1"/>
        <v>0</v>
      </c>
      <c r="O26" s="11"/>
      <c r="P26" s="2">
        <f>--144273.54</f>
        <v>144273.54</v>
      </c>
      <c r="Q26" s="2"/>
      <c r="R26" s="19"/>
      <c r="S26" s="2"/>
      <c r="T26" s="2"/>
      <c r="U26" s="2"/>
      <c r="V26" s="19"/>
      <c r="W26" s="2"/>
      <c r="X26" s="2">
        <f t="shared" si="2"/>
        <v>144273.54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--45836.99</f>
        <v>45836.99</v>
      </c>
      <c r="E27" s="2"/>
      <c r="F27" s="19"/>
      <c r="G27" s="2"/>
      <c r="H27" s="2"/>
      <c r="I27" s="2"/>
      <c r="J27" s="19"/>
      <c r="K27" s="2"/>
      <c r="L27" s="2">
        <f t="shared" si="0"/>
        <v>45836.99</v>
      </c>
      <c r="M27" s="2"/>
      <c r="N27" s="19">
        <f t="shared" si="1"/>
        <v>0</v>
      </c>
      <c r="O27" s="11"/>
      <c r="P27" s="2">
        <f>--146564.67</f>
        <v>146564.67000000001</v>
      </c>
      <c r="Q27" s="2"/>
      <c r="R27" s="19"/>
      <c r="S27" s="2"/>
      <c r="T27" s="2"/>
      <c r="U27" s="2"/>
      <c r="V27" s="19"/>
      <c r="W27" s="2"/>
      <c r="X27" s="2">
        <f t="shared" si="2"/>
        <v>146564.67000000001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--100.46</f>
        <v>100.46</v>
      </c>
      <c r="E28" s="2"/>
      <c r="F28" s="19"/>
      <c r="G28" s="2"/>
      <c r="H28" s="2"/>
      <c r="I28" s="2"/>
      <c r="J28" s="19"/>
      <c r="K28" s="2"/>
      <c r="L28" s="2">
        <f t="shared" si="0"/>
        <v>100.46</v>
      </c>
      <c r="M28" s="2"/>
      <c r="N28" s="19">
        <f t="shared" si="1"/>
        <v>0</v>
      </c>
      <c r="O28" s="11"/>
      <c r="P28" s="2">
        <f>--221.28</f>
        <v>221.28</v>
      </c>
      <c r="Q28" s="2"/>
      <c r="R28" s="19"/>
      <c r="S28" s="2"/>
      <c r="T28" s="2"/>
      <c r="U28" s="2"/>
      <c r="V28" s="19"/>
      <c r="W28" s="2"/>
      <c r="X28" s="2">
        <f t="shared" si="2"/>
        <v>221.28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--32.07</f>
        <v>32.07</v>
      </c>
      <c r="E29" s="2"/>
      <c r="F29" s="19"/>
      <c r="G29" s="2"/>
      <c r="H29" s="2"/>
      <c r="I29" s="2"/>
      <c r="J29" s="19"/>
      <c r="K29" s="2"/>
      <c r="L29" s="2">
        <f t="shared" si="0"/>
        <v>32.07</v>
      </c>
      <c r="M29" s="2"/>
      <c r="N29" s="19">
        <f t="shared" si="1"/>
        <v>0</v>
      </c>
      <c r="O29" s="11"/>
      <c r="P29" s="2">
        <f>--53.42</f>
        <v>53.42</v>
      </c>
      <c r="Q29" s="2"/>
      <c r="R29" s="19"/>
      <c r="S29" s="2"/>
      <c r="T29" s="2"/>
      <c r="U29" s="2"/>
      <c r="V29" s="19"/>
      <c r="W29" s="2"/>
      <c r="X29" s="2">
        <f t="shared" si="2"/>
        <v>53.42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--44.43</f>
        <v>44.43</v>
      </c>
      <c r="E30" s="2"/>
      <c r="F30" s="19"/>
      <c r="G30" s="2"/>
      <c r="H30" s="2"/>
      <c r="I30" s="2"/>
      <c r="J30" s="19"/>
      <c r="K30" s="2"/>
      <c r="L30" s="2">
        <f t="shared" si="0"/>
        <v>44.43</v>
      </c>
      <c r="M30" s="2"/>
      <c r="N30" s="19">
        <f t="shared" si="1"/>
        <v>0</v>
      </c>
      <c r="O30" s="11"/>
      <c r="P30" s="2">
        <f>--85.4</f>
        <v>85.4</v>
      </c>
      <c r="Q30" s="2"/>
      <c r="R30" s="19"/>
      <c r="S30" s="2"/>
      <c r="T30" s="2"/>
      <c r="U30" s="2"/>
      <c r="V30" s="19"/>
      <c r="W30" s="2"/>
      <c r="X30" s="2">
        <f t="shared" si="2"/>
        <v>85.4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--1854.69</f>
        <v>1854.69</v>
      </c>
      <c r="E31" s="2"/>
      <c r="F31" s="19"/>
      <c r="G31" s="2"/>
      <c r="H31" s="2"/>
      <c r="I31" s="2"/>
      <c r="J31" s="19"/>
      <c r="K31" s="2"/>
      <c r="L31" s="2">
        <f t="shared" si="0"/>
        <v>1854.69</v>
      </c>
      <c r="M31" s="2"/>
      <c r="N31" s="19">
        <f t="shared" si="1"/>
        <v>0</v>
      </c>
      <c r="O31" s="11"/>
      <c r="P31" s="2">
        <f>--3714.24</f>
        <v>3714.24</v>
      </c>
      <c r="Q31" s="2"/>
      <c r="R31" s="19"/>
      <c r="S31" s="2"/>
      <c r="T31" s="2"/>
      <c r="U31" s="2"/>
      <c r="V31" s="19"/>
      <c r="W31" s="2"/>
      <c r="X31" s="2">
        <f t="shared" si="2"/>
        <v>3714.24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--425.93</f>
        <v>425.93</v>
      </c>
      <c r="E32" s="2"/>
      <c r="F32" s="19"/>
      <c r="G32" s="2"/>
      <c r="H32" s="2"/>
      <c r="I32" s="2"/>
      <c r="J32" s="19"/>
      <c r="K32" s="2"/>
      <c r="L32" s="2">
        <f t="shared" si="0"/>
        <v>425.93</v>
      </c>
      <c r="M32" s="2"/>
      <c r="N32" s="19">
        <f t="shared" si="1"/>
        <v>0</v>
      </c>
      <c r="O32" s="11"/>
      <c r="P32" s="2">
        <f>--864.36</f>
        <v>864.36</v>
      </c>
      <c r="Q32" s="2"/>
      <c r="R32" s="19"/>
      <c r="S32" s="2"/>
      <c r="T32" s="2"/>
      <c r="U32" s="2"/>
      <c r="V32" s="19"/>
      <c r="W32" s="2"/>
      <c r="X32" s="2">
        <f t="shared" si="2"/>
        <v>864.36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--128.42</f>
        <v>128.41999999999999</v>
      </c>
      <c r="E33" s="2"/>
      <c r="F33" s="19"/>
      <c r="G33" s="2"/>
      <c r="H33" s="2"/>
      <c r="I33" s="2"/>
      <c r="J33" s="19"/>
      <c r="K33" s="2"/>
      <c r="L33" s="2">
        <f t="shared" si="0"/>
        <v>128.41999999999999</v>
      </c>
      <c r="M33" s="2"/>
      <c r="N33" s="19">
        <f t="shared" si="1"/>
        <v>0</v>
      </c>
      <c r="O33" s="11"/>
      <c r="P33" s="2">
        <f>--302.57</f>
        <v>302.57</v>
      </c>
      <c r="Q33" s="2"/>
      <c r="R33" s="19"/>
      <c r="S33" s="2"/>
      <c r="T33" s="2"/>
      <c r="U33" s="2"/>
      <c r="V33" s="19"/>
      <c r="W33" s="2"/>
      <c r="X33" s="2">
        <f t="shared" si="2"/>
        <v>302.57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--215340.93</f>
        <v>215340.93</v>
      </c>
      <c r="E34" s="2"/>
      <c r="F34" s="19"/>
      <c r="G34" s="2"/>
      <c r="H34" s="2"/>
      <c r="I34" s="2"/>
      <c r="J34" s="19"/>
      <c r="K34" s="2"/>
      <c r="L34" s="2">
        <f t="shared" si="0"/>
        <v>215340.93</v>
      </c>
      <c r="M34" s="2"/>
      <c r="N34" s="19">
        <f t="shared" si="1"/>
        <v>0</v>
      </c>
      <c r="O34" s="11"/>
      <c r="P34" s="2">
        <f>--848240.45</f>
        <v>848240.45</v>
      </c>
      <c r="Q34" s="2"/>
      <c r="R34" s="19"/>
      <c r="S34" s="2"/>
      <c r="T34" s="2"/>
      <c r="U34" s="2"/>
      <c r="V34" s="19"/>
      <c r="W34" s="2"/>
      <c r="X34" s="2">
        <f t="shared" si="2"/>
        <v>848240.45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--27181.29</f>
        <v>27181.29</v>
      </c>
      <c r="E35" s="2"/>
      <c r="F35" s="19"/>
      <c r="G35" s="2"/>
      <c r="H35" s="2"/>
      <c r="I35" s="2"/>
      <c r="J35" s="19"/>
      <c r="K35" s="2"/>
      <c r="L35" s="2">
        <f t="shared" si="0"/>
        <v>27181.29</v>
      </c>
      <c r="M35" s="2"/>
      <c r="N35" s="19">
        <f t="shared" si="1"/>
        <v>0</v>
      </c>
      <c r="O35" s="11"/>
      <c r="P35" s="2">
        <f>--228813.9</f>
        <v>228813.9</v>
      </c>
      <c r="Q35" s="2"/>
      <c r="R35" s="19"/>
      <c r="S35" s="2"/>
      <c r="T35" s="2"/>
      <c r="U35" s="2"/>
      <c r="V35" s="19"/>
      <c r="W35" s="2"/>
      <c r="X35" s="2">
        <f t="shared" si="2"/>
        <v>228813.9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--29192.1</f>
        <v>29192.1</v>
      </c>
      <c r="E36" s="2"/>
      <c r="F36" s="19"/>
      <c r="G36" s="2"/>
      <c r="H36" s="2"/>
      <c r="I36" s="2"/>
      <c r="J36" s="19"/>
      <c r="K36" s="2"/>
      <c r="L36" s="2">
        <f t="shared" si="0"/>
        <v>29192.1</v>
      </c>
      <c r="M36" s="2"/>
      <c r="N36" s="19">
        <f t="shared" si="1"/>
        <v>0</v>
      </c>
      <c r="O36" s="11"/>
      <c r="P36" s="2">
        <f>--124310.37</f>
        <v>124310.37</v>
      </c>
      <c r="Q36" s="2"/>
      <c r="R36" s="19"/>
      <c r="S36" s="2"/>
      <c r="T36" s="2"/>
      <c r="U36" s="2"/>
      <c r="V36" s="19"/>
      <c r="W36" s="2"/>
      <c r="X36" s="2">
        <f t="shared" si="2"/>
        <v>124310.37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--63.04</f>
        <v>63.04</v>
      </c>
      <c r="E37" s="2"/>
      <c r="F37" s="19"/>
      <c r="G37" s="2"/>
      <c r="H37" s="2"/>
      <c r="I37" s="2"/>
      <c r="J37" s="19"/>
      <c r="K37" s="2"/>
      <c r="L37" s="2">
        <f t="shared" si="0"/>
        <v>63.04</v>
      </c>
      <c r="M37" s="2"/>
      <c r="N37" s="19">
        <f t="shared" si="1"/>
        <v>0</v>
      </c>
      <c r="O37" s="11"/>
      <c r="P37" s="2">
        <f>--520.85</f>
        <v>520.85</v>
      </c>
      <c r="Q37" s="2"/>
      <c r="R37" s="19"/>
      <c r="S37" s="2"/>
      <c r="T37" s="2"/>
      <c r="U37" s="2"/>
      <c r="V37" s="19"/>
      <c r="W37" s="2"/>
      <c r="X37" s="2">
        <f t="shared" si="2"/>
        <v>520.85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--4838.74</f>
        <v>4838.74</v>
      </c>
      <c r="E38" s="2"/>
      <c r="F38" s="19"/>
      <c r="G38" s="2"/>
      <c r="H38" s="2"/>
      <c r="I38" s="2"/>
      <c r="J38" s="19"/>
      <c r="K38" s="2"/>
      <c r="L38" s="2">
        <f t="shared" si="0"/>
        <v>4838.74</v>
      </c>
      <c r="M38" s="2"/>
      <c r="N38" s="19">
        <f t="shared" si="1"/>
        <v>0</v>
      </c>
      <c r="O38" s="11"/>
      <c r="P38" s="2">
        <f>--33067.15</f>
        <v>33067.15</v>
      </c>
      <c r="Q38" s="2"/>
      <c r="R38" s="19"/>
      <c r="S38" s="2"/>
      <c r="T38" s="2"/>
      <c r="U38" s="2"/>
      <c r="V38" s="19"/>
      <c r="W38" s="2"/>
      <c r="X38" s="2">
        <f t="shared" si="2"/>
        <v>33067.15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--4525.99</f>
        <v>4525.99</v>
      </c>
      <c r="E39" s="2"/>
      <c r="F39" s="19"/>
      <c r="G39" s="2"/>
      <c r="H39" s="2"/>
      <c r="I39" s="2"/>
      <c r="J39" s="19"/>
      <c r="K39" s="2"/>
      <c r="L39" s="2">
        <f t="shared" si="0"/>
        <v>4525.99</v>
      </c>
      <c r="M39" s="2"/>
      <c r="N39" s="19">
        <f t="shared" si="1"/>
        <v>0</v>
      </c>
      <c r="O39" s="11"/>
      <c r="P39" s="2">
        <f>--35853.1</f>
        <v>35853.1</v>
      </c>
      <c r="Q39" s="2"/>
      <c r="R39" s="19"/>
      <c r="S39" s="2"/>
      <c r="T39" s="2"/>
      <c r="U39" s="2"/>
      <c r="V39" s="19"/>
      <c r="W39" s="2"/>
      <c r="X39" s="2">
        <f t="shared" si="2"/>
        <v>35853.1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--402.65</f>
        <v>402.65</v>
      </c>
      <c r="E40" s="2"/>
      <c r="F40" s="19"/>
      <c r="G40" s="2"/>
      <c r="H40" s="2"/>
      <c r="I40" s="2"/>
      <c r="J40" s="19"/>
      <c r="K40" s="2"/>
      <c r="L40" s="2">
        <f t="shared" si="0"/>
        <v>402.65</v>
      </c>
      <c r="M40" s="2"/>
      <c r="N40" s="19">
        <f t="shared" si="1"/>
        <v>0</v>
      </c>
      <c r="O40" s="11"/>
      <c r="P40" s="2">
        <f>--1374</f>
        <v>1374</v>
      </c>
      <c r="Q40" s="2"/>
      <c r="R40" s="19"/>
      <c r="S40" s="2"/>
      <c r="T40" s="2"/>
      <c r="U40" s="2"/>
      <c r="V40" s="19"/>
      <c r="W40" s="2"/>
      <c r="X40" s="2">
        <f t="shared" si="2"/>
        <v>1374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--873.49</f>
        <v>873.49</v>
      </c>
      <c r="E41" s="2"/>
      <c r="F41" s="19"/>
      <c r="G41" s="2"/>
      <c r="H41" s="2"/>
      <c r="I41" s="2"/>
      <c r="J41" s="19"/>
      <c r="K41" s="2"/>
      <c r="L41" s="2">
        <f t="shared" si="0"/>
        <v>873.49</v>
      </c>
      <c r="M41" s="2"/>
      <c r="N41" s="19">
        <f t="shared" si="1"/>
        <v>0</v>
      </c>
      <c r="O41" s="11"/>
      <c r="P41" s="2">
        <f>--1792.91</f>
        <v>1792.91</v>
      </c>
      <c r="Q41" s="2"/>
      <c r="R41" s="19"/>
      <c r="S41" s="2"/>
      <c r="T41" s="2"/>
      <c r="U41" s="2"/>
      <c r="V41" s="19"/>
      <c r="W41" s="2"/>
      <c r="X41" s="2">
        <f t="shared" si="2"/>
        <v>1792.91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--162</f>
        <v>162</v>
      </c>
      <c r="Q42" s="2"/>
      <c r="R42" s="19"/>
      <c r="S42" s="2"/>
      <c r="T42" s="2"/>
      <c r="U42" s="2"/>
      <c r="V42" s="19"/>
      <c r="W42" s="2"/>
      <c r="X42" s="2">
        <f t="shared" si="2"/>
        <v>162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--129.89</f>
        <v>129.88999999999999</v>
      </c>
      <c r="E43" s="2"/>
      <c r="F43" s="19"/>
      <c r="G43" s="2"/>
      <c r="H43" s="2"/>
      <c r="I43" s="2"/>
      <c r="J43" s="19"/>
      <c r="K43" s="2"/>
      <c r="L43" s="2">
        <f t="shared" si="0"/>
        <v>129.88999999999999</v>
      </c>
      <c r="M43" s="2"/>
      <c r="N43" s="19">
        <f t="shared" si="1"/>
        <v>0</v>
      </c>
      <c r="O43" s="11"/>
      <c r="P43" s="2">
        <f>--429.69</f>
        <v>429.69</v>
      </c>
      <c r="Q43" s="2"/>
      <c r="R43" s="19"/>
      <c r="S43" s="2"/>
      <c r="T43" s="2"/>
      <c r="U43" s="2"/>
      <c r="V43" s="19"/>
      <c r="W43" s="2"/>
      <c r="X43" s="2">
        <f t="shared" si="2"/>
        <v>429.69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--80.97</f>
        <v>80.97</v>
      </c>
      <c r="E44" s="2"/>
      <c r="F44" s="19"/>
      <c r="G44" s="2"/>
      <c r="H44" s="2"/>
      <c r="I44" s="2"/>
      <c r="J44" s="19"/>
      <c r="K44" s="2"/>
      <c r="L44" s="2">
        <f t="shared" si="0"/>
        <v>80.97</v>
      </c>
      <c r="M44" s="2"/>
      <c r="N44" s="19">
        <f t="shared" si="1"/>
        <v>0</v>
      </c>
      <c r="O44" s="11"/>
      <c r="P44" s="2">
        <f>--534.79</f>
        <v>534.79</v>
      </c>
      <c r="Q44" s="2"/>
      <c r="R44" s="19"/>
      <c r="S44" s="2"/>
      <c r="T44" s="2"/>
      <c r="U44" s="2"/>
      <c r="V44" s="19"/>
      <c r="W44" s="2"/>
      <c r="X44" s="2">
        <f t="shared" si="2"/>
        <v>534.79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--1178.45</f>
        <v>1178.45</v>
      </c>
      <c r="E45" s="2"/>
      <c r="F45" s="19"/>
      <c r="G45" s="2"/>
      <c r="H45" s="2"/>
      <c r="I45" s="2"/>
      <c r="J45" s="19"/>
      <c r="K45" s="2"/>
      <c r="L45" s="2">
        <f t="shared" si="0"/>
        <v>1178.45</v>
      </c>
      <c r="M45" s="2"/>
      <c r="N45" s="19">
        <f t="shared" si="1"/>
        <v>0</v>
      </c>
      <c r="O45" s="11"/>
      <c r="P45" s="2">
        <f>--5051.08</f>
        <v>5051.08</v>
      </c>
      <c r="Q45" s="2"/>
      <c r="R45" s="19"/>
      <c r="S45" s="2"/>
      <c r="T45" s="2"/>
      <c r="U45" s="2"/>
      <c r="V45" s="19"/>
      <c r="W45" s="2"/>
      <c r="X45" s="2">
        <f t="shared" si="2"/>
        <v>5051.08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--43.76</f>
        <v>43.76</v>
      </c>
      <c r="E46" s="2"/>
      <c r="F46" s="19"/>
      <c r="G46" s="2"/>
      <c r="H46" s="2"/>
      <c r="I46" s="2"/>
      <c r="J46" s="19"/>
      <c r="K46" s="2"/>
      <c r="L46" s="2">
        <f t="shared" si="0"/>
        <v>43.76</v>
      </c>
      <c r="M46" s="2"/>
      <c r="N46" s="19">
        <f t="shared" si="1"/>
        <v>0</v>
      </c>
      <c r="O46" s="11"/>
      <c r="P46" s="2">
        <f>--244.61</f>
        <v>244.61</v>
      </c>
      <c r="Q46" s="2"/>
      <c r="R46" s="19"/>
      <c r="S46" s="2"/>
      <c r="T46" s="2"/>
      <c r="U46" s="2"/>
      <c r="V46" s="19"/>
      <c r="W46" s="2"/>
      <c r="X46" s="2">
        <f t="shared" si="2"/>
        <v>244.61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--3713.9</f>
        <v>3713.9</v>
      </c>
      <c r="E47" s="2"/>
      <c r="F47" s="19"/>
      <c r="G47" s="2"/>
      <c r="H47" s="2">
        <v>88377</v>
      </c>
      <c r="I47" s="2"/>
      <c r="J47" s="19"/>
      <c r="K47" s="2"/>
      <c r="L47" s="2">
        <f t="shared" si="0"/>
        <v>-84663.1</v>
      </c>
      <c r="M47" s="2"/>
      <c r="N47" s="19">
        <f t="shared" si="1"/>
        <v>-0.95797662287699292</v>
      </c>
      <c r="O47" s="11"/>
      <c r="P47" s="2">
        <f>--335381.67</f>
        <v>335381.67</v>
      </c>
      <c r="Q47" s="2"/>
      <c r="R47" s="19"/>
      <c r="S47" s="2"/>
      <c r="T47" s="2">
        <v>3214102</v>
      </c>
      <c r="U47" s="2"/>
      <c r="V47" s="19"/>
      <c r="W47" s="2"/>
      <c r="X47" s="2">
        <f t="shared" si="2"/>
        <v>-2878720.33</v>
      </c>
      <c r="Y47" s="2"/>
      <c r="Z47" s="19">
        <f t="shared" si="3"/>
        <v>-0.89565307199335931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--8438.54</f>
        <v>8438.5400000000009</v>
      </c>
      <c r="E48" s="2"/>
      <c r="F48" s="19"/>
      <c r="G48" s="2"/>
      <c r="H48" s="2"/>
      <c r="I48" s="2"/>
      <c r="J48" s="19"/>
      <c r="K48" s="2"/>
      <c r="L48" s="2">
        <f t="shared" si="0"/>
        <v>8438.5400000000009</v>
      </c>
      <c r="M48" s="2"/>
      <c r="N48" s="19">
        <f t="shared" si="1"/>
        <v>0</v>
      </c>
      <c r="O48" s="11"/>
      <c r="P48" s="2">
        <f>--92331.09</f>
        <v>92331.09</v>
      </c>
      <c r="Q48" s="2"/>
      <c r="R48" s="19"/>
      <c r="S48" s="2"/>
      <c r="T48" s="2"/>
      <c r="U48" s="2"/>
      <c r="V48" s="19"/>
      <c r="W48" s="2"/>
      <c r="X48" s="2">
        <f t="shared" si="2"/>
        <v>92331.09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--578.81</f>
        <v>578.80999999999995</v>
      </c>
      <c r="E49" s="2"/>
      <c r="F49" s="19"/>
      <c r="G49" s="2"/>
      <c r="H49" s="2"/>
      <c r="I49" s="2"/>
      <c r="J49" s="19"/>
      <c r="K49" s="2"/>
      <c r="L49" s="2">
        <f t="shared" si="0"/>
        <v>578.80999999999995</v>
      </c>
      <c r="M49" s="2"/>
      <c r="N49" s="19">
        <f t="shared" si="1"/>
        <v>0</v>
      </c>
      <c r="O49" s="11"/>
      <c r="P49" s="2">
        <f>--37022.32</f>
        <v>37022.32</v>
      </c>
      <c r="Q49" s="2"/>
      <c r="R49" s="19"/>
      <c r="S49" s="2"/>
      <c r="T49" s="2"/>
      <c r="U49" s="2"/>
      <c r="V49" s="19"/>
      <c r="W49" s="2"/>
      <c r="X49" s="2">
        <f t="shared" si="2"/>
        <v>37022.32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/>
      <c r="U50" s="2"/>
      <c r="V50" s="19"/>
      <c r="W50" s="2"/>
      <c r="X50" s="2">
        <f t="shared" si="2"/>
        <v>329.98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--1559.03</f>
        <v>1559.03</v>
      </c>
      <c r="E51" s="2"/>
      <c r="F51" s="19"/>
      <c r="G51" s="2"/>
      <c r="H51" s="2"/>
      <c r="I51" s="2"/>
      <c r="J51" s="19"/>
      <c r="K51" s="2"/>
      <c r="L51" s="2">
        <f t="shared" si="0"/>
        <v>1559.03</v>
      </c>
      <c r="M51" s="2"/>
      <c r="N51" s="19">
        <f t="shared" si="1"/>
        <v>0</v>
      </c>
      <c r="O51" s="11"/>
      <c r="P51" s="2">
        <f>--320492.85</f>
        <v>320492.84999999998</v>
      </c>
      <c r="Q51" s="2"/>
      <c r="R51" s="19"/>
      <c r="S51" s="2"/>
      <c r="T51" s="2"/>
      <c r="U51" s="2"/>
      <c r="V51" s="19"/>
      <c r="W51" s="2"/>
      <c r="X51" s="2">
        <f t="shared" si="2"/>
        <v>320492.84999999998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--757.3</f>
        <v>757.3</v>
      </c>
      <c r="E52" s="2"/>
      <c r="F52" s="19"/>
      <c r="G52" s="2"/>
      <c r="H52" s="2"/>
      <c r="I52" s="2"/>
      <c r="J52" s="19"/>
      <c r="K52" s="2"/>
      <c r="L52" s="2">
        <f t="shared" si="0"/>
        <v>757.3</v>
      </c>
      <c r="M52" s="2"/>
      <c r="N52" s="19">
        <f t="shared" si="1"/>
        <v>0</v>
      </c>
      <c r="O52" s="11"/>
      <c r="P52" s="2">
        <f>--7099.47</f>
        <v>7099.47</v>
      </c>
      <c r="Q52" s="2"/>
      <c r="R52" s="19"/>
      <c r="S52" s="2"/>
      <c r="T52" s="2"/>
      <c r="U52" s="2"/>
      <c r="V52" s="19"/>
      <c r="W52" s="2"/>
      <c r="X52" s="2">
        <f t="shared" si="2"/>
        <v>7099.47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ref="D53:D55" si="4"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/>
      <c r="U53" s="2"/>
      <c r="V53" s="19"/>
      <c r="W53" s="2"/>
      <c r="X53" s="2">
        <f t="shared" si="2"/>
        <v>1146.72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 t="shared" si="4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--20.92</f>
        <v>20.92</v>
      </c>
      <c r="Q54" s="2"/>
      <c r="R54" s="19"/>
      <c r="S54" s="2"/>
      <c r="T54" s="2"/>
      <c r="U54" s="2"/>
      <c r="V54" s="19"/>
      <c r="W54" s="2"/>
      <c r="X54" s="2">
        <f t="shared" si="2"/>
        <v>20.92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si="4"/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/>
      <c r="U55" s="2"/>
      <c r="V55" s="19"/>
      <c r="W55" s="2"/>
      <c r="X55" s="2">
        <f t="shared" si="2"/>
        <v>124.18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--115.27</f>
        <v>115.27</v>
      </c>
      <c r="E56" s="2"/>
      <c r="F56" s="19"/>
      <c r="G56" s="2"/>
      <c r="H56" s="2"/>
      <c r="I56" s="2"/>
      <c r="J56" s="19"/>
      <c r="K56" s="2"/>
      <c r="L56" s="2">
        <f t="shared" si="0"/>
        <v>115.27</v>
      </c>
      <c r="M56" s="2"/>
      <c r="N56" s="19">
        <f t="shared" si="1"/>
        <v>0</v>
      </c>
      <c r="O56" s="11"/>
      <c r="P56" s="2">
        <f>--1458.53</f>
        <v>1458.53</v>
      </c>
      <c r="Q56" s="2"/>
      <c r="R56" s="19"/>
      <c r="S56" s="2"/>
      <c r="T56" s="2"/>
      <c r="U56" s="2"/>
      <c r="V56" s="19"/>
      <c r="W56" s="2"/>
      <c r="X56" s="2">
        <f t="shared" si="2"/>
        <v>1458.53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--179.63</f>
        <v>179.63</v>
      </c>
      <c r="E57" s="2"/>
      <c r="F57" s="19"/>
      <c r="G57" s="2"/>
      <c r="H57" s="2"/>
      <c r="I57" s="2"/>
      <c r="J57" s="19"/>
      <c r="K57" s="2"/>
      <c r="L57" s="2">
        <f t="shared" si="0"/>
        <v>179.63</v>
      </c>
      <c r="M57" s="2"/>
      <c r="N57" s="19">
        <f t="shared" si="1"/>
        <v>0</v>
      </c>
      <c r="O57" s="11"/>
      <c r="P57" s="2">
        <f>--2597.12</f>
        <v>2597.12</v>
      </c>
      <c r="Q57" s="2"/>
      <c r="R57" s="19"/>
      <c r="S57" s="2"/>
      <c r="T57" s="2"/>
      <c r="U57" s="2"/>
      <c r="V57" s="19"/>
      <c r="W57" s="2"/>
      <c r="X57" s="2">
        <f t="shared" si="2"/>
        <v>2597.12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--85.82</f>
        <v>85.82</v>
      </c>
      <c r="E58" s="2"/>
      <c r="F58" s="19"/>
      <c r="G58" s="2"/>
      <c r="H58" s="2"/>
      <c r="I58" s="2"/>
      <c r="J58" s="19"/>
      <c r="K58" s="2"/>
      <c r="L58" s="2">
        <f t="shared" si="0"/>
        <v>85.82</v>
      </c>
      <c r="M58" s="2"/>
      <c r="N58" s="19">
        <f t="shared" si="1"/>
        <v>0</v>
      </c>
      <c r="O58" s="11"/>
      <c r="P58" s="2">
        <f>--348.72</f>
        <v>348.72</v>
      </c>
      <c r="Q58" s="2"/>
      <c r="R58" s="19"/>
      <c r="S58" s="2"/>
      <c r="T58" s="2"/>
      <c r="U58" s="2"/>
      <c r="V58" s="19"/>
      <c r="W58" s="2"/>
      <c r="X58" s="2">
        <f t="shared" si="2"/>
        <v>348.72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--13457.13</f>
        <v>13457.13</v>
      </c>
      <c r="E59" s="2"/>
      <c r="F59" s="19"/>
      <c r="G59" s="2"/>
      <c r="H59" s="2"/>
      <c r="I59" s="2"/>
      <c r="J59" s="19"/>
      <c r="K59" s="2"/>
      <c r="L59" s="2">
        <f t="shared" si="0"/>
        <v>13457.13</v>
      </c>
      <c r="M59" s="2"/>
      <c r="N59" s="19">
        <f t="shared" si="1"/>
        <v>0</v>
      </c>
      <c r="O59" s="11"/>
      <c r="P59" s="2">
        <f>--26722.42</f>
        <v>26722.42</v>
      </c>
      <c r="Q59" s="2"/>
      <c r="R59" s="19"/>
      <c r="S59" s="2"/>
      <c r="T59" s="2"/>
      <c r="U59" s="2"/>
      <c r="V59" s="19"/>
      <c r="W59" s="2"/>
      <c r="X59" s="2">
        <f t="shared" si="2"/>
        <v>26722.42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--3958.43</f>
        <v>3958.43</v>
      </c>
      <c r="E60" s="2"/>
      <c r="F60" s="19"/>
      <c r="G60" s="2"/>
      <c r="H60" s="2"/>
      <c r="I60" s="2"/>
      <c r="J60" s="19"/>
      <c r="K60" s="2"/>
      <c r="L60" s="2">
        <f t="shared" si="0"/>
        <v>3958.43</v>
      </c>
      <c r="M60" s="2"/>
      <c r="N60" s="19">
        <f t="shared" si="1"/>
        <v>0</v>
      </c>
      <c r="O60" s="11"/>
      <c r="P60" s="2">
        <f>--7768.8</f>
        <v>7768.8</v>
      </c>
      <c r="Q60" s="2"/>
      <c r="R60" s="19"/>
      <c r="S60" s="2"/>
      <c r="T60" s="2"/>
      <c r="U60" s="2"/>
      <c r="V60" s="19"/>
      <c r="W60" s="2"/>
      <c r="X60" s="2">
        <f t="shared" si="2"/>
        <v>7768.8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--3801.88</f>
        <v>3801.88</v>
      </c>
      <c r="E61" s="2"/>
      <c r="F61" s="19"/>
      <c r="G61" s="2"/>
      <c r="H61" s="2"/>
      <c r="I61" s="2"/>
      <c r="J61" s="19"/>
      <c r="K61" s="2"/>
      <c r="L61" s="2">
        <f t="shared" si="0"/>
        <v>3801.88</v>
      </c>
      <c r="M61" s="2"/>
      <c r="N61" s="19">
        <f t="shared" si="1"/>
        <v>0</v>
      </c>
      <c r="O61" s="11"/>
      <c r="P61" s="2">
        <f>--8466.86</f>
        <v>8466.86</v>
      </c>
      <c r="Q61" s="2"/>
      <c r="R61" s="19"/>
      <c r="S61" s="2"/>
      <c r="T61" s="2"/>
      <c r="U61" s="2"/>
      <c r="V61" s="19"/>
      <c r="W61" s="2"/>
      <c r="X61" s="2">
        <f t="shared" si="2"/>
        <v>8466.86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--17.9</f>
        <v>17.899999999999999</v>
      </c>
      <c r="E62" s="2"/>
      <c r="F62" s="19"/>
      <c r="G62" s="2"/>
      <c r="H62" s="2"/>
      <c r="I62" s="2"/>
      <c r="J62" s="19"/>
      <c r="K62" s="2"/>
      <c r="L62" s="2">
        <f t="shared" si="0"/>
        <v>17.899999999999999</v>
      </c>
      <c r="M62" s="2"/>
      <c r="N62" s="19">
        <f t="shared" si="1"/>
        <v>0</v>
      </c>
      <c r="O62" s="11"/>
      <c r="P62" s="2">
        <f>--103.96</f>
        <v>103.96</v>
      </c>
      <c r="Q62" s="2"/>
      <c r="R62" s="19"/>
      <c r="S62" s="2"/>
      <c r="T62" s="2"/>
      <c r="U62" s="2"/>
      <c r="V62" s="19"/>
      <c r="W62" s="2"/>
      <c r="X62" s="2">
        <f t="shared" si="2"/>
        <v>103.96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--2024.43</f>
        <v>2024.43</v>
      </c>
      <c r="E63" s="2"/>
      <c r="F63" s="19"/>
      <c r="G63" s="2"/>
      <c r="H63" s="2"/>
      <c r="I63" s="2"/>
      <c r="J63" s="19"/>
      <c r="K63" s="2"/>
      <c r="L63" s="2">
        <f t="shared" si="0"/>
        <v>2024.43</v>
      </c>
      <c r="M63" s="2"/>
      <c r="N63" s="19">
        <f t="shared" si="1"/>
        <v>0</v>
      </c>
      <c r="O63" s="11"/>
      <c r="P63" s="2">
        <f>--4265.3</f>
        <v>4265.3</v>
      </c>
      <c r="Q63" s="2"/>
      <c r="R63" s="19"/>
      <c r="S63" s="2"/>
      <c r="T63" s="2"/>
      <c r="U63" s="2"/>
      <c r="V63" s="19"/>
      <c r="W63" s="2"/>
      <c r="X63" s="2">
        <f t="shared" si="2"/>
        <v>4265.3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--4377.82</f>
        <v>4377.82</v>
      </c>
      <c r="E64" s="2"/>
      <c r="F64" s="19"/>
      <c r="G64" s="2"/>
      <c r="H64" s="2"/>
      <c r="I64" s="2"/>
      <c r="J64" s="19"/>
      <c r="K64" s="2"/>
      <c r="L64" s="2">
        <f t="shared" si="0"/>
        <v>4377.82</v>
      </c>
      <c r="M64" s="2"/>
      <c r="N64" s="19">
        <f t="shared" si="1"/>
        <v>0</v>
      </c>
      <c r="O64" s="11"/>
      <c r="P64" s="2">
        <f>--12635.52</f>
        <v>12635.52</v>
      </c>
      <c r="Q64" s="2"/>
      <c r="R64" s="19"/>
      <c r="S64" s="2"/>
      <c r="T64" s="2"/>
      <c r="U64" s="2"/>
      <c r="V64" s="19"/>
      <c r="W64" s="2"/>
      <c r="X64" s="2">
        <f t="shared" si="2"/>
        <v>12635.52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--581.29</f>
        <v>581.29</v>
      </c>
      <c r="E65" s="2"/>
      <c r="F65" s="19"/>
      <c r="G65" s="2"/>
      <c r="H65" s="2"/>
      <c r="I65" s="2"/>
      <c r="J65" s="19"/>
      <c r="K65" s="2"/>
      <c r="L65" s="2">
        <f t="shared" si="0"/>
        <v>581.29</v>
      </c>
      <c r="M65" s="2"/>
      <c r="N65" s="19">
        <f t="shared" si="1"/>
        <v>0</v>
      </c>
      <c r="O65" s="11"/>
      <c r="P65" s="2">
        <f>--1395.93</f>
        <v>1395.93</v>
      </c>
      <c r="Q65" s="2"/>
      <c r="R65" s="19"/>
      <c r="S65" s="2"/>
      <c r="T65" s="2"/>
      <c r="U65" s="2"/>
      <c r="V65" s="19"/>
      <c r="W65" s="2"/>
      <c r="X65" s="2">
        <f t="shared" si="2"/>
        <v>1395.93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--2883.11</f>
        <v>2883.11</v>
      </c>
      <c r="E66" s="2"/>
      <c r="F66" s="19"/>
      <c r="G66" s="2"/>
      <c r="H66" s="2"/>
      <c r="I66" s="2"/>
      <c r="J66" s="19"/>
      <c r="K66" s="2"/>
      <c r="L66" s="2">
        <f t="shared" si="0"/>
        <v>2883.11</v>
      </c>
      <c r="M66" s="2"/>
      <c r="N66" s="19">
        <f t="shared" si="1"/>
        <v>0</v>
      </c>
      <c r="O66" s="11"/>
      <c r="P66" s="2">
        <f>--5919.61</f>
        <v>5919.61</v>
      </c>
      <c r="Q66" s="2"/>
      <c r="R66" s="19"/>
      <c r="S66" s="2"/>
      <c r="T66" s="2"/>
      <c r="U66" s="2"/>
      <c r="V66" s="19"/>
      <c r="W66" s="2"/>
      <c r="X66" s="2">
        <f t="shared" si="2"/>
        <v>5919.61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--71.85</f>
        <v>71.849999999999994</v>
      </c>
      <c r="E67" s="2"/>
      <c r="F67" s="19"/>
      <c r="G67" s="2"/>
      <c r="H67" s="2"/>
      <c r="I67" s="2"/>
      <c r="J67" s="19"/>
      <c r="K67" s="2"/>
      <c r="L67" s="2">
        <f t="shared" si="0"/>
        <v>71.849999999999994</v>
      </c>
      <c r="M67" s="2"/>
      <c r="N67" s="19">
        <f t="shared" si="1"/>
        <v>0</v>
      </c>
      <c r="O67" s="11"/>
      <c r="P67" s="2">
        <f>--211.61</f>
        <v>211.61</v>
      </c>
      <c r="Q67" s="2"/>
      <c r="R67" s="19"/>
      <c r="S67" s="2"/>
      <c r="T67" s="2"/>
      <c r="U67" s="2"/>
      <c r="V67" s="19"/>
      <c r="W67" s="2"/>
      <c r="X67" s="2">
        <f t="shared" si="2"/>
        <v>211.61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0</f>
        <v>0</v>
      </c>
      <c r="E68" s="2"/>
      <c r="F68" s="19"/>
      <c r="G68" s="2"/>
      <c r="H68" s="2"/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--90</f>
        <v>90</v>
      </c>
      <c r="Q68" s="2"/>
      <c r="R68" s="19"/>
      <c r="S68" s="2"/>
      <c r="T68" s="2"/>
      <c r="U68" s="2"/>
      <c r="V68" s="19"/>
      <c r="W68" s="2"/>
      <c r="X68" s="2">
        <f t="shared" si="2"/>
        <v>90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--40316.8</f>
        <v>40316.800000000003</v>
      </c>
      <c r="E69" s="2"/>
      <c r="F69" s="19"/>
      <c r="G69" s="2"/>
      <c r="H69" s="2"/>
      <c r="I69" s="2"/>
      <c r="J69" s="19"/>
      <c r="K69" s="2"/>
      <c r="L69" s="2">
        <f t="shared" si="0"/>
        <v>40316.800000000003</v>
      </c>
      <c r="M69" s="2"/>
      <c r="N69" s="19">
        <f t="shared" si="1"/>
        <v>0</v>
      </c>
      <c r="O69" s="11"/>
      <c r="P69" s="2">
        <f>--90410.3</f>
        <v>90410.3</v>
      </c>
      <c r="Q69" s="2"/>
      <c r="R69" s="19"/>
      <c r="S69" s="2"/>
      <c r="T69" s="2"/>
      <c r="U69" s="2"/>
      <c r="V69" s="19"/>
      <c r="W69" s="2"/>
      <c r="X69" s="2">
        <f t="shared" si="2"/>
        <v>90410.3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-240</f>
        <v>-240</v>
      </c>
      <c r="E70" s="2"/>
      <c r="F70" s="19"/>
      <c r="G70" s="2"/>
      <c r="H70" s="2"/>
      <c r="I70" s="2"/>
      <c r="J70" s="19"/>
      <c r="K70" s="2"/>
      <c r="L70" s="2">
        <f t="shared" si="0"/>
        <v>-240</v>
      </c>
      <c r="M70" s="2"/>
      <c r="N70" s="19">
        <f t="shared" si="1"/>
        <v>0</v>
      </c>
      <c r="O70" s="11"/>
      <c r="P70" s="2">
        <f>--174.9</f>
        <v>174.9</v>
      </c>
      <c r="Q70" s="2"/>
      <c r="R70" s="19"/>
      <c r="S70" s="2"/>
      <c r="T70" s="2"/>
      <c r="U70" s="2"/>
      <c r="V70" s="19"/>
      <c r="W70" s="2"/>
      <c r="X70" s="2">
        <f t="shared" si="2"/>
        <v>174.9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--4.01</f>
        <v>4.01</v>
      </c>
      <c r="E71" s="2"/>
      <c r="F71" s="19"/>
      <c r="G71" s="2"/>
      <c r="H71" s="2"/>
      <c r="I71" s="2"/>
      <c r="J71" s="19"/>
      <c r="K71" s="2"/>
      <c r="L71" s="2">
        <f t="shared" si="0"/>
        <v>4.01</v>
      </c>
      <c r="M71" s="2"/>
      <c r="N71" s="19">
        <f t="shared" si="1"/>
        <v>0</v>
      </c>
      <c r="O71" s="11"/>
      <c r="P71" s="2">
        <f>-30.97</f>
        <v>-30.97</v>
      </c>
      <c r="Q71" s="2"/>
      <c r="R71" s="19"/>
      <c r="S71" s="2"/>
      <c r="T71" s="2"/>
      <c r="U71" s="2"/>
      <c r="V71" s="19"/>
      <c r="W71" s="2"/>
      <c r="X71" s="2">
        <f t="shared" si="2"/>
        <v>-30.97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-4543.92</f>
        <v>-4543.92</v>
      </c>
      <c r="E72" s="2"/>
      <c r="F72" s="19"/>
      <c r="G72" s="2"/>
      <c r="H72" s="2"/>
      <c r="I72" s="2"/>
      <c r="J72" s="19"/>
      <c r="K72" s="2"/>
      <c r="L72" s="2">
        <f t="shared" si="0"/>
        <v>-4543.92</v>
      </c>
      <c r="M72" s="2"/>
      <c r="N72" s="19">
        <f t="shared" si="1"/>
        <v>0</v>
      </c>
      <c r="O72" s="11"/>
      <c r="P72" s="2">
        <f>-77783.67</f>
        <v>-77783.67</v>
      </c>
      <c r="Q72" s="2"/>
      <c r="R72" s="19"/>
      <c r="S72" s="2"/>
      <c r="T72" s="2"/>
      <c r="U72" s="2"/>
      <c r="V72" s="19"/>
      <c r="W72" s="2"/>
      <c r="X72" s="2">
        <f t="shared" si="2"/>
        <v>-77783.67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-3577.9</f>
        <v>-3577.9</v>
      </c>
      <c r="E73" s="2"/>
      <c r="F73" s="19"/>
      <c r="G73" s="2"/>
      <c r="H73" s="2"/>
      <c r="I73" s="2"/>
      <c r="J73" s="19"/>
      <c r="K73" s="2"/>
      <c r="L73" s="2">
        <f t="shared" si="0"/>
        <v>-3577.9</v>
      </c>
      <c r="M73" s="2"/>
      <c r="N73" s="19">
        <f t="shared" si="1"/>
        <v>0</v>
      </c>
      <c r="O73" s="11"/>
      <c r="P73" s="2">
        <f>-26929</f>
        <v>-26929</v>
      </c>
      <c r="Q73" s="2"/>
      <c r="R73" s="19"/>
      <c r="S73" s="2"/>
      <c r="T73" s="2"/>
      <c r="U73" s="2"/>
      <c r="V73" s="19"/>
      <c r="W73" s="2"/>
      <c r="X73" s="2">
        <f t="shared" si="2"/>
        <v>-26929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/>
      <c r="U74" s="2"/>
      <c r="V74" s="19"/>
      <c r="W74" s="2"/>
      <c r="X74" s="2">
        <f t="shared" si="2"/>
        <v>-144.99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-193.34</f>
        <v>-193.34</v>
      </c>
      <c r="E75" s="2"/>
      <c r="F75" s="19"/>
      <c r="G75" s="2"/>
      <c r="H75" s="2"/>
      <c r="I75" s="2"/>
      <c r="J75" s="19"/>
      <c r="K75" s="2"/>
      <c r="L75" s="2">
        <f t="shared" si="0"/>
        <v>-193.34</v>
      </c>
      <c r="M75" s="2"/>
      <c r="N75" s="19">
        <f t="shared" si="1"/>
        <v>0</v>
      </c>
      <c r="O75" s="11"/>
      <c r="P75" s="2">
        <f>-11250.06</f>
        <v>-11250.06</v>
      </c>
      <c r="Q75" s="2"/>
      <c r="R75" s="19"/>
      <c r="S75" s="2"/>
      <c r="T75" s="2"/>
      <c r="U75" s="2"/>
      <c r="V75" s="19"/>
      <c r="W75" s="2"/>
      <c r="X75" s="2">
        <f t="shared" si="2"/>
        <v>-11250.06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-35.37</f>
        <v>-35.369999999999997</v>
      </c>
      <c r="E76" s="2"/>
      <c r="F76" s="19"/>
      <c r="G76" s="2"/>
      <c r="H76" s="2"/>
      <c r="I76" s="2"/>
      <c r="J76" s="19"/>
      <c r="K76" s="2"/>
      <c r="L76" s="2">
        <f t="shared" si="0"/>
        <v>-35.369999999999997</v>
      </c>
      <c r="M76" s="2"/>
      <c r="N76" s="19">
        <f t="shared" si="1"/>
        <v>0</v>
      </c>
      <c r="O76" s="11"/>
      <c r="P76" s="2">
        <f>-35.37</f>
        <v>-35.369999999999997</v>
      </c>
      <c r="Q76" s="2"/>
      <c r="R76" s="19"/>
      <c r="S76" s="2"/>
      <c r="T76" s="2"/>
      <c r="U76" s="2"/>
      <c r="V76" s="19"/>
      <c r="W76" s="2"/>
      <c r="X76" s="2">
        <f t="shared" si="2"/>
        <v>-35.369999999999997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"4217", " - ", "NON-TAXABLE SALES-DORM/HOUSEWA")</f>
        <v xml:space="preserve">          4217 - NON-TAXABLE SALES-DORM/HOUSEWA</v>
      </c>
      <c r="C77" s="11"/>
      <c r="D77" s="2">
        <f>-2.98</f>
        <v>-2.98</v>
      </c>
      <c r="E77" s="2"/>
      <c r="F77" s="19"/>
      <c r="G77" s="2"/>
      <c r="H77" s="2"/>
      <c r="I77" s="2"/>
      <c r="J77" s="19"/>
      <c r="K77" s="2"/>
      <c r="L77" s="2">
        <f t="shared" si="0"/>
        <v>-2.98</v>
      </c>
      <c r="M77" s="2"/>
      <c r="N77" s="19">
        <f t="shared" si="1"/>
        <v>0</v>
      </c>
      <c r="O77" s="11"/>
      <c r="P77" s="2">
        <f>-2.98</f>
        <v>-2.98</v>
      </c>
      <c r="Q77" s="2"/>
      <c r="R77" s="19"/>
      <c r="S77" s="2"/>
      <c r="T77" s="2"/>
      <c r="U77" s="2"/>
      <c r="V77" s="19"/>
      <c r="W77" s="2"/>
      <c r="X77" s="2">
        <f t="shared" si="2"/>
        <v>-2.98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-32.75</f>
        <v>-32.75</v>
      </c>
      <c r="Q78" s="2"/>
      <c r="R78" s="19"/>
      <c r="S78" s="2"/>
      <c r="T78" s="2"/>
      <c r="U78" s="2"/>
      <c r="V78" s="19"/>
      <c r="W78" s="2"/>
      <c r="X78" s="2">
        <f t="shared" si="2"/>
        <v>-32.75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>-8.45</f>
        <v>-8.4499999999999993</v>
      </c>
      <c r="E79" s="2"/>
      <c r="F79" s="19"/>
      <c r="G79" s="2"/>
      <c r="H79" s="2"/>
      <c r="I79" s="2"/>
      <c r="J79" s="19"/>
      <c r="K79" s="2"/>
      <c r="L79" s="2">
        <f t="shared" si="0"/>
        <v>-8.4499999999999993</v>
      </c>
      <c r="M79" s="2"/>
      <c r="N79" s="19">
        <f t="shared" si="1"/>
        <v>0</v>
      </c>
      <c r="O79" s="11"/>
      <c r="P79" s="2">
        <f>-41.55</f>
        <v>-41.55</v>
      </c>
      <c r="Q79" s="2"/>
      <c r="R79" s="19"/>
      <c r="S79" s="2"/>
      <c r="T79" s="2"/>
      <c r="U79" s="2"/>
      <c r="V79" s="19"/>
      <c r="W79" s="2"/>
      <c r="X79" s="2">
        <f t="shared" si="2"/>
        <v>-41.55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>-166.9</f>
        <v>-166.9</v>
      </c>
      <c r="E80" s="2"/>
      <c r="F80" s="19"/>
      <c r="G80" s="2"/>
      <c r="H80" s="2"/>
      <c r="I80" s="2"/>
      <c r="J80" s="19"/>
      <c r="K80" s="2"/>
      <c r="L80" s="2">
        <f t="shared" si="0"/>
        <v>-166.9</v>
      </c>
      <c r="M80" s="2"/>
      <c r="N80" s="19">
        <f t="shared" si="1"/>
        <v>0</v>
      </c>
      <c r="O80" s="11"/>
      <c r="P80" s="2">
        <f>-475.97</f>
        <v>-475.97</v>
      </c>
      <c r="Q80" s="2"/>
      <c r="R80" s="19"/>
      <c r="S80" s="2"/>
      <c r="T80" s="2"/>
      <c r="U80" s="2"/>
      <c r="V80" s="19"/>
      <c r="W80" s="2"/>
      <c r="X80" s="2">
        <f t="shared" si="2"/>
        <v>-475.97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-324.85</f>
        <v>-324.85000000000002</v>
      </c>
      <c r="E81" s="2"/>
      <c r="F81" s="19"/>
      <c r="G81" s="2"/>
      <c r="H81" s="2"/>
      <c r="I81" s="2"/>
      <c r="J81" s="19"/>
      <c r="K81" s="2"/>
      <c r="L81" s="2">
        <f t="shared" si="0"/>
        <v>-324.85000000000002</v>
      </c>
      <c r="M81" s="2"/>
      <c r="N81" s="19">
        <f t="shared" si="1"/>
        <v>0</v>
      </c>
      <c r="O81" s="11"/>
      <c r="P81" s="2">
        <f>-4826.48</f>
        <v>-4826.4799999999996</v>
      </c>
      <c r="Q81" s="2"/>
      <c r="R81" s="19"/>
      <c r="S81" s="2"/>
      <c r="T81" s="2"/>
      <c r="U81" s="2"/>
      <c r="V81" s="19"/>
      <c r="W81" s="2"/>
      <c r="X81" s="2">
        <f t="shared" si="2"/>
        <v>-4826.4799999999996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-502.99</f>
        <v>-502.99</v>
      </c>
      <c r="E82" s="2"/>
      <c r="F82" s="19"/>
      <c r="G82" s="2"/>
      <c r="H82" s="2"/>
      <c r="I82" s="2"/>
      <c r="J82" s="19"/>
      <c r="K82" s="2"/>
      <c r="L82" s="2">
        <f t="shared" si="0"/>
        <v>-502.99</v>
      </c>
      <c r="M82" s="2"/>
      <c r="N82" s="19">
        <f t="shared" si="1"/>
        <v>0</v>
      </c>
      <c r="O82" s="11"/>
      <c r="P82" s="2">
        <f>-2430.26</f>
        <v>-2430.2600000000002</v>
      </c>
      <c r="Q82" s="2"/>
      <c r="R82" s="19"/>
      <c r="S82" s="2"/>
      <c r="T82" s="2"/>
      <c r="U82" s="2"/>
      <c r="V82" s="19"/>
      <c r="W82" s="2"/>
      <c r="X82" s="2">
        <f t="shared" si="2"/>
        <v>-2430.2600000000002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"4240", " - ", "SALES RETURN TAXABLE-LOGO CLOT")</f>
        <v xml:space="preserve">          4240 - SALES RETURN TAXABLE-LOGO CLOT</v>
      </c>
      <c r="C83" s="11"/>
      <c r="D83" s="2">
        <f>-9501.82</f>
        <v>-9501.82</v>
      </c>
      <c r="E83" s="2"/>
      <c r="F83" s="19"/>
      <c r="G83" s="2"/>
      <c r="H83" s="2"/>
      <c r="I83" s="2"/>
      <c r="J83" s="19"/>
      <c r="K83" s="2"/>
      <c r="L83" s="2">
        <f t="shared" si="0"/>
        <v>-9501.82</v>
      </c>
      <c r="M83" s="2"/>
      <c r="N83" s="19">
        <f t="shared" si="1"/>
        <v>0</v>
      </c>
      <c r="O83" s="11"/>
      <c r="P83" s="2">
        <f>-30294.8</f>
        <v>-30294.799999999999</v>
      </c>
      <c r="Q83" s="2"/>
      <c r="R83" s="19"/>
      <c r="S83" s="2"/>
      <c r="T83" s="2"/>
      <c r="U83" s="2"/>
      <c r="V83" s="19"/>
      <c r="W83" s="2"/>
      <c r="X83" s="2">
        <f t="shared" si="2"/>
        <v>-30294.799999999999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"4241", " - ", "SALES RETURN TAXABLE-LOGO GIFT")</f>
        <v xml:space="preserve">          4241 - SALES RETURN TAXABLE-LOGO GIFT</v>
      </c>
      <c r="C84" s="11"/>
      <c r="D84" s="2">
        <f>-327.07</f>
        <v>-327.07</v>
      </c>
      <c r="E84" s="2"/>
      <c r="F84" s="19"/>
      <c r="G84" s="2"/>
      <c r="H84" s="2"/>
      <c r="I84" s="2"/>
      <c r="J84" s="19"/>
      <c r="K84" s="2"/>
      <c r="L84" s="2">
        <f t="shared" si="0"/>
        <v>-327.07</v>
      </c>
      <c r="M84" s="2"/>
      <c r="N84" s="19">
        <f t="shared" si="1"/>
        <v>0</v>
      </c>
      <c r="O84" s="11"/>
      <c r="P84" s="2">
        <f>-2717.95</f>
        <v>-2717.95</v>
      </c>
      <c r="Q84" s="2"/>
      <c r="R84" s="19"/>
      <c r="S84" s="2"/>
      <c r="T84" s="2"/>
      <c r="U84" s="2"/>
      <c r="V84" s="19"/>
      <c r="W84" s="2"/>
      <c r="X84" s="2">
        <f t="shared" si="2"/>
        <v>-2717.95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"4242", " - ", "SALES RETURN TAXABLE-EVERYDAY")</f>
        <v xml:space="preserve">          4242 - SALES RETURN TAXABLE-EVERYDAY</v>
      </c>
      <c r="C85" s="11"/>
      <c r="D85" s="2">
        <f>-165.1</f>
        <v>-165.1</v>
      </c>
      <c r="E85" s="2"/>
      <c r="F85" s="19"/>
      <c r="G85" s="2"/>
      <c r="H85" s="2"/>
      <c r="I85" s="2"/>
      <c r="J85" s="19"/>
      <c r="K85" s="2"/>
      <c r="L85" s="2">
        <f t="shared" si="0"/>
        <v>-165.1</v>
      </c>
      <c r="M85" s="2"/>
      <c r="N85" s="19">
        <f t="shared" si="1"/>
        <v>0</v>
      </c>
      <c r="O85" s="11"/>
      <c r="P85" s="2">
        <f>-1159.57</f>
        <v>-1159.57</v>
      </c>
      <c r="Q85" s="2"/>
      <c r="R85" s="19"/>
      <c r="S85" s="2"/>
      <c r="T85" s="2"/>
      <c r="U85" s="2"/>
      <c r="V85" s="19"/>
      <c r="W85" s="2"/>
      <c r="X85" s="2">
        <f t="shared" si="2"/>
        <v>-1159.57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"4243", " - ", "SALES RETURN TAXABLE-CARDS")</f>
        <v xml:space="preserve">          4243 - SALES RETURN TAXABLE-CARDS</v>
      </c>
      <c r="C86" s="11"/>
      <c r="D86" s="2">
        <f>0</f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-4.5</f>
        <v>-4.5</v>
      </c>
      <c r="Q86" s="2"/>
      <c r="R86" s="19"/>
      <c r="S86" s="2"/>
      <c r="T86" s="2"/>
      <c r="U86" s="2"/>
      <c r="V86" s="19"/>
      <c r="W86" s="2"/>
      <c r="X86" s="2">
        <f t="shared" si="2"/>
        <v>-4.5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"4244", " - ", "SALES RETURN TAXABLE-ACCESSORI")</f>
        <v xml:space="preserve">          4244 - SALES RETURN TAXABLE-ACCESSORI</v>
      </c>
      <c r="C87" s="11"/>
      <c r="D87" s="2">
        <f>-177.85</f>
        <v>-177.85</v>
      </c>
      <c r="E87" s="2"/>
      <c r="F87" s="19"/>
      <c r="G87" s="2"/>
      <c r="H87" s="2"/>
      <c r="I87" s="2"/>
      <c r="J87" s="19"/>
      <c r="K87" s="2"/>
      <c r="L87" s="2">
        <f t="shared" si="0"/>
        <v>-177.85</v>
      </c>
      <c r="M87" s="2"/>
      <c r="N87" s="19">
        <f t="shared" si="1"/>
        <v>0</v>
      </c>
      <c r="O87" s="11"/>
      <c r="P87" s="2">
        <f>-1432.36</f>
        <v>-1432.36</v>
      </c>
      <c r="Q87" s="2"/>
      <c r="R87" s="19"/>
      <c r="S87" s="2"/>
      <c r="T87" s="2"/>
      <c r="U87" s="2"/>
      <c r="V87" s="19"/>
      <c r="W87" s="2"/>
      <c r="X87" s="2">
        <f t="shared" si="2"/>
        <v>-1432.36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"4245", " - ", "SALES RETURN TAXABLE-SPECIAL O")</f>
        <v xml:space="preserve">          4245 - SALES RETURN TAXABLE-SPECIAL O</v>
      </c>
      <c r="C88" s="11"/>
      <c r="D88" s="2">
        <f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-91.96</f>
        <v>-91.96</v>
      </c>
      <c r="Q88" s="2"/>
      <c r="R88" s="19"/>
      <c r="S88" s="2"/>
      <c r="T88" s="2"/>
      <c r="U88" s="2"/>
      <c r="V88" s="19"/>
      <c r="W88" s="2"/>
      <c r="X88" s="2">
        <f t="shared" si="2"/>
        <v>-91.96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"4281", " - ", "SALES RETURN TAXABLE-ELECTRONI")</f>
        <v xml:space="preserve">          4281 - SALES RETURN TAXABLE-ELECTRONI</v>
      </c>
      <c r="C89" s="11"/>
      <c r="D89" s="2">
        <f>-19.99</f>
        <v>-19.989999999999998</v>
      </c>
      <c r="E89" s="2"/>
      <c r="F89" s="19"/>
      <c r="G89" s="2"/>
      <c r="H89" s="2"/>
      <c r="I89" s="2"/>
      <c r="J89" s="19"/>
      <c r="K89" s="2"/>
      <c r="L89" s="2">
        <f t="shared" si="0"/>
        <v>-19.989999999999998</v>
      </c>
      <c r="M89" s="2"/>
      <c r="N89" s="19">
        <f t="shared" si="1"/>
        <v>0</v>
      </c>
      <c r="O89" s="11"/>
      <c r="P89" s="2">
        <f>-44.98</f>
        <v>-44.98</v>
      </c>
      <c r="Q89" s="2"/>
      <c r="R89" s="19"/>
      <c r="S89" s="2"/>
      <c r="T89" s="2"/>
      <c r="U89" s="2"/>
      <c r="V89" s="19"/>
      <c r="W89" s="2"/>
      <c r="X89" s="2">
        <f t="shared" si="2"/>
        <v>-44.98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"4292", " - ", "SALES RETURN TAXABLE-GRAD MERC")</f>
        <v xml:space="preserve">          4292 - SALES RETURN TAXABLE-GRAD MERC</v>
      </c>
      <c r="C90" s="11"/>
      <c r="D90" s="2">
        <f>-39.95</f>
        <v>-39.950000000000003</v>
      </c>
      <c r="E90" s="2"/>
      <c r="F90" s="19"/>
      <c r="G90" s="2"/>
      <c r="H90" s="2"/>
      <c r="I90" s="2"/>
      <c r="J90" s="19"/>
      <c r="K90" s="2"/>
      <c r="L90" s="2">
        <f t="shared" si="0"/>
        <v>-39.950000000000003</v>
      </c>
      <c r="M90" s="2"/>
      <c r="N90" s="19">
        <f t="shared" si="1"/>
        <v>0</v>
      </c>
      <c r="O90" s="11"/>
      <c r="P90" s="2">
        <f>-409.1</f>
        <v>-409.1</v>
      </c>
      <c r="Q90" s="2"/>
      <c r="R90" s="19"/>
      <c r="S90" s="2"/>
      <c r="T90" s="2"/>
      <c r="U90" s="2"/>
      <c r="V90" s="19"/>
      <c r="W90" s="2"/>
      <c r="X90" s="2">
        <f t="shared" si="2"/>
        <v>-409.1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"4295", " - ", "SALES RETURN TAXABLE-CUSTOMER")</f>
        <v xml:space="preserve">          4295 - SALES RETURN TAXABLE-CUSTOMER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--0.99</f>
        <v>0.99</v>
      </c>
      <c r="Q91" s="2"/>
      <c r="R91" s="19"/>
      <c r="S91" s="2"/>
      <c r="T91" s="2"/>
      <c r="U91" s="2"/>
      <c r="V91" s="19"/>
      <c r="W91" s="2"/>
      <c r="X91" s="2">
        <f t="shared" si="2"/>
        <v>0.99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-5585.76</f>
        <v>-5585.76</v>
      </c>
      <c r="E92" s="2"/>
      <c r="F92" s="19"/>
      <c r="G92" s="2"/>
      <c r="H92" s="2"/>
      <c r="I92" s="2"/>
      <c r="J92" s="19"/>
      <c r="K92" s="2"/>
      <c r="L92" s="2">
        <f t="shared" si="0"/>
        <v>-5585.76</v>
      </c>
      <c r="M92" s="2"/>
      <c r="N92" s="19">
        <f t="shared" si="1"/>
        <v>0</v>
      </c>
      <c r="O92" s="11"/>
      <c r="P92" s="2">
        <f>-12310.98</f>
        <v>-12310.98</v>
      </c>
      <c r="Q92" s="2"/>
      <c r="R92" s="19"/>
      <c r="S92" s="2"/>
      <c r="T92" s="2"/>
      <c r="U92" s="2"/>
      <c r="V92" s="19"/>
      <c r="W92" s="2"/>
      <c r="X92" s="2">
        <f t="shared" si="2"/>
        <v>-12310.98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"4302", " - ", "SALES RETURN NON TAXABLE-TEXT")</f>
        <v xml:space="preserve">          4302 - SALES RETURN NON TAXABLE-TEXT</v>
      </c>
      <c r="C93" s="11"/>
      <c r="D93" s="2">
        <f>-35.1</f>
        <v>-35.1</v>
      </c>
      <c r="E93" s="2"/>
      <c r="F93" s="19"/>
      <c r="G93" s="2"/>
      <c r="H93" s="2"/>
      <c r="I93" s="2"/>
      <c r="J93" s="19"/>
      <c r="K93" s="2"/>
      <c r="L93" s="2">
        <f t="shared" si="0"/>
        <v>-35.1</v>
      </c>
      <c r="M93" s="2"/>
      <c r="N93" s="19">
        <f t="shared" si="1"/>
        <v>0</v>
      </c>
      <c r="O93" s="11"/>
      <c r="P93" s="2">
        <f>-683.8</f>
        <v>-683.8</v>
      </c>
      <c r="Q93" s="2"/>
      <c r="R93" s="19"/>
      <c r="S93" s="2"/>
      <c r="T93" s="2"/>
      <c r="U93" s="2"/>
      <c r="V93" s="19"/>
      <c r="W93" s="2"/>
      <c r="X93" s="2">
        <f t="shared" si="2"/>
        <v>-683.8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"4303", " - ", "SALES RETURN NON-TAXABLE-RENTA")</f>
        <v xml:space="preserve">          4303 - SALES RETURN NON-TAXABLE-RENTA</v>
      </c>
      <c r="C94" s="11"/>
      <c r="D94" s="2">
        <f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-184.99</f>
        <v>-184.99</v>
      </c>
      <c r="Q94" s="2"/>
      <c r="R94" s="19"/>
      <c r="S94" s="2"/>
      <c r="T94" s="2"/>
      <c r="U94" s="2"/>
      <c r="V94" s="19"/>
      <c r="W94" s="2"/>
      <c r="X94" s="2">
        <f t="shared" si="2"/>
        <v>-184.99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-617.98</f>
        <v>-617.98</v>
      </c>
      <c r="E95" s="2"/>
      <c r="F95" s="19"/>
      <c r="G95" s="2"/>
      <c r="H95" s="2"/>
      <c r="I95" s="2"/>
      <c r="J95" s="19"/>
      <c r="K95" s="2"/>
      <c r="L95" s="2">
        <f t="shared" si="0"/>
        <v>-617.98</v>
      </c>
      <c r="M95" s="2"/>
      <c r="N95" s="19">
        <f t="shared" si="1"/>
        <v>0</v>
      </c>
      <c r="O95" s="11"/>
      <c r="P95" s="2">
        <f>-13133.29</f>
        <v>-13133.29</v>
      </c>
      <c r="Q95" s="2"/>
      <c r="R95" s="19"/>
      <c r="S95" s="2"/>
      <c r="T95" s="2"/>
      <c r="U95" s="2"/>
      <c r="V95" s="19"/>
      <c r="W95" s="2"/>
      <c r="X95" s="2">
        <f t="shared" si="2"/>
        <v>-13133.29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"4311", " - ", "SALES RETURN NON TAXABLE-NO VA")</f>
        <v xml:space="preserve">          4311 - SALES RETURN NON TAXABLE-NO VA</v>
      </c>
      <c r="C96" s="11"/>
      <c r="D96" s="2">
        <f>-0.02</f>
        <v>-0.02</v>
      </c>
      <c r="E96" s="2"/>
      <c r="F96" s="19"/>
      <c r="G96" s="2"/>
      <c r="H96" s="2"/>
      <c r="I96" s="2"/>
      <c r="J96" s="19"/>
      <c r="K96" s="2"/>
      <c r="L96" s="2">
        <f t="shared" si="0"/>
        <v>-0.02</v>
      </c>
      <c r="M96" s="2"/>
      <c r="N96" s="19">
        <f t="shared" si="1"/>
        <v>0</v>
      </c>
      <c r="O96" s="11"/>
      <c r="P96" s="2">
        <f>-387.96</f>
        <v>-387.96</v>
      </c>
      <c r="Q96" s="2"/>
      <c r="R96" s="19"/>
      <c r="S96" s="2"/>
      <c r="T96" s="2"/>
      <c r="U96" s="2"/>
      <c r="V96" s="19"/>
      <c r="W96" s="2"/>
      <c r="X96" s="2">
        <f t="shared" si="2"/>
        <v>-387.96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"4327", " - ", "SALES RETURN NON TAXABLE-SCHOO")</f>
        <v xml:space="preserve">          4327 - SALES RETURN NON TAXABLE-SCHOO</v>
      </c>
      <c r="C97" s="11"/>
      <c r="D97" s="2">
        <f t="shared" ref="D97:D98" si="5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-21.87</f>
        <v>-21.87</v>
      </c>
      <c r="Q97" s="2"/>
      <c r="R97" s="19"/>
      <c r="S97" s="2"/>
      <c r="T97" s="2"/>
      <c r="U97" s="2"/>
      <c r="V97" s="19"/>
      <c r="W97" s="2"/>
      <c r="X97" s="2">
        <f t="shared" si="2"/>
        <v>-21.87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"4340", " - ", "SALES RETURN NON TAXABLE-LOGO")</f>
        <v xml:space="preserve">          4340 - SALES RETURN NON TAXABLE-LOGO</v>
      </c>
      <c r="C98" s="11"/>
      <c r="D98" s="2">
        <f t="shared" si="5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-293.45</f>
        <v>-293.45</v>
      </c>
      <c r="Q98" s="2"/>
      <c r="R98" s="19"/>
      <c r="S98" s="2"/>
      <c r="T98" s="2"/>
      <c r="U98" s="2"/>
      <c r="V98" s="19"/>
      <c r="W98" s="2"/>
      <c r="X98" s="2">
        <f t="shared" si="2"/>
        <v>-293.45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"4341", " - ", "SALES RETURN NON TAXABLE-LOGO")</f>
        <v xml:space="preserve">          4341 - SALES RETURN NON TAXABLE-LOGO</v>
      </c>
      <c r="C99" s="11"/>
      <c r="D99" s="2">
        <f>-6.95</f>
        <v>-6.95</v>
      </c>
      <c r="E99" s="2"/>
      <c r="F99" s="19"/>
      <c r="G99" s="2"/>
      <c r="H99" s="2"/>
      <c r="I99" s="2"/>
      <c r="J99" s="19"/>
      <c r="K99" s="2"/>
      <c r="L99" s="2">
        <f t="shared" si="0"/>
        <v>-6.95</v>
      </c>
      <c r="M99" s="2"/>
      <c r="N99" s="19">
        <f t="shared" si="1"/>
        <v>0</v>
      </c>
      <c r="O99" s="11"/>
      <c r="P99" s="2">
        <f>-10.9</f>
        <v>-10.9</v>
      </c>
      <c r="Q99" s="2"/>
      <c r="R99" s="19"/>
      <c r="S99" s="2"/>
      <c r="T99" s="2"/>
      <c r="U99" s="2"/>
      <c r="V99" s="19"/>
      <c r="W99" s="2"/>
      <c r="X99" s="2">
        <f t="shared" si="2"/>
        <v>-10.9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"4342", " - ", "SALES RETURN NON TAXABLE-EVERY")</f>
        <v xml:space="preserve">          4342 - SALES RETURN NON TAXABLE-EVERY</v>
      </c>
      <c r="C100" s="11"/>
      <c r="D100" s="2">
        <f>-92.85</f>
        <v>-92.85</v>
      </c>
      <c r="E100" s="2"/>
      <c r="F100" s="19"/>
      <c r="G100" s="2"/>
      <c r="H100" s="2"/>
      <c r="I100" s="2"/>
      <c r="J100" s="19"/>
      <c r="K100" s="2"/>
      <c r="L100" s="2">
        <f t="shared" si="0"/>
        <v>-92.85</v>
      </c>
      <c r="M100" s="2"/>
      <c r="N100" s="19">
        <f t="shared" si="1"/>
        <v>0</v>
      </c>
      <c r="O100" s="11"/>
      <c r="P100" s="2">
        <f>-102.85</f>
        <v>-102.85</v>
      </c>
      <c r="Q100" s="2"/>
      <c r="R100" s="19"/>
      <c r="S100" s="2"/>
      <c r="T100" s="2"/>
      <c r="U100" s="2"/>
      <c r="V100" s="19"/>
      <c r="W100" s="2"/>
      <c r="X100" s="2">
        <f t="shared" si="2"/>
        <v>-102.85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"4346", " - ", "SALES RETURN NON TAXABLE-COIN-")</f>
        <v xml:space="preserve">          4346 - SALES RETURN NON TAXABLE-COIN-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-8.15</f>
        <v>-8.15</v>
      </c>
      <c r="Q101" s="2"/>
      <c r="R101" s="19"/>
      <c r="S101" s="2"/>
      <c r="T101" s="2"/>
      <c r="U101" s="2"/>
      <c r="V101" s="19"/>
      <c r="W101" s="2"/>
      <c r="X101" s="2">
        <f t="shared" si="2"/>
        <v>-8.15</v>
      </c>
      <c r="Y101" s="2"/>
      <c r="Z101" s="19">
        <f t="shared" si="3"/>
        <v>0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collapsed="1" x14ac:dyDescent="0.25">
      <c r="A103" s="10"/>
      <c r="B103" s="29" t="s">
        <v>8</v>
      </c>
      <c r="C103" s="10"/>
      <c r="D103" s="4">
        <f>SUM(OSRRefD16x_0)</f>
        <v>213090.59999999995</v>
      </c>
      <c r="E103" s="4"/>
      <c r="F103" s="12">
        <f t="shared" ref="F103:F152" si="6">IF(D$12=0,0,D103/D$12)</f>
        <v>0.44503953675083907</v>
      </c>
      <c r="G103" s="4"/>
      <c r="H103" s="4">
        <f>SUM(OSRRefH16x_0)</f>
        <v>209485.45128000001</v>
      </c>
      <c r="I103" s="4"/>
      <c r="J103" s="12">
        <f t="shared" ref="J103:J152" si="7">IF(H$12=0,0,H103/H$12)</f>
        <v>0.43195672367088261</v>
      </c>
      <c r="K103" s="4"/>
      <c r="L103" s="4">
        <f t="shared" ref="L103:L152" si="8">+D103-H103</f>
        <v>3605.1487199999392</v>
      </c>
      <c r="M103" s="4"/>
      <c r="N103" s="12">
        <f t="shared" ref="N103:N152" si="9">IF(H103=0,0,L103/H103)</f>
        <v>1.7209542228215493E-2</v>
      </c>
      <c r="O103" s="10"/>
      <c r="P103" s="4">
        <f>SUM(OSRRefP16x_0)</f>
        <v>2815193.22</v>
      </c>
      <c r="Q103" s="4"/>
      <c r="R103" s="12">
        <f t="shared" ref="R103:R152" si="10">IF(P$12=0,0,P103/P$12)</f>
        <v>0.60924156628463277</v>
      </c>
      <c r="S103" s="4"/>
      <c r="T103" s="4">
        <f>SUM(OSRRefT16x_0)</f>
        <v>2942835.7184700002</v>
      </c>
      <c r="U103" s="4"/>
      <c r="V103" s="12">
        <f t="shared" ref="V103:V152" si="11">IF(T$12=0,0,T103/T$12)</f>
        <v>0.60238718471673958</v>
      </c>
      <c r="W103" s="4"/>
      <c r="X103" s="4">
        <f t="shared" ref="X103:X152" si="12">+P103-T103</f>
        <v>-127642.49846999999</v>
      </c>
      <c r="Y103" s="4"/>
      <c r="Z103" s="12">
        <f t="shared" ref="Z103:Z152" si="13">IF(T103=0,0,X103/T103)</f>
        <v>-4.3373980296923326E-2</v>
      </c>
    </row>
    <row r="104" spans="1:26" s="24" customFormat="1" hidden="1" outlineLevel="1" x14ac:dyDescent="0.25">
      <c r="A104" s="44"/>
      <c r="B104" s="11" t="str">
        <f>CONCATENATE("          ", "5000", " - ", "PURCHASES @ COST")</f>
        <v xml:space="preserve">          5000 - PURCHASES @ COST</v>
      </c>
      <c r="C104" s="11"/>
      <c r="D104" s="2"/>
      <c r="E104" s="2"/>
      <c r="F104" s="19">
        <f t="shared" si="6"/>
        <v>0</v>
      </c>
      <c r="G104" s="2"/>
      <c r="H104" s="2">
        <v>209485.45128000001</v>
      </c>
      <c r="I104" s="2"/>
      <c r="J104" s="19">
        <f t="shared" si="7"/>
        <v>0.43195672367088261</v>
      </c>
      <c r="K104" s="2"/>
      <c r="L104" s="2">
        <f t="shared" si="8"/>
        <v>-209485.45128000001</v>
      </c>
      <c r="M104" s="2"/>
      <c r="N104" s="19">
        <f t="shared" si="9"/>
        <v>-1</v>
      </c>
      <c r="O104" s="11"/>
      <c r="P104" s="2"/>
      <c r="Q104" s="2"/>
      <c r="R104" s="19">
        <f t="shared" si="10"/>
        <v>0</v>
      </c>
      <c r="S104" s="2"/>
      <c r="T104" s="2">
        <v>2942835.7184700002</v>
      </c>
      <c r="U104" s="2"/>
      <c r="V104" s="19">
        <f t="shared" si="11"/>
        <v>0.60238718471673958</v>
      </c>
      <c r="W104" s="2"/>
      <c r="X104" s="2">
        <f t="shared" si="12"/>
        <v>-2942835.7184700002</v>
      </c>
      <c r="Y104" s="2"/>
      <c r="Z104" s="19">
        <f t="shared" si="13"/>
        <v>-1</v>
      </c>
    </row>
    <row r="105" spans="1:26" s="24" customFormat="1" hidden="1" outlineLevel="1" x14ac:dyDescent="0.25">
      <c r="A105" s="44"/>
      <c r="B105" s="11" t="str">
        <f>CONCATENATE("          ", "5001", " - ", "PURCHASES @ COST-NEW TEXT")</f>
        <v xml:space="preserve">          5001 - PURCHASES @ COST-NEW TEXT</v>
      </c>
      <c r="C105" s="11"/>
      <c r="D105" s="2">
        <v>-175502.53</v>
      </c>
      <c r="E105" s="2"/>
      <c r="F105" s="19">
        <f t="shared" si="6"/>
        <v>-0.36653688454488492</v>
      </c>
      <c r="G105" s="2"/>
      <c r="H105" s="2"/>
      <c r="I105" s="2"/>
      <c r="J105" s="19">
        <f t="shared" si="7"/>
        <v>0</v>
      </c>
      <c r="K105" s="2"/>
      <c r="L105" s="2">
        <f t="shared" si="8"/>
        <v>-175502.53</v>
      </c>
      <c r="M105" s="2"/>
      <c r="N105" s="19">
        <f t="shared" si="9"/>
        <v>0</v>
      </c>
      <c r="O105" s="11"/>
      <c r="P105" s="2">
        <v>1757148.42</v>
      </c>
      <c r="Q105" s="2"/>
      <c r="R105" s="19">
        <f t="shared" si="10"/>
        <v>0.38026798586683425</v>
      </c>
      <c r="S105" s="2"/>
      <c r="T105" s="2"/>
      <c r="U105" s="2"/>
      <c r="V105" s="19">
        <f t="shared" si="11"/>
        <v>0</v>
      </c>
      <c r="W105" s="2"/>
      <c r="X105" s="2">
        <f t="shared" si="12"/>
        <v>1757148.42</v>
      </c>
      <c r="Y105" s="2"/>
      <c r="Z105" s="19">
        <f t="shared" si="13"/>
        <v>0</v>
      </c>
    </row>
    <row r="106" spans="1:26" s="24" customFormat="1" hidden="1" outlineLevel="1" x14ac:dyDescent="0.25">
      <c r="A106" s="44"/>
      <c r="B106" s="11" t="str">
        <f>CONCATENATE("          ", "5002", " - ", "PURCHASES @ COST-USED TEXT")</f>
        <v xml:space="preserve">          5002 - PURCHASES @ COST-USED TEXT</v>
      </c>
      <c r="C106" s="11"/>
      <c r="D106" s="2">
        <v>14221.93</v>
      </c>
      <c r="E106" s="2"/>
      <c r="F106" s="19">
        <f t="shared" si="6"/>
        <v>2.970248870153288E-2</v>
      </c>
      <c r="G106" s="2"/>
      <c r="H106" s="2"/>
      <c r="I106" s="2"/>
      <c r="J106" s="19">
        <f t="shared" si="7"/>
        <v>0</v>
      </c>
      <c r="K106" s="2"/>
      <c r="L106" s="2">
        <f t="shared" si="8"/>
        <v>14221.93</v>
      </c>
      <c r="M106" s="2"/>
      <c r="N106" s="19">
        <f t="shared" si="9"/>
        <v>0</v>
      </c>
      <c r="O106" s="11"/>
      <c r="P106" s="2">
        <v>368033.17</v>
      </c>
      <c r="Q106" s="2"/>
      <c r="R106" s="19">
        <f t="shared" si="10"/>
        <v>7.9646790615494054E-2</v>
      </c>
      <c r="S106" s="2"/>
      <c r="T106" s="2"/>
      <c r="U106" s="2"/>
      <c r="V106" s="19">
        <f t="shared" si="11"/>
        <v>0</v>
      </c>
      <c r="W106" s="2"/>
      <c r="X106" s="2">
        <f t="shared" si="12"/>
        <v>368033.17</v>
      </c>
      <c r="Y106" s="2"/>
      <c r="Z106" s="19">
        <f t="shared" si="13"/>
        <v>0</v>
      </c>
    </row>
    <row r="107" spans="1:26" s="24" customFormat="1" hidden="1" outlineLevel="1" x14ac:dyDescent="0.25">
      <c r="A107" s="44"/>
      <c r="B107" s="11" t="str">
        <f>CONCATENATE("          ", "5003", " - ", "PURCHASES @ COST-RENTAL TEXT")</f>
        <v xml:space="preserve">          5003 - PURCHASES @ COST-RENTAL TEXT</v>
      </c>
      <c r="C107" s="11"/>
      <c r="D107" s="2"/>
      <c r="E107" s="2"/>
      <c r="F107" s="19">
        <f t="shared" si="6"/>
        <v>0</v>
      </c>
      <c r="G107" s="2"/>
      <c r="H107" s="2"/>
      <c r="I107" s="2"/>
      <c r="J107" s="19">
        <f t="shared" si="7"/>
        <v>0</v>
      </c>
      <c r="K107" s="2"/>
      <c r="L107" s="2">
        <f t="shared" si="8"/>
        <v>0</v>
      </c>
      <c r="M107" s="2"/>
      <c r="N107" s="19">
        <f t="shared" si="9"/>
        <v>0</v>
      </c>
      <c r="O107" s="11"/>
      <c r="P107" s="2">
        <v>-78.400000000000006</v>
      </c>
      <c r="Q107" s="2"/>
      <c r="R107" s="19">
        <f t="shared" si="10"/>
        <v>-1.6966699996782177E-5</v>
      </c>
      <c r="S107" s="2"/>
      <c r="T107" s="2"/>
      <c r="U107" s="2"/>
      <c r="V107" s="19">
        <f t="shared" si="11"/>
        <v>0</v>
      </c>
      <c r="W107" s="2"/>
      <c r="X107" s="2">
        <f t="shared" si="12"/>
        <v>-78.400000000000006</v>
      </c>
      <c r="Y107" s="2"/>
      <c r="Z107" s="19">
        <f t="shared" si="13"/>
        <v>0</v>
      </c>
    </row>
    <row r="108" spans="1:26" s="24" customFormat="1" hidden="1" outlineLevel="1" x14ac:dyDescent="0.25">
      <c r="A108" s="44"/>
      <c r="B108" s="11" t="str">
        <f>CONCATENATE("          ", "5004", " - ", "PURCHASES @ COST-DIGITAL TEXT")</f>
        <v xml:space="preserve">          5004 - PURCHASES @ COST-DIGITAL TEXT</v>
      </c>
      <c r="C108" s="11"/>
      <c r="D108" s="2">
        <v>-30949.360000000001</v>
      </c>
      <c r="E108" s="2"/>
      <c r="F108" s="19">
        <f t="shared" si="6"/>
        <v>-6.4637712020778726E-2</v>
      </c>
      <c r="G108" s="2"/>
      <c r="H108" s="2"/>
      <c r="I108" s="2"/>
      <c r="J108" s="19">
        <f t="shared" si="7"/>
        <v>0</v>
      </c>
      <c r="K108" s="2"/>
      <c r="L108" s="2">
        <f t="shared" si="8"/>
        <v>-30949.360000000001</v>
      </c>
      <c r="M108" s="2"/>
      <c r="N108" s="19">
        <f t="shared" si="9"/>
        <v>0</v>
      </c>
      <c r="O108" s="11"/>
      <c r="P108" s="2">
        <v>322779.02999999997</v>
      </c>
      <c r="Q108" s="2"/>
      <c r="R108" s="19">
        <f t="shared" si="10"/>
        <v>6.9853252133448382E-2</v>
      </c>
      <c r="S108" s="2"/>
      <c r="T108" s="2"/>
      <c r="U108" s="2"/>
      <c r="V108" s="19">
        <f t="shared" si="11"/>
        <v>0</v>
      </c>
      <c r="W108" s="2"/>
      <c r="X108" s="2">
        <f t="shared" si="12"/>
        <v>322779.02999999997</v>
      </c>
      <c r="Y108" s="2"/>
      <c r="Z108" s="19">
        <f t="shared" si="13"/>
        <v>0</v>
      </c>
    </row>
    <row r="109" spans="1:26" s="24" customFormat="1" hidden="1" outlineLevel="1" x14ac:dyDescent="0.25">
      <c r="A109" s="44"/>
      <c r="B109" s="11" t="str">
        <f>CONCATENATE("          ", "5011", " - ", "PURCHASES @ COST-NO VALUE TEXT")</f>
        <v xml:space="preserve">          5011 - PURCHASES @ COST-NO VALUE TEXT</v>
      </c>
      <c r="C109" s="11"/>
      <c r="D109" s="2">
        <v>90</v>
      </c>
      <c r="E109" s="2"/>
      <c r="F109" s="19">
        <f t="shared" si="6"/>
        <v>1.8796492340617338E-4</v>
      </c>
      <c r="G109" s="2"/>
      <c r="H109" s="2"/>
      <c r="I109" s="2"/>
      <c r="J109" s="19">
        <f t="shared" si="7"/>
        <v>0</v>
      </c>
      <c r="K109" s="2"/>
      <c r="L109" s="2">
        <f t="shared" si="8"/>
        <v>90</v>
      </c>
      <c r="M109" s="2"/>
      <c r="N109" s="19">
        <f t="shared" si="9"/>
        <v>0</v>
      </c>
      <c r="O109" s="11"/>
      <c r="P109" s="2">
        <v>3675</v>
      </c>
      <c r="Q109" s="2"/>
      <c r="R109" s="19">
        <f t="shared" si="10"/>
        <v>7.9531406234916444E-4</v>
      </c>
      <c r="S109" s="2"/>
      <c r="T109" s="2"/>
      <c r="U109" s="2"/>
      <c r="V109" s="19">
        <f t="shared" si="11"/>
        <v>0</v>
      </c>
      <c r="W109" s="2"/>
      <c r="X109" s="2">
        <f t="shared" si="12"/>
        <v>3675</v>
      </c>
      <c r="Y109" s="2"/>
      <c r="Z109" s="19">
        <f t="shared" si="13"/>
        <v>0</v>
      </c>
    </row>
    <row r="110" spans="1:26" s="24" customFormat="1" hidden="1" outlineLevel="1" x14ac:dyDescent="0.25">
      <c r="A110" s="44"/>
      <c r="B110" s="11" t="str">
        <f>CONCATENATE("          ", "5013", " - ", "PURCHASES @ COST-TRADE BOOKS")</f>
        <v xml:space="preserve">          5013 - PURCHASES @ COST-TRADE BOOKS</v>
      </c>
      <c r="C110" s="11"/>
      <c r="D110" s="2">
        <v>212.56</v>
      </c>
      <c r="E110" s="2"/>
      <c r="F110" s="19">
        <f t="shared" si="6"/>
        <v>4.4393137910240236E-4</v>
      </c>
      <c r="G110" s="2"/>
      <c r="H110" s="2"/>
      <c r="I110" s="2"/>
      <c r="J110" s="19">
        <f t="shared" si="7"/>
        <v>0</v>
      </c>
      <c r="K110" s="2"/>
      <c r="L110" s="2">
        <f t="shared" si="8"/>
        <v>212.56</v>
      </c>
      <c r="M110" s="2"/>
      <c r="N110" s="19">
        <f t="shared" si="9"/>
        <v>0</v>
      </c>
      <c r="O110" s="11"/>
      <c r="P110" s="2">
        <v>687.35</v>
      </c>
      <c r="Q110" s="2"/>
      <c r="R110" s="19">
        <f t="shared" si="10"/>
        <v>1.4875078115801312E-4</v>
      </c>
      <c r="S110" s="2"/>
      <c r="T110" s="2"/>
      <c r="U110" s="2"/>
      <c r="V110" s="19">
        <f t="shared" si="11"/>
        <v>0</v>
      </c>
      <c r="W110" s="2"/>
      <c r="X110" s="2">
        <f t="shared" si="12"/>
        <v>687.35</v>
      </c>
      <c r="Y110" s="2"/>
      <c r="Z110" s="19">
        <f t="shared" si="13"/>
        <v>0</v>
      </c>
    </row>
    <row r="111" spans="1:26" s="24" customFormat="1" hidden="1" outlineLevel="1" x14ac:dyDescent="0.25">
      <c r="A111" s="44"/>
      <c r="B111" s="11" t="str">
        <f>CONCATENATE("          ", "5014", " - ", "PURCHASES @ COST-REMAINDERS")</f>
        <v xml:space="preserve">          5014 - PURCHASES @ COST-REMAINDERS</v>
      </c>
      <c r="C111" s="11"/>
      <c r="D111" s="2">
        <v>52</v>
      </c>
      <c r="E111" s="2"/>
      <c r="F111" s="19">
        <f t="shared" si="6"/>
        <v>1.0860195574578906E-4</v>
      </c>
      <c r="G111" s="2"/>
      <c r="H111" s="2"/>
      <c r="I111" s="2"/>
      <c r="J111" s="19">
        <f t="shared" si="7"/>
        <v>0</v>
      </c>
      <c r="K111" s="2"/>
      <c r="L111" s="2">
        <f t="shared" si="8"/>
        <v>52</v>
      </c>
      <c r="M111" s="2"/>
      <c r="N111" s="19">
        <f t="shared" si="9"/>
        <v>0</v>
      </c>
      <c r="O111" s="11"/>
      <c r="P111" s="2">
        <v>341.97</v>
      </c>
      <c r="Q111" s="2"/>
      <c r="R111" s="19">
        <f t="shared" si="10"/>
        <v>7.400640813647451E-5</v>
      </c>
      <c r="S111" s="2"/>
      <c r="T111" s="2"/>
      <c r="U111" s="2"/>
      <c r="V111" s="19">
        <f t="shared" si="11"/>
        <v>0</v>
      </c>
      <c r="W111" s="2"/>
      <c r="X111" s="2">
        <f t="shared" si="12"/>
        <v>341.97</v>
      </c>
      <c r="Y111" s="2"/>
      <c r="Z111" s="19">
        <f t="shared" si="13"/>
        <v>0</v>
      </c>
    </row>
    <row r="112" spans="1:26" s="24" customFormat="1" hidden="1" outlineLevel="1" x14ac:dyDescent="0.25">
      <c r="A112" s="44"/>
      <c r="B112" s="11" t="str">
        <f>CONCATENATE("          ", "5017", " - ", "PURCHASES @ COST-DORM/HOUSEWAR")</f>
        <v xml:space="preserve">          5017 - PURCHASES @ COST-DORM/HOUSEWAR</v>
      </c>
      <c r="C112" s="11"/>
      <c r="D112" s="2"/>
      <c r="E112" s="2"/>
      <c r="F112" s="19">
        <f t="shared" si="6"/>
        <v>0</v>
      </c>
      <c r="G112" s="2"/>
      <c r="H112" s="2"/>
      <c r="I112" s="2"/>
      <c r="J112" s="19">
        <f t="shared" si="7"/>
        <v>0</v>
      </c>
      <c r="K112" s="2"/>
      <c r="L112" s="2">
        <f t="shared" si="8"/>
        <v>0</v>
      </c>
      <c r="M112" s="2"/>
      <c r="N112" s="19">
        <f t="shared" si="9"/>
        <v>0</v>
      </c>
      <c r="O112" s="11"/>
      <c r="P112" s="2">
        <v>0</v>
      </c>
      <c r="Q112" s="2"/>
      <c r="R112" s="19">
        <f t="shared" si="10"/>
        <v>0</v>
      </c>
      <c r="S112" s="2"/>
      <c r="T112" s="2"/>
      <c r="U112" s="2"/>
      <c r="V112" s="19">
        <f t="shared" si="11"/>
        <v>0</v>
      </c>
      <c r="W112" s="2"/>
      <c r="X112" s="2">
        <f t="shared" si="12"/>
        <v>0</v>
      </c>
      <c r="Y112" s="2"/>
      <c r="Z112" s="19">
        <f t="shared" si="13"/>
        <v>0</v>
      </c>
    </row>
    <row r="113" spans="1:26" s="24" customFormat="1" hidden="1" outlineLevel="1" x14ac:dyDescent="0.25">
      <c r="A113" s="44"/>
      <c r="B113" s="11" t="str">
        <f>CONCATENATE("          ", "5018", " - ", "PURCHASES @ COST-STUDY GUIDES")</f>
        <v xml:space="preserve">          5018 - PURCHASES @ COST-STUDY GUIDES</v>
      </c>
      <c r="C113" s="11"/>
      <c r="D113" s="2">
        <v>298.16000000000003</v>
      </c>
      <c r="E113" s="2"/>
      <c r="F113" s="19">
        <f t="shared" si="6"/>
        <v>6.2270690625316279E-4</v>
      </c>
      <c r="G113" s="2"/>
      <c r="H113" s="2"/>
      <c r="I113" s="2"/>
      <c r="J113" s="19">
        <f t="shared" si="7"/>
        <v>0</v>
      </c>
      <c r="K113" s="2"/>
      <c r="L113" s="2">
        <f t="shared" si="8"/>
        <v>298.16000000000003</v>
      </c>
      <c r="M113" s="2"/>
      <c r="N113" s="19">
        <f t="shared" si="9"/>
        <v>0</v>
      </c>
      <c r="O113" s="11"/>
      <c r="P113" s="2">
        <v>802.09</v>
      </c>
      <c r="Q113" s="2"/>
      <c r="R113" s="19">
        <f t="shared" si="10"/>
        <v>1.7358189286248744E-4</v>
      </c>
      <c r="S113" s="2"/>
      <c r="T113" s="2"/>
      <c r="U113" s="2"/>
      <c r="V113" s="19">
        <f t="shared" si="11"/>
        <v>0</v>
      </c>
      <c r="W113" s="2"/>
      <c r="X113" s="2">
        <f t="shared" si="12"/>
        <v>802.09</v>
      </c>
      <c r="Y113" s="2"/>
      <c r="Z113" s="19">
        <f t="shared" si="13"/>
        <v>0</v>
      </c>
    </row>
    <row r="114" spans="1:26" s="24" customFormat="1" hidden="1" outlineLevel="1" x14ac:dyDescent="0.25">
      <c r="A114" s="44"/>
      <c r="B114" s="11" t="str">
        <f>CONCATENATE("          ", "5025", " - ", "PURCHASES @ COST-TEST FORMS")</f>
        <v xml:space="preserve">          5025 - PURCHASES @ COST-TEST FORMS</v>
      </c>
      <c r="C114" s="11"/>
      <c r="D114" s="2">
        <v>0</v>
      </c>
      <c r="E114" s="2"/>
      <c r="F114" s="19">
        <f t="shared" si="6"/>
        <v>0</v>
      </c>
      <c r="G114" s="2"/>
      <c r="H114" s="2"/>
      <c r="I114" s="2"/>
      <c r="J114" s="19">
        <f t="shared" si="7"/>
        <v>0</v>
      </c>
      <c r="K114" s="2"/>
      <c r="L114" s="2">
        <f t="shared" si="8"/>
        <v>0</v>
      </c>
      <c r="M114" s="2"/>
      <c r="N114" s="19">
        <f t="shared" si="9"/>
        <v>0</v>
      </c>
      <c r="O114" s="11"/>
      <c r="P114" s="2">
        <v>3252.39</v>
      </c>
      <c r="Q114" s="2"/>
      <c r="R114" s="19">
        <f t="shared" si="10"/>
        <v>7.0385619135885692E-4</v>
      </c>
      <c r="S114" s="2"/>
      <c r="T114" s="2"/>
      <c r="U114" s="2"/>
      <c r="V114" s="19">
        <f t="shared" si="11"/>
        <v>0</v>
      </c>
      <c r="W114" s="2"/>
      <c r="X114" s="2">
        <f t="shared" si="12"/>
        <v>3252.39</v>
      </c>
      <c r="Y114" s="2"/>
      <c r="Z114" s="19">
        <f t="shared" si="13"/>
        <v>0</v>
      </c>
    </row>
    <row r="115" spans="1:26" s="24" customFormat="1" hidden="1" outlineLevel="1" x14ac:dyDescent="0.25">
      <c r="A115" s="44"/>
      <c r="B115" s="11" t="str">
        <f>CONCATENATE("          ", "5026", " - ", "PURCHASES @ COST-WRITING INSTR")</f>
        <v xml:space="preserve">          5026 - PURCHASES @ COST-WRITING INSTR</v>
      </c>
      <c r="C115" s="11"/>
      <c r="D115" s="2">
        <v>10530.19</v>
      </c>
      <c r="E115" s="2"/>
      <c r="F115" s="19">
        <f t="shared" si="6"/>
        <v>2.1992292853360587E-2</v>
      </c>
      <c r="G115" s="2"/>
      <c r="H115" s="2"/>
      <c r="I115" s="2"/>
      <c r="J115" s="19">
        <f t="shared" si="7"/>
        <v>0</v>
      </c>
      <c r="K115" s="2"/>
      <c r="L115" s="2">
        <f t="shared" si="8"/>
        <v>10530.19</v>
      </c>
      <c r="M115" s="2"/>
      <c r="N115" s="19">
        <f t="shared" si="9"/>
        <v>0</v>
      </c>
      <c r="O115" s="11"/>
      <c r="P115" s="2">
        <v>25317.57</v>
      </c>
      <c r="Q115" s="2"/>
      <c r="R115" s="19">
        <f t="shared" si="10"/>
        <v>5.4790256994583231E-3</v>
      </c>
      <c r="S115" s="2"/>
      <c r="T115" s="2"/>
      <c r="U115" s="2"/>
      <c r="V115" s="19">
        <f t="shared" si="11"/>
        <v>0</v>
      </c>
      <c r="W115" s="2"/>
      <c r="X115" s="2">
        <f t="shared" si="12"/>
        <v>25317.57</v>
      </c>
      <c r="Y115" s="2"/>
      <c r="Z115" s="19">
        <f t="shared" si="13"/>
        <v>0</v>
      </c>
    </row>
    <row r="116" spans="1:26" s="24" customFormat="1" hidden="1" outlineLevel="1" x14ac:dyDescent="0.25">
      <c r="A116" s="44"/>
      <c r="B116" s="11" t="str">
        <f>CONCATENATE("          ", "5027", " - ", "PURCHASES @ COST-SCHOOL SUPPLI")</f>
        <v xml:space="preserve">          5027 - PURCHASES @ COST-SCHOOL SUPPLI</v>
      </c>
      <c r="C116" s="11"/>
      <c r="D116" s="2">
        <v>9839.7000000000007</v>
      </c>
      <c r="E116" s="2"/>
      <c r="F116" s="19">
        <f t="shared" si="6"/>
        <v>2.0550205075996936E-2</v>
      </c>
      <c r="G116" s="2"/>
      <c r="H116" s="2"/>
      <c r="I116" s="2"/>
      <c r="J116" s="19">
        <f t="shared" si="7"/>
        <v>0</v>
      </c>
      <c r="K116" s="2"/>
      <c r="L116" s="2">
        <f t="shared" si="8"/>
        <v>9839.7000000000007</v>
      </c>
      <c r="M116" s="2"/>
      <c r="N116" s="19">
        <f t="shared" si="9"/>
        <v>0</v>
      </c>
      <c r="O116" s="11"/>
      <c r="P116" s="2">
        <v>72022.38</v>
      </c>
      <c r="Q116" s="2"/>
      <c r="R116" s="19">
        <f t="shared" si="10"/>
        <v>1.5586506562681693E-2</v>
      </c>
      <c r="S116" s="2"/>
      <c r="T116" s="2"/>
      <c r="U116" s="2"/>
      <c r="V116" s="19">
        <f t="shared" si="11"/>
        <v>0</v>
      </c>
      <c r="W116" s="2"/>
      <c r="X116" s="2">
        <f t="shared" si="12"/>
        <v>72022.38</v>
      </c>
      <c r="Y116" s="2"/>
      <c r="Z116" s="19">
        <f t="shared" si="13"/>
        <v>0</v>
      </c>
    </row>
    <row r="117" spans="1:26" s="24" customFormat="1" hidden="1" outlineLevel="1" x14ac:dyDescent="0.25">
      <c r="A117" s="44"/>
      <c r="B117" s="11" t="str">
        <f>CONCATENATE("          ", "5028", " - ", "PURCHASES @ COST-ART/TECH")</f>
        <v xml:space="preserve">          5028 - PURCHASES @ COST-ART/TECH</v>
      </c>
      <c r="C117" s="11"/>
      <c r="D117" s="2">
        <v>19494.289999999997</v>
      </c>
      <c r="E117" s="2"/>
      <c r="F117" s="19">
        <f t="shared" si="6"/>
        <v>4.0713808074530344E-2</v>
      </c>
      <c r="G117" s="2"/>
      <c r="H117" s="2"/>
      <c r="I117" s="2"/>
      <c r="J117" s="19">
        <f t="shared" si="7"/>
        <v>0</v>
      </c>
      <c r="K117" s="2"/>
      <c r="L117" s="2">
        <f t="shared" si="8"/>
        <v>19494.289999999997</v>
      </c>
      <c r="M117" s="2"/>
      <c r="N117" s="19">
        <f t="shared" si="9"/>
        <v>0</v>
      </c>
      <c r="O117" s="11"/>
      <c r="P117" s="2">
        <v>90339.069999999992</v>
      </c>
      <c r="Q117" s="2"/>
      <c r="R117" s="19">
        <f t="shared" si="10"/>
        <v>1.9550457891304905E-2</v>
      </c>
      <c r="S117" s="2"/>
      <c r="T117" s="2"/>
      <c r="U117" s="2"/>
      <c r="V117" s="19">
        <f t="shared" si="11"/>
        <v>0</v>
      </c>
      <c r="W117" s="2"/>
      <c r="X117" s="2">
        <f t="shared" si="12"/>
        <v>90339.069999999992</v>
      </c>
      <c r="Y117" s="2"/>
      <c r="Z117" s="19">
        <f t="shared" si="13"/>
        <v>0</v>
      </c>
    </row>
    <row r="118" spans="1:26" s="24" customFormat="1" hidden="1" outlineLevel="1" x14ac:dyDescent="0.25">
      <c r="A118" s="44"/>
      <c r="B118" s="11" t="str">
        <f>CONCATENATE("          ", "5031", " - ", "PURCHASES @ COST-FOOD")</f>
        <v xml:space="preserve">          5031 - PURCHASES @ COST-FOOD</v>
      </c>
      <c r="C118" s="11"/>
      <c r="D118" s="2">
        <v>7839.04</v>
      </c>
      <c r="E118" s="2"/>
      <c r="F118" s="19">
        <f t="shared" si="6"/>
        <v>1.6371828368643659E-2</v>
      </c>
      <c r="G118" s="2"/>
      <c r="H118" s="2"/>
      <c r="I118" s="2"/>
      <c r="J118" s="19">
        <f t="shared" si="7"/>
        <v>0</v>
      </c>
      <c r="K118" s="2"/>
      <c r="L118" s="2">
        <f t="shared" si="8"/>
        <v>7839.04</v>
      </c>
      <c r="M118" s="2"/>
      <c r="N118" s="19">
        <f t="shared" si="9"/>
        <v>0</v>
      </c>
      <c r="O118" s="11"/>
      <c r="P118" s="2">
        <v>15989.089999999998</v>
      </c>
      <c r="Q118" s="2"/>
      <c r="R118" s="19">
        <f t="shared" si="10"/>
        <v>3.4602307812697688E-3</v>
      </c>
      <c r="S118" s="2"/>
      <c r="T118" s="2"/>
      <c r="U118" s="2"/>
      <c r="V118" s="19">
        <f t="shared" si="11"/>
        <v>0</v>
      </c>
      <c r="W118" s="2"/>
      <c r="X118" s="2">
        <f t="shared" si="12"/>
        <v>15989.089999999998</v>
      </c>
      <c r="Y118" s="2"/>
      <c r="Z118" s="19">
        <f t="shared" si="13"/>
        <v>0</v>
      </c>
    </row>
    <row r="119" spans="1:26" s="24" customFormat="1" hidden="1" outlineLevel="1" x14ac:dyDescent="0.25">
      <c r="A119" s="44"/>
      <c r="B119" s="11" t="str">
        <f>CONCATENATE("          ", "5032", " - ", "PURCHASES @ COST-JUICE")</f>
        <v xml:space="preserve">          5032 - PURCHASES @ COST-JUICE</v>
      </c>
      <c r="C119" s="11"/>
      <c r="D119" s="2">
        <v>2565.13</v>
      </c>
      <c r="E119" s="2"/>
      <c r="F119" s="19">
        <f t="shared" si="6"/>
        <v>5.357271821965306E-3</v>
      </c>
      <c r="G119" s="2"/>
      <c r="H119" s="2"/>
      <c r="I119" s="2"/>
      <c r="J119" s="19">
        <f t="shared" si="7"/>
        <v>0</v>
      </c>
      <c r="K119" s="2"/>
      <c r="L119" s="2">
        <f t="shared" si="8"/>
        <v>2565.13</v>
      </c>
      <c r="M119" s="2"/>
      <c r="N119" s="19">
        <f t="shared" si="9"/>
        <v>0</v>
      </c>
      <c r="O119" s="11"/>
      <c r="P119" s="2">
        <v>3384.28</v>
      </c>
      <c r="Q119" s="2"/>
      <c r="R119" s="19">
        <f t="shared" si="10"/>
        <v>7.3239876868762732E-4</v>
      </c>
      <c r="S119" s="2"/>
      <c r="T119" s="2"/>
      <c r="U119" s="2"/>
      <c r="V119" s="19">
        <f t="shared" si="11"/>
        <v>0</v>
      </c>
      <c r="W119" s="2"/>
      <c r="X119" s="2">
        <f t="shared" si="12"/>
        <v>3384.28</v>
      </c>
      <c r="Y119" s="2"/>
      <c r="Z119" s="19">
        <f t="shared" si="13"/>
        <v>0</v>
      </c>
    </row>
    <row r="120" spans="1:26" s="24" customFormat="1" hidden="1" outlineLevel="1" x14ac:dyDescent="0.25">
      <c r="A120" s="44"/>
      <c r="B120" s="11" t="str">
        <f>CONCATENATE("          ", "5033", " - ", "PURCHASES @ COST-CANDY")</f>
        <v xml:space="preserve">          5033 - PURCHASES @ COST-CANDY</v>
      </c>
      <c r="C120" s="11"/>
      <c r="D120" s="2">
        <v>2102.09</v>
      </c>
      <c r="E120" s="2"/>
      <c r="F120" s="19">
        <f t="shared" si="6"/>
        <v>4.3902131760320331E-3</v>
      </c>
      <c r="G120" s="2"/>
      <c r="H120" s="2"/>
      <c r="I120" s="2"/>
      <c r="J120" s="19">
        <f t="shared" si="7"/>
        <v>0</v>
      </c>
      <c r="K120" s="2"/>
      <c r="L120" s="2">
        <f t="shared" si="8"/>
        <v>2102.09</v>
      </c>
      <c r="M120" s="2"/>
      <c r="N120" s="19">
        <f t="shared" si="9"/>
        <v>0</v>
      </c>
      <c r="O120" s="11"/>
      <c r="P120" s="2">
        <v>4455.2</v>
      </c>
      <c r="Q120" s="2"/>
      <c r="R120" s="19">
        <f t="shared" si="10"/>
        <v>9.6415869675591773E-4</v>
      </c>
      <c r="S120" s="2"/>
      <c r="T120" s="2"/>
      <c r="U120" s="2"/>
      <c r="V120" s="19">
        <f t="shared" si="11"/>
        <v>0</v>
      </c>
      <c r="W120" s="2"/>
      <c r="X120" s="2">
        <f t="shared" si="12"/>
        <v>4455.2</v>
      </c>
      <c r="Y120" s="2"/>
      <c r="Z120" s="19">
        <f t="shared" si="13"/>
        <v>0</v>
      </c>
    </row>
    <row r="121" spans="1:26" s="24" customFormat="1" hidden="1" outlineLevel="1" x14ac:dyDescent="0.25">
      <c r="A121" s="44"/>
      <c r="B121" s="11" t="str">
        <f>CONCATENATE("          ", "5034", " - ", "PURCHASES @ COST-SODA")</f>
        <v xml:space="preserve">          5034 - PURCHASES @ COST-SODA</v>
      </c>
      <c r="C121" s="11"/>
      <c r="D121" s="2">
        <v>876</v>
      </c>
      <c r="E121" s="2"/>
      <c r="F121" s="19">
        <f t="shared" si="6"/>
        <v>1.8295252544867542E-3</v>
      </c>
      <c r="G121" s="2"/>
      <c r="H121" s="2"/>
      <c r="I121" s="2"/>
      <c r="J121" s="19">
        <f t="shared" si="7"/>
        <v>0</v>
      </c>
      <c r="K121" s="2"/>
      <c r="L121" s="2">
        <f t="shared" si="8"/>
        <v>876</v>
      </c>
      <c r="M121" s="2"/>
      <c r="N121" s="19">
        <f t="shared" si="9"/>
        <v>0</v>
      </c>
      <c r="O121" s="11"/>
      <c r="P121" s="2">
        <v>1494.54</v>
      </c>
      <c r="Q121" s="2"/>
      <c r="R121" s="19">
        <f t="shared" si="10"/>
        <v>3.2343637516825044E-4</v>
      </c>
      <c r="S121" s="2"/>
      <c r="T121" s="2"/>
      <c r="U121" s="2"/>
      <c r="V121" s="19">
        <f t="shared" si="11"/>
        <v>0</v>
      </c>
      <c r="W121" s="2"/>
      <c r="X121" s="2">
        <f t="shared" si="12"/>
        <v>1494.54</v>
      </c>
      <c r="Y121" s="2"/>
      <c r="Z121" s="19">
        <f t="shared" si="13"/>
        <v>0</v>
      </c>
    </row>
    <row r="122" spans="1:26" s="24" customFormat="1" hidden="1" outlineLevel="1" x14ac:dyDescent="0.25">
      <c r="A122" s="44"/>
      <c r="B122" s="11" t="str">
        <f>CONCATENATE("          ", "5035", " - ", "PURCHASES @ COST-HEALTH &amp; BEAU")</f>
        <v xml:space="preserve">          5035 - PURCHASES @ COST-HEALTH &amp; BEAU</v>
      </c>
      <c r="C122" s="11"/>
      <c r="D122" s="2">
        <v>291.13</v>
      </c>
      <c r="E122" s="2"/>
      <c r="F122" s="19">
        <f t="shared" si="6"/>
        <v>6.0802475723599166E-4</v>
      </c>
      <c r="G122" s="2"/>
      <c r="H122" s="2"/>
      <c r="I122" s="2"/>
      <c r="J122" s="19">
        <f t="shared" si="7"/>
        <v>0</v>
      </c>
      <c r="K122" s="2"/>
      <c r="L122" s="2">
        <f t="shared" si="8"/>
        <v>291.13</v>
      </c>
      <c r="M122" s="2"/>
      <c r="N122" s="19">
        <f t="shared" si="9"/>
        <v>0</v>
      </c>
      <c r="O122" s="11"/>
      <c r="P122" s="2">
        <v>578.69000000000005</v>
      </c>
      <c r="Q122" s="2"/>
      <c r="R122" s="19">
        <f t="shared" si="10"/>
        <v>1.2523545435124845E-4</v>
      </c>
      <c r="S122" s="2"/>
      <c r="T122" s="2"/>
      <c r="U122" s="2"/>
      <c r="V122" s="19">
        <f t="shared" si="11"/>
        <v>0</v>
      </c>
      <c r="W122" s="2"/>
      <c r="X122" s="2">
        <f t="shared" si="12"/>
        <v>578.69000000000005</v>
      </c>
      <c r="Y122" s="2"/>
      <c r="Z122" s="19">
        <f t="shared" si="13"/>
        <v>0</v>
      </c>
    </row>
    <row r="123" spans="1:26" s="24" customFormat="1" hidden="1" outlineLevel="1" x14ac:dyDescent="0.25">
      <c r="A123" s="44"/>
      <c r="B123" s="11" t="str">
        <f>CONCATENATE("          ", "5037", " - ", "PURCHASES @ COST-WATER")</f>
        <v xml:space="preserve">          5037 - PURCHASES @ COST-WATER</v>
      </c>
      <c r="C123" s="11"/>
      <c r="D123" s="2">
        <v>1463.27</v>
      </c>
      <c r="E123" s="2"/>
      <c r="F123" s="19">
        <f t="shared" si="6"/>
        <v>3.0560381496950143E-3</v>
      </c>
      <c r="G123" s="2"/>
      <c r="H123" s="2"/>
      <c r="I123" s="2"/>
      <c r="J123" s="19">
        <f t="shared" si="7"/>
        <v>0</v>
      </c>
      <c r="K123" s="2"/>
      <c r="L123" s="2">
        <f t="shared" si="8"/>
        <v>1463.27</v>
      </c>
      <c r="M123" s="2"/>
      <c r="N123" s="19">
        <f t="shared" si="9"/>
        <v>0</v>
      </c>
      <c r="O123" s="11"/>
      <c r="P123" s="2">
        <v>2855.85</v>
      </c>
      <c r="Q123" s="2"/>
      <c r="R123" s="19">
        <f t="shared" si="10"/>
        <v>6.180401809414589E-4</v>
      </c>
      <c r="S123" s="2"/>
      <c r="T123" s="2"/>
      <c r="U123" s="2"/>
      <c r="V123" s="19">
        <f t="shared" si="11"/>
        <v>0</v>
      </c>
      <c r="W123" s="2"/>
      <c r="X123" s="2">
        <f t="shared" si="12"/>
        <v>2855.85</v>
      </c>
      <c r="Y123" s="2"/>
      <c r="Z123" s="19">
        <f t="shared" si="13"/>
        <v>0</v>
      </c>
    </row>
    <row r="124" spans="1:26" s="24" customFormat="1" hidden="1" outlineLevel="1" x14ac:dyDescent="0.25">
      <c r="A124" s="44"/>
      <c r="B124" s="11" t="str">
        <f>CONCATENATE("          ", "5040", " - ", "PURCHASES @ COST-LOGO CLOTHING")</f>
        <v xml:space="preserve">          5040 - PURCHASES @ COST-LOGO CLOTHING</v>
      </c>
      <c r="C124" s="11"/>
      <c r="D124" s="2">
        <v>176749.05</v>
      </c>
      <c r="E124" s="2"/>
      <c r="F124" s="19">
        <f t="shared" si="6"/>
        <v>0.36914024050404337</v>
      </c>
      <c r="G124" s="2"/>
      <c r="H124" s="2"/>
      <c r="I124" s="2"/>
      <c r="J124" s="19">
        <f t="shared" si="7"/>
        <v>0</v>
      </c>
      <c r="K124" s="2"/>
      <c r="L124" s="2">
        <f t="shared" si="8"/>
        <v>176749.05</v>
      </c>
      <c r="M124" s="2"/>
      <c r="N124" s="19">
        <f t="shared" si="9"/>
        <v>0</v>
      </c>
      <c r="O124" s="11"/>
      <c r="P124" s="2">
        <v>512600.91000000003</v>
      </c>
      <c r="Q124" s="2"/>
      <c r="R124" s="19">
        <f t="shared" si="10"/>
        <v>0.11093298288325945</v>
      </c>
      <c r="S124" s="2"/>
      <c r="T124" s="2"/>
      <c r="U124" s="2"/>
      <c r="V124" s="19">
        <f t="shared" si="11"/>
        <v>0</v>
      </c>
      <c r="W124" s="2"/>
      <c r="X124" s="2">
        <f t="shared" si="12"/>
        <v>512600.91000000003</v>
      </c>
      <c r="Y124" s="2"/>
      <c r="Z124" s="19">
        <f t="shared" si="13"/>
        <v>0</v>
      </c>
    </row>
    <row r="125" spans="1:26" s="24" customFormat="1" hidden="1" outlineLevel="1" x14ac:dyDescent="0.25">
      <c r="A125" s="44"/>
      <c r="B125" s="11" t="str">
        <f>CONCATENATE("          ", "5041", " - ", "PURCHASES @ COST-LOGO GIFTS")</f>
        <v xml:space="preserve">          5041 - PURCHASES @ COST-LOGO GIFTS</v>
      </c>
      <c r="C125" s="11"/>
      <c r="D125" s="2">
        <v>27759.98</v>
      </c>
      <c r="E125" s="2"/>
      <c r="F125" s="19">
        <f t="shared" si="6"/>
        <v>5.7976694605076713E-2</v>
      </c>
      <c r="G125" s="2"/>
      <c r="H125" s="2"/>
      <c r="I125" s="2"/>
      <c r="J125" s="19">
        <f t="shared" si="7"/>
        <v>0</v>
      </c>
      <c r="K125" s="2"/>
      <c r="L125" s="2">
        <f t="shared" si="8"/>
        <v>27759.98</v>
      </c>
      <c r="M125" s="2"/>
      <c r="N125" s="19">
        <f t="shared" si="9"/>
        <v>0</v>
      </c>
      <c r="O125" s="11"/>
      <c r="P125" s="2">
        <v>70456.460000000006</v>
      </c>
      <c r="Q125" s="2"/>
      <c r="R125" s="19">
        <f t="shared" si="10"/>
        <v>1.524762269968474E-2</v>
      </c>
      <c r="S125" s="2"/>
      <c r="T125" s="2"/>
      <c r="U125" s="2"/>
      <c r="V125" s="19">
        <f t="shared" si="11"/>
        <v>0</v>
      </c>
      <c r="W125" s="2"/>
      <c r="X125" s="2">
        <f t="shared" si="12"/>
        <v>70456.460000000006</v>
      </c>
      <c r="Y125" s="2"/>
      <c r="Z125" s="19">
        <f t="shared" si="13"/>
        <v>0</v>
      </c>
    </row>
    <row r="126" spans="1:26" s="24" customFormat="1" hidden="1" outlineLevel="1" x14ac:dyDescent="0.25">
      <c r="A126" s="44"/>
      <c r="B126" s="11" t="str">
        <f>CONCATENATE("          ", "5042", " - ", "PURCHASES @ COST-EVERYDAY GIFT")</f>
        <v xml:space="preserve">          5042 - PURCHASES @ COST-EVERYDAY GIFT</v>
      </c>
      <c r="C126" s="11"/>
      <c r="D126" s="2">
        <v>13956.79</v>
      </c>
      <c r="E126" s="2"/>
      <c r="F126" s="19">
        <f t="shared" si="6"/>
        <v>2.9148744037178296E-2</v>
      </c>
      <c r="G126" s="2"/>
      <c r="H126" s="2"/>
      <c r="I126" s="2"/>
      <c r="J126" s="19">
        <f t="shared" si="7"/>
        <v>0</v>
      </c>
      <c r="K126" s="2"/>
      <c r="L126" s="2">
        <f t="shared" si="8"/>
        <v>13956.79</v>
      </c>
      <c r="M126" s="2"/>
      <c r="N126" s="19">
        <f t="shared" si="9"/>
        <v>0</v>
      </c>
      <c r="O126" s="11"/>
      <c r="P126" s="2">
        <v>49248.47</v>
      </c>
      <c r="Q126" s="2"/>
      <c r="R126" s="19">
        <f t="shared" si="10"/>
        <v>1.0657959385083253E-2</v>
      </c>
      <c r="S126" s="2"/>
      <c r="T126" s="2"/>
      <c r="U126" s="2"/>
      <c r="V126" s="19">
        <f t="shared" si="11"/>
        <v>0</v>
      </c>
      <c r="W126" s="2"/>
      <c r="X126" s="2">
        <f t="shared" si="12"/>
        <v>49248.47</v>
      </c>
      <c r="Y126" s="2"/>
      <c r="Z126" s="19">
        <f t="shared" si="13"/>
        <v>0</v>
      </c>
    </row>
    <row r="127" spans="1:26" s="24" customFormat="1" hidden="1" outlineLevel="1" x14ac:dyDescent="0.25">
      <c r="A127" s="44"/>
      <c r="B127" s="11" t="str">
        <f>CONCATENATE("          ", "5043", " - ", "PURCHASES @ COST-CARDS")</f>
        <v xml:space="preserve">          5043 - PURCHASES @ COST-CARDS</v>
      </c>
      <c r="C127" s="11"/>
      <c r="D127" s="2">
        <v>331.09</v>
      </c>
      <c r="E127" s="2"/>
      <c r="F127" s="19">
        <f t="shared" si="6"/>
        <v>6.9148118322833265E-4</v>
      </c>
      <c r="G127" s="2"/>
      <c r="H127" s="2"/>
      <c r="I127" s="2"/>
      <c r="J127" s="19">
        <f t="shared" si="7"/>
        <v>0</v>
      </c>
      <c r="K127" s="2"/>
      <c r="L127" s="2">
        <f t="shared" si="8"/>
        <v>331.09</v>
      </c>
      <c r="M127" s="2"/>
      <c r="N127" s="19">
        <f t="shared" si="9"/>
        <v>0</v>
      </c>
      <c r="O127" s="11"/>
      <c r="P127" s="2">
        <v>1340.08</v>
      </c>
      <c r="Q127" s="2"/>
      <c r="R127" s="19">
        <f t="shared" si="10"/>
        <v>2.9000937923071246E-4</v>
      </c>
      <c r="S127" s="2"/>
      <c r="T127" s="2"/>
      <c r="U127" s="2"/>
      <c r="V127" s="19">
        <f t="shared" si="11"/>
        <v>0</v>
      </c>
      <c r="W127" s="2"/>
      <c r="X127" s="2">
        <f t="shared" si="12"/>
        <v>1340.08</v>
      </c>
      <c r="Y127" s="2"/>
      <c r="Z127" s="19">
        <f t="shared" si="13"/>
        <v>0</v>
      </c>
    </row>
    <row r="128" spans="1:26" s="24" customFormat="1" hidden="1" outlineLevel="1" x14ac:dyDescent="0.25">
      <c r="A128" s="44"/>
      <c r="B128" s="11" t="str">
        <f>CONCATENATE("          ", "5044", " - ", "PURCHASES @ COST-ACCESSORIES")</f>
        <v xml:space="preserve">          5044 - PURCHASES @ COST-ACCESSORIES</v>
      </c>
      <c r="C128" s="11"/>
      <c r="D128" s="2">
        <v>3747.48</v>
      </c>
      <c r="E128" s="2"/>
      <c r="F128" s="19">
        <f t="shared" si="6"/>
        <v>7.8266087907351845E-3</v>
      </c>
      <c r="G128" s="2"/>
      <c r="H128" s="2"/>
      <c r="I128" s="2"/>
      <c r="J128" s="19">
        <f t="shared" si="7"/>
        <v>0</v>
      </c>
      <c r="K128" s="2"/>
      <c r="L128" s="2">
        <f t="shared" si="8"/>
        <v>3747.48</v>
      </c>
      <c r="M128" s="2"/>
      <c r="N128" s="19">
        <f t="shared" si="9"/>
        <v>0</v>
      </c>
      <c r="O128" s="11"/>
      <c r="P128" s="2">
        <v>24151.129999999997</v>
      </c>
      <c r="Q128" s="2"/>
      <c r="R128" s="19">
        <f t="shared" si="10"/>
        <v>5.226594098128646E-3</v>
      </c>
      <c r="S128" s="2"/>
      <c r="T128" s="2"/>
      <c r="U128" s="2"/>
      <c r="V128" s="19">
        <f t="shared" si="11"/>
        <v>0</v>
      </c>
      <c r="W128" s="2"/>
      <c r="X128" s="2">
        <f t="shared" si="12"/>
        <v>24151.129999999997</v>
      </c>
      <c r="Y128" s="2"/>
      <c r="Z128" s="19">
        <f t="shared" si="13"/>
        <v>0</v>
      </c>
    </row>
    <row r="129" spans="1:26" s="24" customFormat="1" hidden="1" outlineLevel="1" x14ac:dyDescent="0.25">
      <c r="A129" s="44"/>
      <c r="B129" s="11" t="str">
        <f>CONCATENATE("          ", "5045", " - ", "PURCHASES @ COST-SPECIAL ORDER")</f>
        <v xml:space="preserve">          5045 - PURCHASES @ COST-SPECIAL ORDER</v>
      </c>
      <c r="C129" s="11"/>
      <c r="D129" s="2">
        <v>3599.17</v>
      </c>
      <c r="E129" s="2"/>
      <c r="F129" s="19">
        <f t="shared" si="6"/>
        <v>7.5168634819532997E-3</v>
      </c>
      <c r="G129" s="2"/>
      <c r="H129" s="2"/>
      <c r="I129" s="2"/>
      <c r="J129" s="19">
        <f t="shared" si="7"/>
        <v>0</v>
      </c>
      <c r="K129" s="2"/>
      <c r="L129" s="2">
        <f t="shared" si="8"/>
        <v>3599.17</v>
      </c>
      <c r="M129" s="2"/>
      <c r="N129" s="19">
        <f t="shared" si="9"/>
        <v>0</v>
      </c>
      <c r="O129" s="11"/>
      <c r="P129" s="2">
        <v>28063.200000000001</v>
      </c>
      <c r="Q129" s="2"/>
      <c r="R129" s="19">
        <f t="shared" si="10"/>
        <v>6.0732129508889992E-3</v>
      </c>
      <c r="S129" s="2"/>
      <c r="T129" s="2"/>
      <c r="U129" s="2"/>
      <c r="V129" s="19">
        <f t="shared" si="11"/>
        <v>0</v>
      </c>
      <c r="W129" s="2"/>
      <c r="X129" s="2">
        <f t="shared" si="12"/>
        <v>28063.200000000001</v>
      </c>
      <c r="Y129" s="2"/>
      <c r="Z129" s="19">
        <f t="shared" si="13"/>
        <v>0</v>
      </c>
    </row>
    <row r="130" spans="1:26" s="24" customFormat="1" hidden="1" outlineLevel="1" x14ac:dyDescent="0.25">
      <c r="A130" s="44"/>
      <c r="B130" s="11" t="str">
        <f>CONCATENATE("          ", "5081", " - ", "PURCHASES @ COST-ELECTRONICS")</f>
        <v xml:space="preserve">          5081 - PURCHASES @ COST-ELECTRONICS</v>
      </c>
      <c r="C130" s="11"/>
      <c r="D130" s="2">
        <v>490.99</v>
      </c>
      <c r="E130" s="2"/>
      <c r="F130" s="19">
        <f t="shared" si="6"/>
        <v>1.025432197146634E-3</v>
      </c>
      <c r="G130" s="2"/>
      <c r="H130" s="2"/>
      <c r="I130" s="2"/>
      <c r="J130" s="19">
        <f t="shared" si="7"/>
        <v>0</v>
      </c>
      <c r="K130" s="2"/>
      <c r="L130" s="2">
        <f t="shared" si="8"/>
        <v>490.99</v>
      </c>
      <c r="M130" s="2"/>
      <c r="N130" s="19">
        <f t="shared" si="9"/>
        <v>0</v>
      </c>
      <c r="O130" s="11"/>
      <c r="P130" s="2">
        <v>963.07</v>
      </c>
      <c r="Q130" s="2"/>
      <c r="R130" s="19">
        <f t="shared" si="10"/>
        <v>2.0841989497322717E-4</v>
      </c>
      <c r="S130" s="2"/>
      <c r="T130" s="2"/>
      <c r="U130" s="2"/>
      <c r="V130" s="19">
        <f t="shared" si="11"/>
        <v>0</v>
      </c>
      <c r="W130" s="2"/>
      <c r="X130" s="2">
        <f t="shared" si="12"/>
        <v>963.07</v>
      </c>
      <c r="Y130" s="2"/>
      <c r="Z130" s="19">
        <f t="shared" si="13"/>
        <v>0</v>
      </c>
    </row>
    <row r="131" spans="1:26" s="24" customFormat="1" hidden="1" outlineLevel="1" x14ac:dyDescent="0.25">
      <c r="A131" s="44"/>
      <c r="B131" s="11" t="str">
        <f>CONCATENATE("          ", "5082", " - ", "PURCHASES @ COST-COMPUTER HARD")</f>
        <v xml:space="preserve">          5082 - PURCHASES @ COST-COMPUTER HARD</v>
      </c>
      <c r="C131" s="11"/>
      <c r="D131" s="2"/>
      <c r="E131" s="2"/>
      <c r="F131" s="19">
        <f t="shared" si="6"/>
        <v>0</v>
      </c>
      <c r="G131" s="2"/>
      <c r="H131" s="2"/>
      <c r="I131" s="2"/>
      <c r="J131" s="19">
        <f t="shared" si="7"/>
        <v>0</v>
      </c>
      <c r="K131" s="2"/>
      <c r="L131" s="2">
        <f t="shared" si="8"/>
        <v>0</v>
      </c>
      <c r="M131" s="2"/>
      <c r="N131" s="19">
        <f t="shared" si="9"/>
        <v>0</v>
      </c>
      <c r="O131" s="11"/>
      <c r="P131" s="2">
        <v>149.6</v>
      </c>
      <c r="Q131" s="2"/>
      <c r="R131" s="19">
        <f t="shared" si="10"/>
        <v>3.2375233667329254E-5</v>
      </c>
      <c r="S131" s="2"/>
      <c r="T131" s="2"/>
      <c r="U131" s="2"/>
      <c r="V131" s="19">
        <f t="shared" si="11"/>
        <v>0</v>
      </c>
      <c r="W131" s="2"/>
      <c r="X131" s="2">
        <f t="shared" si="12"/>
        <v>149.6</v>
      </c>
      <c r="Y131" s="2"/>
      <c r="Z131" s="19">
        <f t="shared" si="13"/>
        <v>0</v>
      </c>
    </row>
    <row r="132" spans="1:26" s="24" customFormat="1" hidden="1" outlineLevel="1" x14ac:dyDescent="0.25">
      <c r="A132" s="44"/>
      <c r="B132" s="11" t="str">
        <f>CONCATENATE("          ", "5083", " - ", "PURCHASES @ COST-COMPUTER EQUI")</f>
        <v xml:space="preserve">          5083 - PURCHASES @ COST-COMPUTER EQUI</v>
      </c>
      <c r="C132" s="11"/>
      <c r="D132" s="2">
        <v>76.150000000000006</v>
      </c>
      <c r="E132" s="2"/>
      <c r="F132" s="19">
        <f t="shared" si="6"/>
        <v>1.5903921019311224E-4</v>
      </c>
      <c r="G132" s="2"/>
      <c r="H132" s="2"/>
      <c r="I132" s="2"/>
      <c r="J132" s="19">
        <f t="shared" si="7"/>
        <v>0</v>
      </c>
      <c r="K132" s="2"/>
      <c r="L132" s="2">
        <f t="shared" si="8"/>
        <v>76.150000000000006</v>
      </c>
      <c r="M132" s="2"/>
      <c r="N132" s="19">
        <f t="shared" si="9"/>
        <v>0</v>
      </c>
      <c r="O132" s="11"/>
      <c r="P132" s="2">
        <v>232.15</v>
      </c>
      <c r="Q132" s="2"/>
      <c r="R132" s="19">
        <f t="shared" si="10"/>
        <v>5.0240043421594161E-5</v>
      </c>
      <c r="S132" s="2"/>
      <c r="T132" s="2"/>
      <c r="U132" s="2"/>
      <c r="V132" s="19">
        <f t="shared" si="11"/>
        <v>0</v>
      </c>
      <c r="W132" s="2"/>
      <c r="X132" s="2">
        <f t="shared" si="12"/>
        <v>232.15</v>
      </c>
      <c r="Y132" s="2"/>
      <c r="Z132" s="19">
        <f t="shared" si="13"/>
        <v>0</v>
      </c>
    </row>
    <row r="133" spans="1:26" s="24" customFormat="1" hidden="1" outlineLevel="1" x14ac:dyDescent="0.25">
      <c r="A133" s="44"/>
      <c r="B133" s="11" t="str">
        <f>CONCATENATE("          ", "5086", " - ", "PURCHASES @ COST-COMPUTER SUPP")</f>
        <v xml:space="preserve">          5086 - PURCHASES @ COST-COMPUTER SUPP</v>
      </c>
      <c r="C133" s="11"/>
      <c r="D133" s="2">
        <v>54</v>
      </c>
      <c r="E133" s="2"/>
      <c r="F133" s="19">
        <f t="shared" si="6"/>
        <v>1.1277895404370402E-4</v>
      </c>
      <c r="G133" s="2"/>
      <c r="H133" s="2"/>
      <c r="I133" s="2"/>
      <c r="J133" s="19">
        <f t="shared" si="7"/>
        <v>0</v>
      </c>
      <c r="K133" s="2"/>
      <c r="L133" s="2">
        <f t="shared" si="8"/>
        <v>54</v>
      </c>
      <c r="M133" s="2"/>
      <c r="N133" s="19">
        <f t="shared" si="9"/>
        <v>0</v>
      </c>
      <c r="O133" s="11"/>
      <c r="P133" s="2">
        <v>141</v>
      </c>
      <c r="Q133" s="2"/>
      <c r="R133" s="19">
        <f t="shared" si="10"/>
        <v>3.0514090555437331E-5</v>
      </c>
      <c r="S133" s="2"/>
      <c r="T133" s="2"/>
      <c r="U133" s="2"/>
      <c r="V133" s="19">
        <f t="shared" si="11"/>
        <v>0</v>
      </c>
      <c r="W133" s="2"/>
      <c r="X133" s="2">
        <f t="shared" si="12"/>
        <v>141</v>
      </c>
      <c r="Y133" s="2"/>
      <c r="Z133" s="19">
        <f t="shared" si="13"/>
        <v>0</v>
      </c>
    </row>
    <row r="134" spans="1:26" s="24" customFormat="1" hidden="1" outlineLevel="1" x14ac:dyDescent="0.25">
      <c r="A134" s="44"/>
      <c r="B134" s="11" t="str">
        <f>CONCATENATE("          ", "5092", " - ", "PURCHASES @ COST-GRAD MERCH")</f>
        <v xml:space="preserve">          5092 - PURCHASES @ COST-GRAD MERCH</v>
      </c>
      <c r="C134" s="11"/>
      <c r="D134" s="2">
        <v>1296.1400000000001</v>
      </c>
      <c r="E134" s="2"/>
      <c r="F134" s="19">
        <f t="shared" si="6"/>
        <v>2.7069872869297509E-3</v>
      </c>
      <c r="G134" s="2"/>
      <c r="H134" s="2"/>
      <c r="I134" s="2"/>
      <c r="J134" s="19">
        <f t="shared" si="7"/>
        <v>0</v>
      </c>
      <c r="K134" s="2"/>
      <c r="L134" s="2">
        <f t="shared" si="8"/>
        <v>1296.1400000000001</v>
      </c>
      <c r="M134" s="2"/>
      <c r="N134" s="19">
        <f t="shared" si="9"/>
        <v>0</v>
      </c>
      <c r="O134" s="11"/>
      <c r="P134" s="2">
        <v>1296.1400000000001</v>
      </c>
      <c r="Q134" s="2"/>
      <c r="R134" s="19">
        <f t="shared" si="10"/>
        <v>2.8050023640088329E-4</v>
      </c>
      <c r="S134" s="2"/>
      <c r="T134" s="2"/>
      <c r="U134" s="2"/>
      <c r="V134" s="19">
        <f t="shared" si="11"/>
        <v>0</v>
      </c>
      <c r="W134" s="2"/>
      <c r="X134" s="2">
        <f t="shared" si="12"/>
        <v>1296.1400000000001</v>
      </c>
      <c r="Y134" s="2"/>
      <c r="Z134" s="19">
        <f t="shared" si="13"/>
        <v>0</v>
      </c>
    </row>
    <row r="135" spans="1:26" s="24" customFormat="1" hidden="1" outlineLevel="1" x14ac:dyDescent="0.25">
      <c r="A135" s="44"/>
      <c r="B135" s="11" t="str">
        <f>CONCATENATE("          ", "5095", " - ", "PURCHASES @ COST-CUSTOMER SERV")</f>
        <v xml:space="preserve">          5095 - PURCHASES @ COST-CUSTOMER SERV</v>
      </c>
      <c r="C135" s="11"/>
      <c r="D135" s="2"/>
      <c r="E135" s="2"/>
      <c r="F135" s="19">
        <f t="shared" si="6"/>
        <v>0</v>
      </c>
      <c r="G135" s="2"/>
      <c r="H135" s="2"/>
      <c r="I135" s="2"/>
      <c r="J135" s="19">
        <f t="shared" si="7"/>
        <v>0</v>
      </c>
      <c r="K135" s="2"/>
      <c r="L135" s="2">
        <f t="shared" si="8"/>
        <v>0</v>
      </c>
      <c r="M135" s="2"/>
      <c r="N135" s="19">
        <f t="shared" si="9"/>
        <v>0</v>
      </c>
      <c r="O135" s="11"/>
      <c r="P135" s="2">
        <v>0</v>
      </c>
      <c r="Q135" s="2"/>
      <c r="R135" s="19">
        <f t="shared" si="10"/>
        <v>0</v>
      </c>
      <c r="S135" s="2"/>
      <c r="T135" s="2"/>
      <c r="U135" s="2"/>
      <c r="V135" s="19">
        <f t="shared" si="11"/>
        <v>0</v>
      </c>
      <c r="W135" s="2"/>
      <c r="X135" s="2">
        <f t="shared" si="12"/>
        <v>0</v>
      </c>
      <c r="Y135" s="2"/>
      <c r="Z135" s="19">
        <f t="shared" si="13"/>
        <v>0</v>
      </c>
    </row>
    <row r="136" spans="1:26" s="24" customFormat="1" hidden="1" outlineLevel="1" x14ac:dyDescent="0.25">
      <c r="A136" s="44"/>
      <c r="B136" s="11" t="str">
        <f>CONCATENATE("          ", "5200", " - ", "PURCHASES OFFSET")</f>
        <v xml:space="preserve">          5200 - PURCHASES OFFSET</v>
      </c>
      <c r="C136" s="11"/>
      <c r="D136" s="2">
        <v>-102488</v>
      </c>
      <c r="E136" s="2"/>
      <c r="F136" s="19">
        <f t="shared" si="6"/>
        <v>-0.2140461007783544</v>
      </c>
      <c r="G136" s="2"/>
      <c r="H136" s="2"/>
      <c r="I136" s="2"/>
      <c r="J136" s="19">
        <f t="shared" si="7"/>
        <v>0</v>
      </c>
      <c r="K136" s="2"/>
      <c r="L136" s="2">
        <f t="shared" si="8"/>
        <v>-102488</v>
      </c>
      <c r="M136" s="2"/>
      <c r="N136" s="19">
        <f t="shared" si="9"/>
        <v>0</v>
      </c>
      <c r="O136" s="11"/>
      <c r="P136" s="2">
        <v>-2738772</v>
      </c>
      <c r="Q136" s="2"/>
      <c r="R136" s="19">
        <f t="shared" si="10"/>
        <v>-0.5927030980049377</v>
      </c>
      <c r="S136" s="2"/>
      <c r="T136" s="2"/>
      <c r="U136" s="2"/>
      <c r="V136" s="19">
        <f t="shared" si="11"/>
        <v>0</v>
      </c>
      <c r="W136" s="2"/>
      <c r="X136" s="2">
        <f t="shared" si="12"/>
        <v>-2738772</v>
      </c>
      <c r="Y136" s="2"/>
      <c r="Z136" s="19">
        <f t="shared" si="13"/>
        <v>0</v>
      </c>
    </row>
    <row r="137" spans="1:26" s="24" customFormat="1" hidden="1" outlineLevel="1" x14ac:dyDescent="0.25">
      <c r="A137" s="44"/>
      <c r="B137" s="11" t="str">
        <f>CONCATENATE("          ", "5300", " - ", "COG$ OFFSET")</f>
        <v xml:space="preserve">          5300 - COG$ OFFSET</v>
      </c>
      <c r="C137" s="11"/>
      <c r="D137" s="2">
        <v>204645</v>
      </c>
      <c r="E137" s="2"/>
      <c r="F137" s="19">
        <f t="shared" si="6"/>
        <v>0.42740090833840388</v>
      </c>
      <c r="G137" s="2"/>
      <c r="H137" s="2"/>
      <c r="I137" s="2"/>
      <c r="J137" s="19">
        <f t="shared" si="7"/>
        <v>0</v>
      </c>
      <c r="K137" s="2"/>
      <c r="L137" s="2">
        <f t="shared" si="8"/>
        <v>204645</v>
      </c>
      <c r="M137" s="2"/>
      <c r="N137" s="19">
        <f t="shared" si="9"/>
        <v>0</v>
      </c>
      <c r="O137" s="11"/>
      <c r="P137" s="2">
        <v>2132393</v>
      </c>
      <c r="Q137" s="2"/>
      <c r="R137" s="19">
        <f t="shared" si="10"/>
        <v>0.46147541206936649</v>
      </c>
      <c r="S137" s="2"/>
      <c r="T137" s="2"/>
      <c r="U137" s="2"/>
      <c r="V137" s="19">
        <f t="shared" si="11"/>
        <v>0</v>
      </c>
      <c r="W137" s="2"/>
      <c r="X137" s="2">
        <f t="shared" si="12"/>
        <v>2132393</v>
      </c>
      <c r="Y137" s="2"/>
      <c r="Z137" s="19">
        <f t="shared" si="13"/>
        <v>0</v>
      </c>
    </row>
    <row r="138" spans="1:26" s="24" customFormat="1" hidden="1" outlineLevel="1" x14ac:dyDescent="0.25">
      <c r="A138" s="44"/>
      <c r="B138" s="11" t="str">
        <f>CONCATENATE("          ", "5500", " - ", "FREIGHT-IN")</f>
        <v xml:space="preserve">          5500 - FREIGHT-IN</v>
      </c>
      <c r="C138" s="11"/>
      <c r="D138" s="2">
        <v>35.229999999999997</v>
      </c>
      <c r="E138" s="2"/>
      <c r="F138" s="19">
        <f t="shared" si="6"/>
        <v>7.357782501777208E-5</v>
      </c>
      <c r="G138" s="2"/>
      <c r="H138" s="2"/>
      <c r="I138" s="2"/>
      <c r="J138" s="19">
        <f t="shared" si="7"/>
        <v>0</v>
      </c>
      <c r="K138" s="2"/>
      <c r="L138" s="2">
        <f t="shared" si="8"/>
        <v>35.229999999999997</v>
      </c>
      <c r="M138" s="2"/>
      <c r="N138" s="19">
        <f t="shared" si="9"/>
        <v>0</v>
      </c>
      <c r="O138" s="11"/>
      <c r="P138" s="2">
        <v>35.229999999999997</v>
      </c>
      <c r="Q138" s="2"/>
      <c r="R138" s="19">
        <f t="shared" si="10"/>
        <v>7.6241943990642351E-6</v>
      </c>
      <c r="S138" s="2"/>
      <c r="T138" s="2"/>
      <c r="U138" s="2"/>
      <c r="V138" s="19">
        <f t="shared" si="11"/>
        <v>0</v>
      </c>
      <c r="W138" s="2"/>
      <c r="X138" s="2">
        <f t="shared" si="12"/>
        <v>35.229999999999997</v>
      </c>
      <c r="Y138" s="2"/>
      <c r="Z138" s="19">
        <f t="shared" si="13"/>
        <v>0</v>
      </c>
    </row>
    <row r="139" spans="1:26" s="24" customFormat="1" hidden="1" outlineLevel="1" x14ac:dyDescent="0.25">
      <c r="A139" s="44"/>
      <c r="B139" s="11" t="str">
        <f>CONCATENATE("          ", "5501", " - ", "FREIGHT-IN-NEW TEXT")</f>
        <v xml:space="preserve">          5501 - FREIGHT-IN-NEW TEXT</v>
      </c>
      <c r="C139" s="11"/>
      <c r="D139" s="2">
        <v>7434.02</v>
      </c>
      <c r="E139" s="2"/>
      <c r="F139" s="19">
        <f t="shared" si="6"/>
        <v>1.55259444433329E-2</v>
      </c>
      <c r="G139" s="2"/>
      <c r="H139" s="2"/>
      <c r="I139" s="2"/>
      <c r="J139" s="19">
        <f t="shared" si="7"/>
        <v>0</v>
      </c>
      <c r="K139" s="2"/>
      <c r="L139" s="2">
        <f t="shared" si="8"/>
        <v>7434.02</v>
      </c>
      <c r="M139" s="2"/>
      <c r="N139" s="19">
        <f t="shared" si="9"/>
        <v>0</v>
      </c>
      <c r="O139" s="11"/>
      <c r="P139" s="2">
        <v>34017.480000000003</v>
      </c>
      <c r="Q139" s="2"/>
      <c r="R139" s="19">
        <f t="shared" si="10"/>
        <v>7.3617905332466552E-3</v>
      </c>
      <c r="S139" s="2"/>
      <c r="T139" s="2"/>
      <c r="U139" s="2"/>
      <c r="V139" s="19">
        <f t="shared" si="11"/>
        <v>0</v>
      </c>
      <c r="W139" s="2"/>
      <c r="X139" s="2">
        <f t="shared" si="12"/>
        <v>34017.480000000003</v>
      </c>
      <c r="Y139" s="2"/>
      <c r="Z139" s="19">
        <f t="shared" si="13"/>
        <v>0</v>
      </c>
    </row>
    <row r="140" spans="1:26" s="24" customFormat="1" hidden="1" outlineLevel="1" x14ac:dyDescent="0.25">
      <c r="A140" s="44"/>
      <c r="B140" s="11" t="str">
        <f>CONCATENATE("          ", "5502", " - ", "FREIGHT-IN-USED TEXT")</f>
        <v xml:space="preserve">          5502 - FREIGHT-IN-USED TEXT</v>
      </c>
      <c r="C140" s="11"/>
      <c r="D140" s="2">
        <v>591.29999999999995</v>
      </c>
      <c r="E140" s="2"/>
      <c r="F140" s="19">
        <f t="shared" si="6"/>
        <v>1.2349295467785589E-3</v>
      </c>
      <c r="G140" s="2"/>
      <c r="H140" s="2"/>
      <c r="I140" s="2"/>
      <c r="J140" s="19">
        <f t="shared" si="7"/>
        <v>0</v>
      </c>
      <c r="K140" s="2"/>
      <c r="L140" s="2">
        <f t="shared" si="8"/>
        <v>591.29999999999995</v>
      </c>
      <c r="M140" s="2"/>
      <c r="N140" s="19">
        <f t="shared" si="9"/>
        <v>0</v>
      </c>
      <c r="O140" s="11"/>
      <c r="P140" s="2">
        <v>6852.47</v>
      </c>
      <c r="Q140" s="2"/>
      <c r="R140" s="19">
        <f t="shared" si="10"/>
        <v>1.4829566674355863E-3</v>
      </c>
      <c r="S140" s="2"/>
      <c r="T140" s="2"/>
      <c r="U140" s="2"/>
      <c r="V140" s="19">
        <f t="shared" si="11"/>
        <v>0</v>
      </c>
      <c r="W140" s="2"/>
      <c r="X140" s="2">
        <f t="shared" si="12"/>
        <v>6852.47</v>
      </c>
      <c r="Y140" s="2"/>
      <c r="Z140" s="19">
        <f t="shared" si="13"/>
        <v>0</v>
      </c>
    </row>
    <row r="141" spans="1:26" s="24" customFormat="1" hidden="1" outlineLevel="1" x14ac:dyDescent="0.25">
      <c r="A141" s="44"/>
      <c r="B141" s="11" t="str">
        <f>CONCATENATE("          ", "5504", " - ", "FREIGHT-IN-DIGITAL TEXT")</f>
        <v xml:space="preserve">          5504 - FREIGHT-IN-DIGITAL TEXT</v>
      </c>
      <c r="C141" s="11"/>
      <c r="D141" s="2">
        <v>93.94</v>
      </c>
      <c r="E141" s="2"/>
      <c r="F141" s="19">
        <f t="shared" si="6"/>
        <v>1.9619361005306584E-4</v>
      </c>
      <c r="G141" s="2"/>
      <c r="H141" s="2"/>
      <c r="I141" s="2"/>
      <c r="J141" s="19">
        <f t="shared" si="7"/>
        <v>0</v>
      </c>
      <c r="K141" s="2"/>
      <c r="L141" s="2">
        <f t="shared" si="8"/>
        <v>93.94</v>
      </c>
      <c r="M141" s="2"/>
      <c r="N141" s="19">
        <f t="shared" si="9"/>
        <v>0</v>
      </c>
      <c r="O141" s="11"/>
      <c r="P141" s="2">
        <v>100.97</v>
      </c>
      <c r="Q141" s="2"/>
      <c r="R141" s="19">
        <f t="shared" si="10"/>
        <v>2.1851118605549696E-5</v>
      </c>
      <c r="S141" s="2"/>
      <c r="T141" s="2"/>
      <c r="U141" s="2"/>
      <c r="V141" s="19">
        <f t="shared" si="11"/>
        <v>0</v>
      </c>
      <c r="W141" s="2"/>
      <c r="X141" s="2">
        <f t="shared" si="12"/>
        <v>100.97</v>
      </c>
      <c r="Y141" s="2"/>
      <c r="Z141" s="19">
        <f t="shared" si="13"/>
        <v>0</v>
      </c>
    </row>
    <row r="142" spans="1:26" s="24" customFormat="1" hidden="1" outlineLevel="1" x14ac:dyDescent="0.25">
      <c r="A142" s="44"/>
      <c r="B142" s="11" t="str">
        <f>CONCATENATE("          ", "5525", " - ", "FREIGHT-IN-TEST FORMS")</f>
        <v xml:space="preserve">          5525 - FREIGHT-IN-TEST FORMS</v>
      </c>
      <c r="C142" s="11"/>
      <c r="D142" s="2">
        <v>39.22</v>
      </c>
      <c r="E142" s="2"/>
      <c r="F142" s="19">
        <f t="shared" si="6"/>
        <v>8.1910936622112436E-5</v>
      </c>
      <c r="G142" s="2"/>
      <c r="H142" s="2"/>
      <c r="I142" s="2"/>
      <c r="J142" s="19">
        <f t="shared" si="7"/>
        <v>0</v>
      </c>
      <c r="K142" s="2"/>
      <c r="L142" s="2">
        <f t="shared" si="8"/>
        <v>39.22</v>
      </c>
      <c r="M142" s="2"/>
      <c r="N142" s="19">
        <f t="shared" si="9"/>
        <v>0</v>
      </c>
      <c r="O142" s="11"/>
      <c r="P142" s="2">
        <v>39.22</v>
      </c>
      <c r="Q142" s="2"/>
      <c r="R142" s="19">
        <f t="shared" si="10"/>
        <v>8.4876782381861847E-6</v>
      </c>
      <c r="S142" s="2"/>
      <c r="T142" s="2"/>
      <c r="U142" s="2"/>
      <c r="V142" s="19">
        <f t="shared" si="11"/>
        <v>0</v>
      </c>
      <c r="W142" s="2"/>
      <c r="X142" s="2">
        <f t="shared" si="12"/>
        <v>39.22</v>
      </c>
      <c r="Y142" s="2"/>
      <c r="Z142" s="19">
        <f t="shared" si="13"/>
        <v>0</v>
      </c>
    </row>
    <row r="143" spans="1:26" s="24" customFormat="1" hidden="1" outlineLevel="1" x14ac:dyDescent="0.25">
      <c r="A143" s="44"/>
      <c r="B143" s="11" t="str">
        <f>CONCATENATE("          ", "5526", " - ", "FREIGHT-IN-WRITING INSTRUMENTS")</f>
        <v xml:space="preserve">          5526 - FREIGHT-IN-WRITING INSTRUMENTS</v>
      </c>
      <c r="C143" s="11"/>
      <c r="D143" s="2"/>
      <c r="E143" s="2"/>
      <c r="F143" s="19">
        <f t="shared" si="6"/>
        <v>0</v>
      </c>
      <c r="G143" s="2"/>
      <c r="H143" s="2"/>
      <c r="I143" s="2"/>
      <c r="J143" s="19">
        <f t="shared" si="7"/>
        <v>0</v>
      </c>
      <c r="K143" s="2"/>
      <c r="L143" s="2">
        <f t="shared" si="8"/>
        <v>0</v>
      </c>
      <c r="M143" s="2"/>
      <c r="N143" s="19">
        <f t="shared" si="9"/>
        <v>0</v>
      </c>
      <c r="O143" s="11"/>
      <c r="P143" s="2">
        <v>56.57</v>
      </c>
      <c r="Q143" s="2"/>
      <c r="R143" s="19">
        <f t="shared" si="10"/>
        <v>1.2242426260433261E-5</v>
      </c>
      <c r="S143" s="2"/>
      <c r="T143" s="2"/>
      <c r="U143" s="2"/>
      <c r="V143" s="19">
        <f t="shared" si="11"/>
        <v>0</v>
      </c>
      <c r="W143" s="2"/>
      <c r="X143" s="2">
        <f t="shared" si="12"/>
        <v>56.57</v>
      </c>
      <c r="Y143" s="2"/>
      <c r="Z143" s="19">
        <f t="shared" si="13"/>
        <v>0</v>
      </c>
    </row>
    <row r="144" spans="1:26" s="24" customFormat="1" hidden="1" outlineLevel="1" x14ac:dyDescent="0.25">
      <c r="A144" s="44"/>
      <c r="B144" s="11" t="str">
        <f>CONCATENATE("          ", "5527", " - ", "FREIGHT-IN-SCHOOL SUPPLIES")</f>
        <v xml:space="preserve">          5527 - FREIGHT-IN-SCHOOL SUPPLIES</v>
      </c>
      <c r="C144" s="11"/>
      <c r="D144" s="2">
        <v>344.59</v>
      </c>
      <c r="E144" s="2"/>
      <c r="F144" s="19">
        <f t="shared" si="6"/>
        <v>7.1967592173925862E-4</v>
      </c>
      <c r="G144" s="2"/>
      <c r="H144" s="2"/>
      <c r="I144" s="2"/>
      <c r="J144" s="19">
        <f t="shared" si="7"/>
        <v>0</v>
      </c>
      <c r="K144" s="2"/>
      <c r="L144" s="2">
        <f t="shared" si="8"/>
        <v>344.59</v>
      </c>
      <c r="M144" s="2"/>
      <c r="N144" s="19">
        <f t="shared" si="9"/>
        <v>0</v>
      </c>
      <c r="O144" s="11"/>
      <c r="P144" s="2">
        <v>738.49</v>
      </c>
      <c r="Q144" s="2"/>
      <c r="R144" s="19">
        <f t="shared" si="10"/>
        <v>1.5981809031407742E-4</v>
      </c>
      <c r="S144" s="2"/>
      <c r="T144" s="2"/>
      <c r="U144" s="2"/>
      <c r="V144" s="19">
        <f t="shared" si="11"/>
        <v>0</v>
      </c>
      <c r="W144" s="2"/>
      <c r="X144" s="2">
        <f t="shared" si="12"/>
        <v>738.49</v>
      </c>
      <c r="Y144" s="2"/>
      <c r="Z144" s="19">
        <f t="shared" si="13"/>
        <v>0</v>
      </c>
    </row>
    <row r="145" spans="1:26" s="24" customFormat="1" hidden="1" outlineLevel="1" x14ac:dyDescent="0.25">
      <c r="A145" s="44"/>
      <c r="B145" s="11" t="str">
        <f>CONCATENATE("          ", "5528", " - ", "FREIGHT-IN-ART/TECH")</f>
        <v xml:space="preserve">          5528 - FREIGHT-IN-ART/TECH</v>
      </c>
      <c r="C145" s="11"/>
      <c r="D145" s="2">
        <v>185.67</v>
      </c>
      <c r="E145" s="2"/>
      <c r="F145" s="19">
        <f t="shared" si="6"/>
        <v>3.8777163698693561E-4</v>
      </c>
      <c r="G145" s="2"/>
      <c r="H145" s="2"/>
      <c r="I145" s="2"/>
      <c r="J145" s="19">
        <f t="shared" si="7"/>
        <v>0</v>
      </c>
      <c r="K145" s="2"/>
      <c r="L145" s="2">
        <f t="shared" si="8"/>
        <v>185.67</v>
      </c>
      <c r="M145" s="2"/>
      <c r="N145" s="19">
        <f t="shared" si="9"/>
        <v>0</v>
      </c>
      <c r="O145" s="11"/>
      <c r="P145" s="2">
        <v>818.44</v>
      </c>
      <c r="Q145" s="2"/>
      <c r="R145" s="19">
        <f t="shared" si="10"/>
        <v>1.7712022889497964E-4</v>
      </c>
      <c r="S145" s="2"/>
      <c r="T145" s="2"/>
      <c r="U145" s="2"/>
      <c r="V145" s="19">
        <f t="shared" si="11"/>
        <v>0</v>
      </c>
      <c r="W145" s="2"/>
      <c r="X145" s="2">
        <f t="shared" si="12"/>
        <v>818.44</v>
      </c>
      <c r="Y145" s="2"/>
      <c r="Z145" s="19">
        <f t="shared" si="13"/>
        <v>0</v>
      </c>
    </row>
    <row r="146" spans="1:26" s="24" customFormat="1" hidden="1" outlineLevel="1" x14ac:dyDescent="0.25">
      <c r="A146" s="44"/>
      <c r="B146" s="11" t="str">
        <f>CONCATENATE("          ", "5540", " - ", "FREIGHT-IN-LOGO CLOTHING")</f>
        <v xml:space="preserve">          5540 - FREIGHT-IN-LOGO CLOTHING</v>
      </c>
      <c r="C146" s="11"/>
      <c r="D146" s="2">
        <v>9102.58</v>
      </c>
      <c r="E146" s="2"/>
      <c r="F146" s="19">
        <f t="shared" si="6"/>
        <v>1.9010730583317394E-2</v>
      </c>
      <c r="G146" s="2"/>
      <c r="H146" s="2"/>
      <c r="I146" s="2"/>
      <c r="J146" s="19">
        <f t="shared" si="7"/>
        <v>0</v>
      </c>
      <c r="K146" s="2"/>
      <c r="L146" s="2">
        <f t="shared" si="8"/>
        <v>9102.58</v>
      </c>
      <c r="M146" s="2"/>
      <c r="N146" s="19">
        <f t="shared" si="9"/>
        <v>0</v>
      </c>
      <c r="O146" s="11"/>
      <c r="P146" s="2">
        <v>14107.44</v>
      </c>
      <c r="Q146" s="2"/>
      <c r="R146" s="19">
        <f t="shared" si="10"/>
        <v>3.0530191607475096E-3</v>
      </c>
      <c r="S146" s="2"/>
      <c r="T146" s="2"/>
      <c r="U146" s="2"/>
      <c r="V146" s="19">
        <f t="shared" si="11"/>
        <v>0</v>
      </c>
      <c r="W146" s="2"/>
      <c r="X146" s="2">
        <f t="shared" si="12"/>
        <v>14107.44</v>
      </c>
      <c r="Y146" s="2"/>
      <c r="Z146" s="19">
        <f t="shared" si="13"/>
        <v>0</v>
      </c>
    </row>
    <row r="147" spans="1:26" s="24" customFormat="1" hidden="1" outlineLevel="1" x14ac:dyDescent="0.25">
      <c r="A147" s="44"/>
      <c r="B147" s="11" t="str">
        <f>CONCATENATE("          ", "5541", " - ", "FREIGHT-IN-LOGO GIFTS")</f>
        <v xml:space="preserve">          5541 - FREIGHT-IN-LOGO GIFTS</v>
      </c>
      <c r="C147" s="11"/>
      <c r="D147" s="2">
        <v>718.84</v>
      </c>
      <c r="E147" s="2"/>
      <c r="F147" s="19">
        <f t="shared" si="6"/>
        <v>1.5012967282365963E-3</v>
      </c>
      <c r="G147" s="2"/>
      <c r="H147" s="2"/>
      <c r="I147" s="2"/>
      <c r="J147" s="19">
        <f t="shared" si="7"/>
        <v>0</v>
      </c>
      <c r="K147" s="2"/>
      <c r="L147" s="2">
        <f t="shared" si="8"/>
        <v>718.84</v>
      </c>
      <c r="M147" s="2"/>
      <c r="N147" s="19">
        <f t="shared" si="9"/>
        <v>0</v>
      </c>
      <c r="O147" s="11"/>
      <c r="P147" s="2">
        <v>1536.85</v>
      </c>
      <c r="Q147" s="2"/>
      <c r="R147" s="19">
        <f t="shared" si="10"/>
        <v>3.3259276645477914E-4</v>
      </c>
      <c r="S147" s="2"/>
      <c r="T147" s="2"/>
      <c r="U147" s="2"/>
      <c r="V147" s="19">
        <f t="shared" si="11"/>
        <v>0</v>
      </c>
      <c r="W147" s="2"/>
      <c r="X147" s="2">
        <f t="shared" si="12"/>
        <v>1536.85</v>
      </c>
      <c r="Y147" s="2"/>
      <c r="Z147" s="19">
        <f t="shared" si="13"/>
        <v>0</v>
      </c>
    </row>
    <row r="148" spans="1:26" s="24" customFormat="1" hidden="1" outlineLevel="1" x14ac:dyDescent="0.25">
      <c r="A148" s="44"/>
      <c r="B148" s="11" t="str">
        <f>CONCATENATE("          ", "5542", " - ", "FREIGHT-IN-EVERYDAY GIFTS")</f>
        <v xml:space="preserve">          5542 - FREIGHT-IN-EVERYDAY GIFTS</v>
      </c>
      <c r="C148" s="11"/>
      <c r="D148" s="2">
        <v>596.04999999999995</v>
      </c>
      <c r="E148" s="2"/>
      <c r="F148" s="19">
        <f t="shared" si="6"/>
        <v>1.2448499177361069E-3</v>
      </c>
      <c r="G148" s="2"/>
      <c r="H148" s="2"/>
      <c r="I148" s="2"/>
      <c r="J148" s="19">
        <f t="shared" si="7"/>
        <v>0</v>
      </c>
      <c r="K148" s="2"/>
      <c r="L148" s="2">
        <f t="shared" si="8"/>
        <v>596.04999999999995</v>
      </c>
      <c r="M148" s="2"/>
      <c r="N148" s="19">
        <f t="shared" si="9"/>
        <v>0</v>
      </c>
      <c r="O148" s="11"/>
      <c r="P148" s="2">
        <v>767.73</v>
      </c>
      <c r="Q148" s="2"/>
      <c r="R148" s="19">
        <f t="shared" si="10"/>
        <v>1.6614597689450995E-4</v>
      </c>
      <c r="S148" s="2"/>
      <c r="T148" s="2"/>
      <c r="U148" s="2"/>
      <c r="V148" s="19">
        <f t="shared" si="11"/>
        <v>0</v>
      </c>
      <c r="W148" s="2"/>
      <c r="X148" s="2">
        <f t="shared" si="12"/>
        <v>767.73</v>
      </c>
      <c r="Y148" s="2"/>
      <c r="Z148" s="19">
        <f t="shared" si="13"/>
        <v>0</v>
      </c>
    </row>
    <row r="149" spans="1:26" s="24" customFormat="1" hidden="1" outlineLevel="1" x14ac:dyDescent="0.25">
      <c r="A149" s="44"/>
      <c r="B149" s="11" t="str">
        <f>CONCATENATE("          ", "5543", " - ", "FREIGHT-IN-CARDS")</f>
        <v xml:space="preserve">          5543 - FREIGHT-IN-CARDS</v>
      </c>
      <c r="C149" s="11"/>
      <c r="D149" s="2"/>
      <c r="E149" s="2"/>
      <c r="F149" s="19">
        <f t="shared" si="6"/>
        <v>0</v>
      </c>
      <c r="G149" s="2"/>
      <c r="H149" s="2"/>
      <c r="I149" s="2"/>
      <c r="J149" s="19">
        <f t="shared" si="7"/>
        <v>0</v>
      </c>
      <c r="K149" s="2"/>
      <c r="L149" s="2">
        <f t="shared" si="8"/>
        <v>0</v>
      </c>
      <c r="M149" s="2"/>
      <c r="N149" s="19">
        <f t="shared" si="9"/>
        <v>0</v>
      </c>
      <c r="O149" s="11"/>
      <c r="P149" s="2">
        <v>4.58</v>
      </c>
      <c r="Q149" s="2"/>
      <c r="R149" s="19">
        <f t="shared" si="10"/>
        <v>9.9116691307732614E-7</v>
      </c>
      <c r="S149" s="2"/>
      <c r="T149" s="2"/>
      <c r="U149" s="2"/>
      <c r="V149" s="19">
        <f t="shared" si="11"/>
        <v>0</v>
      </c>
      <c r="W149" s="2"/>
      <c r="X149" s="2">
        <f t="shared" si="12"/>
        <v>4.58</v>
      </c>
      <c r="Y149" s="2"/>
      <c r="Z149" s="19">
        <f t="shared" si="13"/>
        <v>0</v>
      </c>
    </row>
    <row r="150" spans="1:26" s="24" customFormat="1" hidden="1" outlineLevel="1" x14ac:dyDescent="0.25">
      <c r="A150" s="44"/>
      <c r="B150" s="11" t="str">
        <f>CONCATENATE("          ", "5544", " - ", "FREIGHT-IN-ACCESSORIES")</f>
        <v xml:space="preserve">          5544 - FREIGHT-IN-ACCESSORIES</v>
      </c>
      <c r="C150" s="11"/>
      <c r="D150" s="2">
        <v>223.25</v>
      </c>
      <c r="E150" s="2"/>
      <c r="F150" s="19">
        <f t="shared" si="6"/>
        <v>4.6625743500475783E-4</v>
      </c>
      <c r="G150" s="2"/>
      <c r="H150" s="2"/>
      <c r="I150" s="2"/>
      <c r="J150" s="19">
        <f t="shared" si="7"/>
        <v>0</v>
      </c>
      <c r="K150" s="2"/>
      <c r="L150" s="2">
        <f t="shared" si="8"/>
        <v>223.25</v>
      </c>
      <c r="M150" s="2"/>
      <c r="N150" s="19">
        <f t="shared" si="9"/>
        <v>0</v>
      </c>
      <c r="O150" s="11"/>
      <c r="P150" s="2">
        <v>359.09</v>
      </c>
      <c r="Q150" s="2"/>
      <c r="R150" s="19">
        <f t="shared" si="10"/>
        <v>7.7711381401077945E-5</v>
      </c>
      <c r="S150" s="2"/>
      <c r="T150" s="2"/>
      <c r="U150" s="2"/>
      <c r="V150" s="19">
        <f t="shared" si="11"/>
        <v>0</v>
      </c>
      <c r="W150" s="2"/>
      <c r="X150" s="2">
        <f t="shared" si="12"/>
        <v>359.09</v>
      </c>
      <c r="Y150" s="2"/>
      <c r="Z150" s="19">
        <f t="shared" si="13"/>
        <v>0</v>
      </c>
    </row>
    <row r="151" spans="1:26" s="24" customFormat="1" hidden="1" outlineLevel="1" x14ac:dyDescent="0.25">
      <c r="A151" s="44"/>
      <c r="B151" s="11" t="str">
        <f>CONCATENATE("          ", "5545", " - ", "FREIGHT-IN-SPECIAL ORDERS")</f>
        <v xml:space="preserve">          5545 - FREIGHT-IN-SPECIAL ORDERS</v>
      </c>
      <c r="C151" s="11"/>
      <c r="D151" s="2">
        <v>84.47</v>
      </c>
      <c r="E151" s="2"/>
      <c r="F151" s="19">
        <f t="shared" si="6"/>
        <v>1.7641552311243848E-4</v>
      </c>
      <c r="G151" s="2"/>
      <c r="H151" s="2"/>
      <c r="I151" s="2"/>
      <c r="J151" s="19">
        <f t="shared" si="7"/>
        <v>0</v>
      </c>
      <c r="K151" s="2"/>
      <c r="L151" s="2">
        <f t="shared" si="8"/>
        <v>84.47</v>
      </c>
      <c r="M151" s="2"/>
      <c r="N151" s="19">
        <f t="shared" si="9"/>
        <v>0</v>
      </c>
      <c r="O151" s="11"/>
      <c r="P151" s="2">
        <v>346.98</v>
      </c>
      <c r="Q151" s="2"/>
      <c r="R151" s="19">
        <f t="shared" si="10"/>
        <v>7.509063220514643E-5</v>
      </c>
      <c r="S151" s="2"/>
      <c r="T151" s="2"/>
      <c r="U151" s="2"/>
      <c r="V151" s="19">
        <f t="shared" si="11"/>
        <v>0</v>
      </c>
      <c r="W151" s="2"/>
      <c r="X151" s="2">
        <f t="shared" si="12"/>
        <v>346.98</v>
      </c>
      <c r="Y151" s="2"/>
      <c r="Z151" s="19">
        <f t="shared" si="13"/>
        <v>0</v>
      </c>
    </row>
    <row r="152" spans="1:26" s="24" customFormat="1" hidden="1" outlineLevel="1" x14ac:dyDescent="0.25">
      <c r="A152" s="44"/>
      <c r="B152" s="11" t="str">
        <f>CONCATENATE("          ", "5592", " - ", "FREIGHT-IN-GRAD MERCH")</f>
        <v xml:space="preserve">          5592 - FREIGHT-IN-GRAD MERCH</v>
      </c>
      <c r="C152" s="11"/>
      <c r="D152" s="2"/>
      <c r="E152" s="2"/>
      <c r="F152" s="19">
        <f t="shared" si="6"/>
        <v>0</v>
      </c>
      <c r="G152" s="2"/>
      <c r="H152" s="2"/>
      <c r="I152" s="2"/>
      <c r="J152" s="19">
        <f t="shared" si="7"/>
        <v>0</v>
      </c>
      <c r="K152" s="2"/>
      <c r="L152" s="2">
        <f t="shared" si="8"/>
        <v>0</v>
      </c>
      <c r="M152" s="2"/>
      <c r="N152" s="19">
        <f t="shared" si="9"/>
        <v>0</v>
      </c>
      <c r="O152" s="11"/>
      <c r="P152" s="2">
        <v>70.78</v>
      </c>
      <c r="Q152" s="2"/>
      <c r="R152" s="19">
        <f t="shared" si="10"/>
        <v>1.5317640634850032E-5</v>
      </c>
      <c r="S152" s="2"/>
      <c r="T152" s="2"/>
      <c r="U152" s="2"/>
      <c r="V152" s="19">
        <f t="shared" si="11"/>
        <v>0</v>
      </c>
      <c r="W152" s="2"/>
      <c r="X152" s="2">
        <f t="shared" si="12"/>
        <v>70.78</v>
      </c>
      <c r="Y152" s="2"/>
      <c r="Z152" s="19">
        <f t="shared" si="13"/>
        <v>0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8" t="s">
        <v>6</v>
      </c>
      <c r="C154" s="28"/>
      <c r="D154" s="22">
        <f>D12-D103</f>
        <v>265722.14</v>
      </c>
      <c r="E154" s="14"/>
      <c r="F154" s="20">
        <f>IF(D$12=0,0,D154/D$12)</f>
        <v>0.55496046324916082</v>
      </c>
      <c r="G154" s="14"/>
      <c r="H154" s="22">
        <f>H12-H103</f>
        <v>275483.15737999999</v>
      </c>
      <c r="I154" s="14"/>
      <c r="J154" s="20">
        <f>IF(H$12=0,0,H154/H$12)</f>
        <v>0.56804327632911744</v>
      </c>
      <c r="K154" s="16"/>
      <c r="L154" s="22">
        <f>+D154-H154</f>
        <v>-9761.0173799999757</v>
      </c>
      <c r="M154" s="16"/>
      <c r="N154" s="20">
        <f>IF(H154=0,0,L154/H154)</f>
        <v>-3.5432356274818215E-2</v>
      </c>
      <c r="O154" s="29"/>
      <c r="P154" s="22">
        <f>P12-P103</f>
        <v>1805622.8499999982</v>
      </c>
      <c r="Q154" s="14"/>
      <c r="R154" s="20">
        <f>IF(P$12=0,0,P154/P$12)</f>
        <v>0.39075843371536728</v>
      </c>
      <c r="S154" s="14"/>
      <c r="T154" s="22">
        <f>T12-T103</f>
        <v>1942453.6653899993</v>
      </c>
      <c r="U154" s="14"/>
      <c r="V154" s="20">
        <f>IF(T$12=0,0,T154/T$12)</f>
        <v>0.39761281528326048</v>
      </c>
      <c r="W154" s="16"/>
      <c r="X154" s="22">
        <f>+P154-T154</f>
        <v>-136830.81539000105</v>
      </c>
      <c r="Y154" s="16"/>
      <c r="Z154" s="20">
        <f>IF(T154=0,0,X154/T154)</f>
        <v>-7.0442254468154136E-2</v>
      </c>
    </row>
    <row r="155" spans="1:26" x14ac:dyDescent="0.25">
      <c r="A155" s="9"/>
      <c r="B155" s="10"/>
      <c r="C155" s="9"/>
      <c r="D155" s="1"/>
      <c r="E155" s="1"/>
      <c r="F155" s="5"/>
      <c r="G155" s="1"/>
      <c r="H155" s="1"/>
      <c r="I155" s="1"/>
      <c r="J155" s="5"/>
      <c r="K155" s="1"/>
      <c r="L155" s="1"/>
      <c r="M155" s="1"/>
      <c r="N155" s="5"/>
      <c r="O155" s="36"/>
      <c r="P155" s="1"/>
      <c r="Q155" s="1"/>
      <c r="R155" s="5"/>
      <c r="S155" s="1"/>
      <c r="T155" s="1"/>
      <c r="U155" s="1"/>
      <c r="V155" s="5"/>
      <c r="W155" s="1"/>
      <c r="X155" s="1"/>
      <c r="Y155" s="1"/>
      <c r="Z155" s="5"/>
    </row>
    <row r="156" spans="1:26" s="23" customFormat="1" x14ac:dyDescent="0.25">
      <c r="A156" s="10"/>
      <c r="B156" s="29" t="s">
        <v>9</v>
      </c>
      <c r="C156" s="10"/>
      <c r="D156" s="21">
        <f>SUM(OSRRefD22x_0)</f>
        <v>402930.09000000008</v>
      </c>
      <c r="E156" s="21"/>
      <c r="F156" s="35">
        <f t="shared" ref="F156:F167" si="14">IF(D$12=0,0,D156/D$12)</f>
        <v>0.84151915005436173</v>
      </c>
      <c r="G156" s="21"/>
      <c r="H156" s="21">
        <f>SUM(OSRRefH22x_0)</f>
        <v>384334.87449582282</v>
      </c>
      <c r="I156" s="21"/>
      <c r="J156" s="35">
        <f t="shared" ref="J156:J167" si="15">IF(H$12=0,0,H156/H$12)</f>
        <v>0.79249433392764379</v>
      </c>
      <c r="K156" s="4"/>
      <c r="L156" s="21">
        <f t="shared" ref="L156:L167" si="16">+D156-H156</f>
        <v>18595.215504177264</v>
      </c>
      <c r="M156" s="4"/>
      <c r="N156" s="35">
        <f t="shared" ref="N156:N167" si="17">IF(H156=0,0,L156/H156)</f>
        <v>4.8382847194314051E-2</v>
      </c>
      <c r="O156" s="10"/>
      <c r="P156" s="21">
        <f>SUM(OSRRefP22x_0)</f>
        <v>1523023.7099999993</v>
      </c>
      <c r="Q156" s="21"/>
      <c r="R156" s="35">
        <f t="shared" ref="R156:R167" si="18">IF(P$12=0,0,P156/P$12)</f>
        <v>0.32960059152495108</v>
      </c>
      <c r="S156" s="21"/>
      <c r="T156" s="21">
        <f>SUM(OSRRefT22x_0)</f>
        <v>1636678.1162234233</v>
      </c>
      <c r="U156" s="21"/>
      <c r="V156" s="35">
        <f t="shared" ref="V156:V167" si="19">IF(T$12=0,0,T156/T$12)</f>
        <v>0.33502173313021621</v>
      </c>
      <c r="W156" s="4"/>
      <c r="X156" s="21">
        <f t="shared" ref="X156:X167" si="20">+P156-T156</f>
        <v>-113654.40622342401</v>
      </c>
      <c r="Y156" s="4"/>
      <c r="Z156" s="35">
        <f t="shared" ref="Z156:Z167" si="21">IF(T156=0,0,X156/T156)</f>
        <v>-6.9442124933934798E-2</v>
      </c>
    </row>
    <row r="157" spans="1:26" s="26" customFormat="1" outlineLevel="1" collapsed="1" x14ac:dyDescent="0.25">
      <c r="A157" s="25"/>
      <c r="B157" s="13" t="str">
        <f>CONCATENATE("     ","*Benefits                                         ")</f>
        <v xml:space="preserve">     *Benefits                                         </v>
      </c>
      <c r="C157" s="13"/>
      <c r="D157" s="1">
        <f>SUM(OSRRefD22_0x_0)</f>
        <v>60988.17</v>
      </c>
      <c r="E157" s="1"/>
      <c r="F157" s="5">
        <f t="shared" si="14"/>
        <v>0.12737374114147423</v>
      </c>
      <c r="G157" s="1"/>
      <c r="H157" s="1">
        <f>SUM(OSRRefH22_0x_0)</f>
        <v>51653.050718217455</v>
      </c>
      <c r="I157" s="1"/>
      <c r="J157" s="5">
        <f t="shared" si="15"/>
        <v>0.1065080291710802</v>
      </c>
      <c r="K157" s="1"/>
      <c r="L157" s="1">
        <f t="shared" si="16"/>
        <v>9335.1192817825431</v>
      </c>
      <c r="M157" s="1"/>
      <c r="N157" s="5">
        <f t="shared" si="17"/>
        <v>0.18072735592537134</v>
      </c>
      <c r="O157" s="13"/>
      <c r="P157" s="1">
        <f>SUM(OSRRefP22_0x_0)</f>
        <v>217425.46000000002</v>
      </c>
      <c r="Q157" s="1"/>
      <c r="R157" s="5">
        <f t="shared" si="18"/>
        <v>4.7053476421968922E-2</v>
      </c>
      <c r="S157" s="1"/>
      <c r="T157" s="1">
        <f>SUM(OSRRefT22_0x_0)</f>
        <v>204322.37918202786</v>
      </c>
      <c r="U157" s="1"/>
      <c r="V157" s="5">
        <f t="shared" si="19"/>
        <v>4.1824007367315306E-2</v>
      </c>
      <c r="W157" s="1"/>
      <c r="X157" s="1">
        <f t="shared" si="20"/>
        <v>13103.080817972164</v>
      </c>
      <c r="Y157" s="1"/>
      <c r="Z157" s="5">
        <f t="shared" si="21"/>
        <v>6.412944519552026E-2</v>
      </c>
    </row>
    <row r="158" spans="1:26" s="24" customFormat="1" hidden="1" outlineLevel="2" x14ac:dyDescent="0.25">
      <c r="A158" s="27"/>
      <c r="B158" s="11" t="str">
        <f>CONCATENATE("          ", "6111", " - ", "F.I.C.A.")</f>
        <v xml:space="preserve">          6111 - F.I.C.A.</v>
      </c>
      <c r="C158" s="11"/>
      <c r="D158" s="6">
        <v>15804.64</v>
      </c>
      <c r="E158" s="2"/>
      <c r="F158" s="7">
        <f t="shared" si="14"/>
        <v>3.3007977189579374E-2</v>
      </c>
      <c r="G158" s="2"/>
      <c r="H158" s="6">
        <v>9345.3407132754801</v>
      </c>
      <c r="I158" s="2"/>
      <c r="J158" s="7">
        <f t="shared" si="15"/>
        <v>1.926999097755475E-2</v>
      </c>
      <c r="K158" s="2"/>
      <c r="L158" s="6">
        <f t="shared" si="16"/>
        <v>6459.2992867245193</v>
      </c>
      <c r="M158" s="2"/>
      <c r="N158" s="7">
        <f t="shared" si="17"/>
        <v>0.69117857603081201</v>
      </c>
      <c r="O158" s="11"/>
      <c r="P158" s="6">
        <v>48200.75</v>
      </c>
      <c r="Q158" s="2"/>
      <c r="R158" s="7">
        <f t="shared" si="18"/>
        <v>1.0431220215177277E-2</v>
      </c>
      <c r="S158" s="2"/>
      <c r="T158" s="6">
        <v>42205.95294016743</v>
      </c>
      <c r="U158" s="2"/>
      <c r="V158" s="7">
        <f t="shared" si="19"/>
        <v>8.639396691546522E-3</v>
      </c>
      <c r="W158" s="2"/>
      <c r="X158" s="6">
        <f t="shared" si="20"/>
        <v>5994.7970598325701</v>
      </c>
      <c r="Y158" s="2"/>
      <c r="Z158" s="7">
        <f t="shared" si="21"/>
        <v>0.1420367659588446</v>
      </c>
    </row>
    <row r="159" spans="1:26" s="24" customFormat="1" hidden="1" outlineLevel="2" x14ac:dyDescent="0.25">
      <c r="A159" s="27"/>
      <c r="B159" s="11" t="str">
        <f>CONCATENATE("          ", "6112", " - ", "COMPENSATION INSURANCE")</f>
        <v xml:space="preserve">          6112 - COMPENSATION INSURANCE</v>
      </c>
      <c r="C159" s="11"/>
      <c r="D159" s="6">
        <v>88.86</v>
      </c>
      <c r="E159" s="2"/>
      <c r="F159" s="7">
        <f t="shared" si="14"/>
        <v>1.8558403437636184E-4</v>
      </c>
      <c r="G159" s="2"/>
      <c r="H159" s="6">
        <v>3585.6121489903803</v>
      </c>
      <c r="I159" s="2"/>
      <c r="J159" s="7">
        <f t="shared" si="15"/>
        <v>7.3934932796942496E-3</v>
      </c>
      <c r="K159" s="2"/>
      <c r="L159" s="6">
        <f t="shared" si="16"/>
        <v>-3496.7521489903802</v>
      </c>
      <c r="M159" s="2"/>
      <c r="N159" s="7">
        <f t="shared" si="17"/>
        <v>-0.97521762078337981</v>
      </c>
      <c r="O159" s="11"/>
      <c r="P159" s="6">
        <v>8248.8799999999992</v>
      </c>
      <c r="Q159" s="2"/>
      <c r="R159" s="7">
        <f t="shared" si="18"/>
        <v>1.7851565340491905E-3</v>
      </c>
      <c r="S159" s="2"/>
      <c r="T159" s="6">
        <v>14531.497806365378</v>
      </c>
      <c r="U159" s="2"/>
      <c r="V159" s="7">
        <f t="shared" si="19"/>
        <v>2.9745418673404458E-3</v>
      </c>
      <c r="W159" s="2"/>
      <c r="X159" s="6">
        <f t="shared" si="20"/>
        <v>-6282.6178063653788</v>
      </c>
      <c r="Y159" s="2"/>
      <c r="Z159" s="7">
        <f t="shared" si="21"/>
        <v>-0.43234482020245296</v>
      </c>
    </row>
    <row r="160" spans="1:26" s="24" customFormat="1" hidden="1" outlineLevel="2" x14ac:dyDescent="0.25">
      <c r="A160" s="27"/>
      <c r="B160" s="11" t="str">
        <f>CONCATENATE("          ", "6113", " - ", "GROUP INSURANCE")</f>
        <v xml:space="preserve">          6113 - GROUP INSURANCE</v>
      </c>
      <c r="C160" s="11"/>
      <c r="D160" s="6">
        <v>19005.5</v>
      </c>
      <c r="E160" s="2"/>
      <c r="F160" s="7">
        <f t="shared" si="14"/>
        <v>3.9692970575511424E-2</v>
      </c>
      <c r="G160" s="2"/>
      <c r="H160" s="6">
        <v>18982.511538461542</v>
      </c>
      <c r="I160" s="2"/>
      <c r="J160" s="7">
        <f t="shared" si="15"/>
        <v>3.9141732474007887E-2</v>
      </c>
      <c r="K160" s="2"/>
      <c r="L160" s="6">
        <f t="shared" si="16"/>
        <v>22.988461538458068</v>
      </c>
      <c r="M160" s="2"/>
      <c r="N160" s="7">
        <f t="shared" si="17"/>
        <v>1.2110337186878482E-3</v>
      </c>
      <c r="O160" s="11"/>
      <c r="P160" s="6">
        <v>75569.600000000006</v>
      </c>
      <c r="Q160" s="2"/>
      <c r="R160" s="7">
        <f t="shared" si="18"/>
        <v>1.6354167500979979E-2</v>
      </c>
      <c r="S160" s="2"/>
      <c r="T160" s="6">
        <v>74986.661538461543</v>
      </c>
      <c r="U160" s="2"/>
      <c r="V160" s="7">
        <f t="shared" si="19"/>
        <v>1.534948201557971E-2</v>
      </c>
      <c r="W160" s="2"/>
      <c r="X160" s="6">
        <f t="shared" si="20"/>
        <v>582.93846153846243</v>
      </c>
      <c r="Y160" s="2"/>
      <c r="Z160" s="7">
        <f t="shared" si="21"/>
        <v>7.7738953779061953E-3</v>
      </c>
    </row>
    <row r="161" spans="1:26" s="24" customFormat="1" hidden="1" outlineLevel="2" x14ac:dyDescent="0.25">
      <c r="A161" s="27"/>
      <c r="B161" s="11" t="str">
        <f>CONCATENATE("          ", "6114", " - ", "STATE UNEMPLOYMENT INSURANCE")</f>
        <v xml:space="preserve">          6114 - STATE UNEMPLOYMENT INSURANCE</v>
      </c>
      <c r="C161" s="11"/>
      <c r="D161" s="6">
        <v>601.82000000000005</v>
      </c>
      <c r="E161" s="2"/>
      <c r="F161" s="7">
        <f t="shared" si="14"/>
        <v>1.2569005578255917E-3</v>
      </c>
      <c r="G161" s="2"/>
      <c r="H161" s="6">
        <v>510.81033593842403</v>
      </c>
      <c r="I161" s="2"/>
      <c r="J161" s="7">
        <f t="shared" si="15"/>
        <v>1.0532853607779407E-3</v>
      </c>
      <c r="K161" s="2"/>
      <c r="L161" s="6">
        <f t="shared" si="16"/>
        <v>91.009664061576018</v>
      </c>
      <c r="M161" s="2"/>
      <c r="N161" s="7">
        <f t="shared" si="17"/>
        <v>0.17816723284265501</v>
      </c>
      <c r="O161" s="11"/>
      <c r="P161" s="6">
        <v>2006.24</v>
      </c>
      <c r="Q161" s="2"/>
      <c r="R161" s="7">
        <f t="shared" si="18"/>
        <v>4.341743903258198E-4</v>
      </c>
      <c r="S161" s="2"/>
      <c r="T161" s="6">
        <v>2063.1881340275681</v>
      </c>
      <c r="U161" s="2"/>
      <c r="V161" s="7">
        <f t="shared" si="19"/>
        <v>4.2232669795241222E-4</v>
      </c>
      <c r="W161" s="2"/>
      <c r="X161" s="6">
        <f t="shared" si="20"/>
        <v>-56.94813402756813</v>
      </c>
      <c r="Y161" s="2"/>
      <c r="Z161" s="7">
        <f t="shared" si="21"/>
        <v>-2.760200734404146E-2</v>
      </c>
    </row>
    <row r="162" spans="1:26" s="24" customFormat="1" hidden="1" outlineLevel="2" x14ac:dyDescent="0.25">
      <c r="A162" s="27"/>
      <c r="B162" s="11" t="str">
        <f>CONCATENATE("          ", "6115", " - ", "P.E.R.S.")</f>
        <v xml:space="preserve">          6115 - P.E.R.S.</v>
      </c>
      <c r="C162" s="11"/>
      <c r="D162" s="6">
        <v>10951.07</v>
      </c>
      <c r="E162" s="2"/>
      <c r="F162" s="7">
        <f t="shared" si="14"/>
        <v>2.2871300375173809E-2</v>
      </c>
      <c r="G162" s="2"/>
      <c r="H162" s="6">
        <v>7510.6394099038407</v>
      </c>
      <c r="I162" s="2"/>
      <c r="J162" s="7">
        <f t="shared" si="15"/>
        <v>1.5486856831117852E-2</v>
      </c>
      <c r="K162" s="2"/>
      <c r="L162" s="6">
        <f t="shared" si="16"/>
        <v>3440.430590096159</v>
      </c>
      <c r="M162" s="2"/>
      <c r="N162" s="7">
        <f t="shared" si="17"/>
        <v>0.45807426003696361</v>
      </c>
      <c r="O162" s="11"/>
      <c r="P162" s="6">
        <v>29641.030000000002</v>
      </c>
      <c r="Q162" s="2"/>
      <c r="R162" s="7">
        <f t="shared" si="18"/>
        <v>6.414674280683934E-3</v>
      </c>
      <c r="S162" s="2"/>
      <c r="T162" s="6">
        <v>27038.301875653819</v>
      </c>
      <c r="U162" s="2"/>
      <c r="V162" s="7">
        <f t="shared" si="19"/>
        <v>5.5346366921441457E-3</v>
      </c>
      <c r="W162" s="2"/>
      <c r="X162" s="6">
        <f t="shared" si="20"/>
        <v>2602.7281243461839</v>
      </c>
      <c r="Y162" s="2"/>
      <c r="Z162" s="7">
        <f t="shared" si="21"/>
        <v>9.6260783547570589E-2</v>
      </c>
    </row>
    <row r="163" spans="1:26" s="24" customFormat="1" hidden="1" outlineLevel="2" x14ac:dyDescent="0.25">
      <c r="A163" s="27"/>
      <c r="B163" s="11" t="str">
        <f>CONCATENATE("          ", "6116", " - ", "EDUCATIONAL BENEFITS")</f>
        <v xml:space="preserve">          6116 - EDUCATIONAL BENEFITS</v>
      </c>
      <c r="C163" s="11"/>
      <c r="D163" s="6"/>
      <c r="E163" s="2"/>
      <c r="F163" s="7">
        <f t="shared" si="14"/>
        <v>0</v>
      </c>
      <c r="G163" s="2"/>
      <c r="H163" s="6">
        <v>0</v>
      </c>
      <c r="I163" s="2"/>
      <c r="J163" s="7">
        <f t="shared" si="15"/>
        <v>0</v>
      </c>
      <c r="K163" s="2"/>
      <c r="L163" s="6">
        <f t="shared" si="16"/>
        <v>0</v>
      </c>
      <c r="M163" s="2"/>
      <c r="N163" s="7">
        <f t="shared" si="17"/>
        <v>0</v>
      </c>
      <c r="O163" s="11"/>
      <c r="P163" s="6"/>
      <c r="Q163" s="2"/>
      <c r="R163" s="7">
        <f t="shared" si="18"/>
        <v>0</v>
      </c>
      <c r="S163" s="2"/>
      <c r="T163" s="6">
        <v>0</v>
      </c>
      <c r="U163" s="2"/>
      <c r="V163" s="7">
        <f t="shared" si="19"/>
        <v>0</v>
      </c>
      <c r="W163" s="2"/>
      <c r="X163" s="6">
        <f t="shared" si="20"/>
        <v>0</v>
      </c>
      <c r="Y163" s="2"/>
      <c r="Z163" s="7">
        <f t="shared" si="21"/>
        <v>0</v>
      </c>
    </row>
    <row r="164" spans="1:26" s="24" customFormat="1" hidden="1" outlineLevel="2" x14ac:dyDescent="0.25">
      <c r="A164" s="27"/>
      <c r="B164" s="11" t="str">
        <f>CONCATENATE("          ", "6117", " - ", "RETIREMENT STAFF HOURLY")</f>
        <v xml:space="preserve">          6117 - RETIREMENT STAFF HOURLY</v>
      </c>
      <c r="C164" s="11"/>
      <c r="D164" s="6">
        <v>91.29</v>
      </c>
      <c r="E164" s="2"/>
      <c r="F164" s="7">
        <f t="shared" si="14"/>
        <v>1.9065908730832854E-4</v>
      </c>
      <c r="G164" s="2"/>
      <c r="H164" s="6"/>
      <c r="I164" s="2"/>
      <c r="J164" s="7">
        <f t="shared" si="15"/>
        <v>0</v>
      </c>
      <c r="K164" s="2"/>
      <c r="L164" s="6">
        <f t="shared" si="16"/>
        <v>91.29</v>
      </c>
      <c r="M164" s="2"/>
      <c r="N164" s="7">
        <f t="shared" si="17"/>
        <v>0</v>
      </c>
      <c r="O164" s="11"/>
      <c r="P164" s="6">
        <v>552.63</v>
      </c>
      <c r="Q164" s="2"/>
      <c r="R164" s="7">
        <f t="shared" si="18"/>
        <v>1.1959575789823639E-4</v>
      </c>
      <c r="S164" s="2"/>
      <c r="T164" s="6"/>
      <c r="U164" s="2"/>
      <c r="V164" s="7">
        <f t="shared" si="19"/>
        <v>0</v>
      </c>
      <c r="W164" s="2"/>
      <c r="X164" s="6">
        <f t="shared" si="20"/>
        <v>552.63</v>
      </c>
      <c r="Y164" s="2"/>
      <c r="Z164" s="7">
        <f t="shared" si="21"/>
        <v>0</v>
      </c>
    </row>
    <row r="165" spans="1:26" s="24" customFormat="1" hidden="1" outlineLevel="2" x14ac:dyDescent="0.25">
      <c r="A165" s="27"/>
      <c r="B165" s="11" t="str">
        <f>CONCATENATE("          ", "6118", " - ", "VACATION")</f>
        <v xml:space="preserve">          6118 - VACATION</v>
      </c>
      <c r="C165" s="11"/>
      <c r="D165" s="6">
        <v>7232.76</v>
      </c>
      <c r="E165" s="2"/>
      <c r="F165" s="7">
        <f t="shared" si="14"/>
        <v>1.5105613104613717E-2</v>
      </c>
      <c r="G165" s="2"/>
      <c r="H165" s="6">
        <v>5470.7532486730752</v>
      </c>
      <c r="I165" s="2"/>
      <c r="J165" s="7">
        <f t="shared" si="15"/>
        <v>1.1280633737901356E-2</v>
      </c>
      <c r="K165" s="2"/>
      <c r="L165" s="6">
        <f t="shared" si="16"/>
        <v>1762.006751326925</v>
      </c>
      <c r="M165" s="2"/>
      <c r="N165" s="7">
        <f t="shared" si="17"/>
        <v>0.32207754055701521</v>
      </c>
      <c r="O165" s="11"/>
      <c r="P165" s="6">
        <v>24697.98</v>
      </c>
      <c r="Q165" s="2"/>
      <c r="R165" s="7">
        <f t="shared" si="18"/>
        <v>5.3449389947260997E-3</v>
      </c>
      <c r="S165" s="2"/>
      <c r="T165" s="6">
        <v>19694.711695223064</v>
      </c>
      <c r="U165" s="2"/>
      <c r="V165" s="7">
        <f t="shared" si="19"/>
        <v>4.0314319475710852E-3</v>
      </c>
      <c r="W165" s="2"/>
      <c r="X165" s="6">
        <f t="shared" si="20"/>
        <v>5003.2683047769351</v>
      </c>
      <c r="Y165" s="2"/>
      <c r="Z165" s="7">
        <f t="shared" si="21"/>
        <v>0.25404120569028049</v>
      </c>
    </row>
    <row r="166" spans="1:26" s="24" customFormat="1" hidden="1" outlineLevel="2" x14ac:dyDescent="0.25">
      <c r="A166" s="27"/>
      <c r="B166" s="11" t="str">
        <f>CONCATENATE("          ", "6119", " - ", "SICK LEAVE")</f>
        <v xml:space="preserve">          6119 - SICK LEAVE</v>
      </c>
      <c r="C166" s="11"/>
      <c r="D166" s="6">
        <v>5069.59</v>
      </c>
      <c r="E166" s="2"/>
      <c r="F166" s="7">
        <f t="shared" si="14"/>
        <v>1.0587834400563361E-2</v>
      </c>
      <c r="G166" s="2"/>
      <c r="H166" s="6">
        <v>4697.3833229747015</v>
      </c>
      <c r="I166" s="2"/>
      <c r="J166" s="7">
        <f t="shared" si="15"/>
        <v>9.6859533567623668E-3</v>
      </c>
      <c r="K166" s="2"/>
      <c r="L166" s="6">
        <f t="shared" si="16"/>
        <v>372.20667702529863</v>
      </c>
      <c r="M166" s="2"/>
      <c r="N166" s="7">
        <f t="shared" si="17"/>
        <v>7.9237024409920226E-2</v>
      </c>
      <c r="O166" s="11"/>
      <c r="P166" s="6">
        <v>20571.350000000002</v>
      </c>
      <c r="Q166" s="2"/>
      <c r="R166" s="7">
        <f t="shared" si="18"/>
        <v>4.451886785443942E-3</v>
      </c>
      <c r="S166" s="2"/>
      <c r="T166" s="6">
        <v>17602.065192129092</v>
      </c>
      <c r="U166" s="2"/>
      <c r="V166" s="7">
        <f t="shared" si="19"/>
        <v>3.6030752344544271E-3</v>
      </c>
      <c r="W166" s="2"/>
      <c r="X166" s="6">
        <f t="shared" si="20"/>
        <v>2969.2848078709103</v>
      </c>
      <c r="Y166" s="2"/>
      <c r="Z166" s="7">
        <f t="shared" si="21"/>
        <v>0.16868956997151963</v>
      </c>
    </row>
    <row r="167" spans="1:26" s="24" customFormat="1" hidden="1" outlineLevel="2" x14ac:dyDescent="0.25">
      <c r="A167" s="27"/>
      <c r="B167" s="11" t="str">
        <f>CONCATENATE("          ", "6156", " - ", "EMPLOYEE MEALS")</f>
        <v xml:space="preserve">          6156 - EMPLOYEE MEALS</v>
      </c>
      <c r="C167" s="11"/>
      <c r="D167" s="6">
        <v>2142.64</v>
      </c>
      <c r="E167" s="2"/>
      <c r="F167" s="7">
        <f t="shared" si="14"/>
        <v>4.4749018165222585E-3</v>
      </c>
      <c r="G167" s="2"/>
      <c r="H167" s="6">
        <v>1550</v>
      </c>
      <c r="I167" s="2"/>
      <c r="J167" s="7">
        <f t="shared" si="15"/>
        <v>3.1960831532637781E-3</v>
      </c>
      <c r="K167" s="2"/>
      <c r="L167" s="6">
        <f t="shared" si="16"/>
        <v>592.63999999999987</v>
      </c>
      <c r="M167" s="2"/>
      <c r="N167" s="7">
        <f t="shared" si="17"/>
        <v>0.3823483870967741</v>
      </c>
      <c r="O167" s="11"/>
      <c r="P167" s="6">
        <v>7937</v>
      </c>
      <c r="Q167" s="2"/>
      <c r="R167" s="7">
        <f t="shared" si="18"/>
        <v>1.7176619626844405E-3</v>
      </c>
      <c r="S167" s="2"/>
      <c r="T167" s="6">
        <v>6200</v>
      </c>
      <c r="U167" s="2"/>
      <c r="V167" s="7">
        <f t="shared" si="19"/>
        <v>1.2691162207265625E-3</v>
      </c>
      <c r="W167" s="2"/>
      <c r="X167" s="6">
        <f t="shared" si="20"/>
        <v>1737</v>
      </c>
      <c r="Y167" s="2"/>
      <c r="Z167" s="7">
        <f t="shared" si="21"/>
        <v>0.28016129032258064</v>
      </c>
    </row>
    <row r="168" spans="1:26" s="26" customFormat="1" outlineLevel="1" collapsed="1" x14ac:dyDescent="0.25">
      <c r="A168" s="25"/>
      <c r="B168" s="13" t="str">
        <f>CONCATENATE("     ","*Payroll                                          ")</f>
        <v xml:space="preserve">     *Payroll                                          </v>
      </c>
      <c r="C168" s="13"/>
      <c r="D168" s="1">
        <f>SUM(OSRRefD22_1x_0)</f>
        <v>184807.12</v>
      </c>
      <c r="E168" s="1"/>
      <c r="F168" s="5">
        <f t="shared" ref="F168:F178" si="22">IF(D$12=0,0,D168/D$12)</f>
        <v>0.38596951284128322</v>
      </c>
      <c r="G168" s="1"/>
      <c r="H168" s="1">
        <f>SUM(OSRRefH22_1x_0)</f>
        <v>187365.32377760537</v>
      </c>
      <c r="I168" s="1"/>
      <c r="J168" s="5">
        <f t="shared" ref="J168:J178" si="23">IF(H$12=0,0,H168/H$12)</f>
        <v>0.38634526118155982</v>
      </c>
      <c r="K168" s="1"/>
      <c r="L168" s="1">
        <f t="shared" ref="L168:L178" si="24">+D168-H168</f>
        <v>-2558.2037776053767</v>
      </c>
      <c r="M168" s="1"/>
      <c r="N168" s="5">
        <f t="shared" ref="N168:N178" si="25">IF(H168=0,0,L168/H168)</f>
        <v>-1.3653560466940272E-2</v>
      </c>
      <c r="O168" s="13"/>
      <c r="P168" s="1">
        <f>SUM(OSRRefP22_1x_0)</f>
        <v>751398.41999999993</v>
      </c>
      <c r="Q168" s="1"/>
      <c r="R168" s="5">
        <f t="shared" ref="R168:R178" si="26">IF(P$12=0,0,P168/P$12)</f>
        <v>0.16261162717086902</v>
      </c>
      <c r="S168" s="1"/>
      <c r="T168" s="1">
        <f>SUM(OSRRefT22_1x_0)</f>
        <v>761010.73704139551</v>
      </c>
      <c r="U168" s="1"/>
      <c r="V168" s="5">
        <f t="shared" ref="V168:V178" si="27">IF(T$12=0,0,T168/T$12)</f>
        <v>0.15577597911714705</v>
      </c>
      <c r="W168" s="1"/>
      <c r="X168" s="1">
        <f t="shared" ref="X168:X178" si="28">+P168-T168</f>
        <v>-9612.3170413955813</v>
      </c>
      <c r="Y168" s="1"/>
      <c r="Z168" s="5">
        <f t="shared" ref="Z168:Z178" si="29">IF(T168=0,0,X168/T168)</f>
        <v>-1.2630987413877599E-2</v>
      </c>
    </row>
    <row r="169" spans="1:26" s="24" customFormat="1" hidden="1" outlineLevel="2" x14ac:dyDescent="0.25">
      <c r="A169" s="27"/>
      <c r="B169" s="11" t="str">
        <f>CONCATENATE("          ", "6001", " - ", "ADMINISTRATIVE SALARIES")</f>
        <v xml:space="preserve">          6001 - ADMINISTRATIVE SALARIES</v>
      </c>
      <c r="C169" s="11"/>
      <c r="D169" s="6">
        <v>12324.99</v>
      </c>
      <c r="E169" s="2"/>
      <c r="F169" s="7">
        <f t="shared" si="22"/>
        <v>2.5740731125909473E-2</v>
      </c>
      <c r="G169" s="2"/>
      <c r="H169" s="6">
        <v>30633.201127307686</v>
      </c>
      <c r="I169" s="2"/>
      <c r="J169" s="7">
        <f t="shared" si="23"/>
        <v>6.3165327776470367E-2</v>
      </c>
      <c r="K169" s="2"/>
      <c r="L169" s="6">
        <f t="shared" si="24"/>
        <v>-18308.211127307688</v>
      </c>
      <c r="M169" s="2"/>
      <c r="N169" s="7">
        <f t="shared" si="25"/>
        <v>-0.59765909058022015</v>
      </c>
      <c r="O169" s="11"/>
      <c r="P169" s="6">
        <v>46083.689999999995</v>
      </c>
      <c r="Q169" s="2"/>
      <c r="R169" s="7">
        <f t="shared" si="26"/>
        <v>9.9730630481468206E-3</v>
      </c>
      <c r="S169" s="2"/>
      <c r="T169" s="6">
        <v>110279.52405830768</v>
      </c>
      <c r="U169" s="2"/>
      <c r="V169" s="7">
        <f t="shared" si="27"/>
        <v>2.2573795612323141E-2</v>
      </c>
      <c r="W169" s="2"/>
      <c r="X169" s="6">
        <f t="shared" si="28"/>
        <v>-64195.834058307686</v>
      </c>
      <c r="Y169" s="2"/>
      <c r="Z169" s="7">
        <f t="shared" si="29"/>
        <v>-0.58211925202330095</v>
      </c>
    </row>
    <row r="170" spans="1:26" s="24" customFormat="1" hidden="1" outlineLevel="2" x14ac:dyDescent="0.25">
      <c r="A170" s="27"/>
      <c r="B170" s="11" t="str">
        <f>CONCATENATE("          ", "6002", " - ", "STAFF SALARIES")</f>
        <v xml:space="preserve">          6002 - STAFF SALARIES</v>
      </c>
      <c r="C170" s="11"/>
      <c r="D170" s="6">
        <v>65123.100000000006</v>
      </c>
      <c r="E170" s="2"/>
      <c r="F170" s="7">
        <f t="shared" si="22"/>
        <v>0.136009538927473</v>
      </c>
      <c r="G170" s="2"/>
      <c r="H170" s="6">
        <v>48915.043182057692</v>
      </c>
      <c r="I170" s="2"/>
      <c r="J170" s="7">
        <f t="shared" si="23"/>
        <v>0.10086228739054505</v>
      </c>
      <c r="K170" s="2"/>
      <c r="L170" s="6">
        <f t="shared" si="24"/>
        <v>16208.056817942314</v>
      </c>
      <c r="M170" s="2"/>
      <c r="N170" s="7">
        <f t="shared" si="25"/>
        <v>0.33135117059218949</v>
      </c>
      <c r="O170" s="11"/>
      <c r="P170" s="6">
        <v>245044.26</v>
      </c>
      <c r="Q170" s="2"/>
      <c r="R170" s="7">
        <f t="shared" si="26"/>
        <v>5.303051588461085E-2</v>
      </c>
      <c r="S170" s="2"/>
      <c r="T170" s="6">
        <v>176094.15545540774</v>
      </c>
      <c r="U170" s="2"/>
      <c r="V170" s="7">
        <f t="shared" si="27"/>
        <v>3.6045798236064984E-2</v>
      </c>
      <c r="W170" s="2"/>
      <c r="X170" s="6">
        <f t="shared" si="28"/>
        <v>68950.104544592265</v>
      </c>
      <c r="Y170" s="2"/>
      <c r="Z170" s="7">
        <f t="shared" si="29"/>
        <v>0.39155248716958396</v>
      </c>
    </row>
    <row r="171" spans="1:26" s="24" customFormat="1" hidden="1" outlineLevel="2" x14ac:dyDescent="0.25">
      <c r="A171" s="27"/>
      <c r="B171" s="11" t="str">
        <f>CONCATENATE("          ", "6003", " - ", "STAFF HOURLY-9 MONTH")</f>
        <v xml:space="preserve">          6003 - STAFF HOURLY-9 MONTH</v>
      </c>
      <c r="C171" s="11"/>
      <c r="D171" s="6"/>
      <c r="E171" s="2"/>
      <c r="F171" s="7">
        <f t="shared" si="22"/>
        <v>0</v>
      </c>
      <c r="G171" s="2"/>
      <c r="H171" s="6">
        <v>0</v>
      </c>
      <c r="I171" s="2"/>
      <c r="J171" s="7">
        <f t="shared" si="23"/>
        <v>0</v>
      </c>
      <c r="K171" s="2"/>
      <c r="L171" s="6">
        <f t="shared" si="24"/>
        <v>0</v>
      </c>
      <c r="M171" s="2"/>
      <c r="N171" s="7">
        <f t="shared" si="25"/>
        <v>0</v>
      </c>
      <c r="O171" s="11"/>
      <c r="P171" s="6"/>
      <c r="Q171" s="2"/>
      <c r="R171" s="7">
        <f t="shared" si="26"/>
        <v>0</v>
      </c>
      <c r="S171" s="2"/>
      <c r="T171" s="6">
        <v>0</v>
      </c>
      <c r="U171" s="2"/>
      <c r="V171" s="7">
        <f t="shared" si="27"/>
        <v>0</v>
      </c>
      <c r="W171" s="2"/>
      <c r="X171" s="6">
        <f t="shared" si="28"/>
        <v>0</v>
      </c>
      <c r="Y171" s="2"/>
      <c r="Z171" s="7">
        <f t="shared" si="29"/>
        <v>0</v>
      </c>
    </row>
    <row r="172" spans="1:26" s="24" customFormat="1" hidden="1" outlineLevel="2" x14ac:dyDescent="0.25">
      <c r="A172" s="27"/>
      <c r="B172" s="11" t="str">
        <f>CONCATENATE("          ", "6004", " - ", "STAFF HOURLY")</f>
        <v xml:space="preserve">          6004 - STAFF HOURLY</v>
      </c>
      <c r="C172" s="11"/>
      <c r="D172" s="6">
        <v>4439.95</v>
      </c>
      <c r="E172" s="2"/>
      <c r="F172" s="7">
        <f t="shared" si="22"/>
        <v>9.2728317964137705E-3</v>
      </c>
      <c r="G172" s="2"/>
      <c r="H172" s="6">
        <v>26069.22954</v>
      </c>
      <c r="I172" s="2"/>
      <c r="J172" s="7">
        <f t="shared" si="23"/>
        <v>5.3754467968619636E-2</v>
      </c>
      <c r="K172" s="2"/>
      <c r="L172" s="6">
        <f t="shared" si="24"/>
        <v>-21629.27954</v>
      </c>
      <c r="M172" s="2"/>
      <c r="N172" s="7">
        <f t="shared" si="25"/>
        <v>-0.82968618258596982</v>
      </c>
      <c r="O172" s="11"/>
      <c r="P172" s="6">
        <v>10542.16</v>
      </c>
      <c r="Q172" s="2"/>
      <c r="R172" s="7">
        <f t="shared" si="26"/>
        <v>2.2814498219142498E-3</v>
      </c>
      <c r="S172" s="2"/>
      <c r="T172" s="6">
        <v>95541.483844000002</v>
      </c>
      <c r="U172" s="2"/>
      <c r="V172" s="7">
        <f t="shared" si="27"/>
        <v>1.9556975306242778E-2</v>
      </c>
      <c r="W172" s="2"/>
      <c r="X172" s="6">
        <f t="shared" si="28"/>
        <v>-84999.323843999999</v>
      </c>
      <c r="Y172" s="2"/>
      <c r="Z172" s="7">
        <f t="shared" si="29"/>
        <v>-0.88965882069391733</v>
      </c>
    </row>
    <row r="173" spans="1:26" s="24" customFormat="1" hidden="1" outlineLevel="2" x14ac:dyDescent="0.25">
      <c r="A173" s="27"/>
      <c r="B173" s="11" t="str">
        <f>CONCATENATE("          ", "6005", " - ", "TEMPORARY WAGES-HOURLY")</f>
        <v xml:space="preserve">          6005 - TEMPORARY WAGES-HOURLY</v>
      </c>
      <c r="C173" s="11"/>
      <c r="D173" s="6">
        <v>23952.5</v>
      </c>
      <c r="E173" s="2"/>
      <c r="F173" s="7">
        <f t="shared" si="22"/>
        <v>5.0024775865404082E-2</v>
      </c>
      <c r="G173" s="2"/>
      <c r="H173" s="6">
        <v>3490</v>
      </c>
      <c r="I173" s="2"/>
      <c r="J173" s="7">
        <f t="shared" si="23"/>
        <v>7.1963420676713456E-3</v>
      </c>
      <c r="K173" s="2"/>
      <c r="L173" s="6">
        <f t="shared" si="24"/>
        <v>20462.5</v>
      </c>
      <c r="M173" s="2"/>
      <c r="N173" s="7">
        <f t="shared" si="25"/>
        <v>5.8631805157593124</v>
      </c>
      <c r="O173" s="11"/>
      <c r="P173" s="6">
        <v>74768.26999999999</v>
      </c>
      <c r="Q173" s="2"/>
      <c r="R173" s="7">
        <f t="shared" si="26"/>
        <v>1.6180750081229704E-2</v>
      </c>
      <c r="S173" s="2"/>
      <c r="T173" s="6">
        <v>13513.28</v>
      </c>
      <c r="U173" s="2"/>
      <c r="V173" s="7">
        <f t="shared" si="27"/>
        <v>2.7661165876161041E-3</v>
      </c>
      <c r="W173" s="2"/>
      <c r="X173" s="6">
        <f t="shared" si="28"/>
        <v>61254.989999999991</v>
      </c>
      <c r="Y173" s="2"/>
      <c r="Z173" s="7">
        <f t="shared" si="29"/>
        <v>4.5329475893343432</v>
      </c>
    </row>
    <row r="174" spans="1:26" s="24" customFormat="1" hidden="1" outlineLevel="2" x14ac:dyDescent="0.25">
      <c r="A174" s="27"/>
      <c r="B174" s="11" t="str">
        <f>CONCATENATE("          ", "6006", " - ", "TEMPORARY PART TIME")</f>
        <v xml:space="preserve">          6006 - TEMPORARY PART TIME</v>
      </c>
      <c r="C174" s="11"/>
      <c r="D174" s="6">
        <v>4321.62</v>
      </c>
      <c r="E174" s="2"/>
      <c r="F174" s="7">
        <f t="shared" si="22"/>
        <v>9.0256996921176322E-3</v>
      </c>
      <c r="G174" s="2"/>
      <c r="H174" s="6">
        <v>0</v>
      </c>
      <c r="I174" s="2"/>
      <c r="J174" s="7">
        <f t="shared" si="23"/>
        <v>0</v>
      </c>
      <c r="K174" s="2"/>
      <c r="L174" s="6">
        <f t="shared" si="24"/>
        <v>4321.62</v>
      </c>
      <c r="M174" s="2"/>
      <c r="N174" s="7">
        <f t="shared" si="25"/>
        <v>0</v>
      </c>
      <c r="O174" s="11"/>
      <c r="P174" s="6">
        <v>18538</v>
      </c>
      <c r="Q174" s="2"/>
      <c r="R174" s="7">
        <f t="shared" si="26"/>
        <v>4.0118454660758671E-3</v>
      </c>
      <c r="S174" s="2"/>
      <c r="T174" s="6">
        <v>0</v>
      </c>
      <c r="U174" s="2"/>
      <c r="V174" s="7">
        <f t="shared" si="27"/>
        <v>0</v>
      </c>
      <c r="W174" s="2"/>
      <c r="X174" s="6">
        <f t="shared" si="28"/>
        <v>18538</v>
      </c>
      <c r="Y174" s="2"/>
      <c r="Z174" s="7">
        <f t="shared" si="29"/>
        <v>0</v>
      </c>
    </row>
    <row r="175" spans="1:26" s="24" customFormat="1" hidden="1" outlineLevel="2" x14ac:dyDescent="0.25">
      <c r="A175" s="27"/>
      <c r="B175" s="11" t="str">
        <f>CONCATENATE("          ", "6007", " - ", "STUDENT HOURLY")</f>
        <v xml:space="preserve">          6007 - STUDENT HOURLY</v>
      </c>
      <c r="C175" s="11"/>
      <c r="D175" s="6">
        <v>73537.959999999992</v>
      </c>
      <c r="E175" s="2"/>
      <c r="F175" s="7">
        <f t="shared" si="22"/>
        <v>0.15358396687606932</v>
      </c>
      <c r="G175" s="2"/>
      <c r="H175" s="6">
        <v>7395.7649999999994</v>
      </c>
      <c r="I175" s="2"/>
      <c r="J175" s="7">
        <f t="shared" si="23"/>
        <v>1.5249987046450249E-2</v>
      </c>
      <c r="K175" s="2"/>
      <c r="L175" s="6">
        <f t="shared" si="24"/>
        <v>66142.194999999992</v>
      </c>
      <c r="M175" s="2"/>
      <c r="N175" s="7">
        <f t="shared" si="25"/>
        <v>8.9432526587851289</v>
      </c>
      <c r="O175" s="11"/>
      <c r="P175" s="6">
        <v>351691.04</v>
      </c>
      <c r="Q175" s="2"/>
      <c r="R175" s="7">
        <f t="shared" si="26"/>
        <v>7.6110157745361215E-2</v>
      </c>
      <c r="S175" s="2"/>
      <c r="T175" s="6">
        <v>137108.37136320001</v>
      </c>
      <c r="U175" s="2"/>
      <c r="V175" s="7">
        <f t="shared" si="27"/>
        <v>2.8065557757167493E-2</v>
      </c>
      <c r="W175" s="2"/>
      <c r="X175" s="6">
        <f t="shared" si="28"/>
        <v>214582.66863679996</v>
      </c>
      <c r="Y175" s="2"/>
      <c r="Z175" s="7">
        <f t="shared" si="29"/>
        <v>1.5650588399768135</v>
      </c>
    </row>
    <row r="176" spans="1:26" s="24" customFormat="1" hidden="1" outlineLevel="2" x14ac:dyDescent="0.25">
      <c r="A176" s="27"/>
      <c r="B176" s="11" t="str">
        <f>CONCATENATE("          ", "6008", " - ", "STUDENT HOURLY-FICA EXEMPT")</f>
        <v xml:space="preserve">          6008 - STUDENT HOURLY-FICA EXEMPT</v>
      </c>
      <c r="C176" s="11"/>
      <c r="D176" s="6">
        <v>1107</v>
      </c>
      <c r="E176" s="2"/>
      <c r="F176" s="7">
        <f t="shared" si="22"/>
        <v>2.3119685578959323E-3</v>
      </c>
      <c r="G176" s="2"/>
      <c r="H176" s="6">
        <v>70862.084928240001</v>
      </c>
      <c r="I176" s="2"/>
      <c r="J176" s="7">
        <f t="shared" si="23"/>
        <v>0.14611684893180321</v>
      </c>
      <c r="K176" s="2"/>
      <c r="L176" s="6">
        <f t="shared" si="24"/>
        <v>-69755.084928240001</v>
      </c>
      <c r="M176" s="2"/>
      <c r="N176" s="7">
        <f t="shared" si="25"/>
        <v>-0.98437810570884232</v>
      </c>
      <c r="O176" s="11"/>
      <c r="P176" s="6">
        <v>4731</v>
      </c>
      <c r="Q176" s="2"/>
      <c r="R176" s="7">
        <f t="shared" si="26"/>
        <v>1.0238451235303121E-3</v>
      </c>
      <c r="S176" s="2"/>
      <c r="T176" s="6">
        <v>228473.92232047999</v>
      </c>
      <c r="U176" s="2"/>
      <c r="V176" s="7">
        <f t="shared" si="27"/>
        <v>4.676773561773255E-2</v>
      </c>
      <c r="W176" s="2"/>
      <c r="X176" s="6">
        <f t="shared" si="28"/>
        <v>-223742.92232047999</v>
      </c>
      <c r="Y176" s="2"/>
      <c r="Z176" s="7">
        <f t="shared" si="29"/>
        <v>-0.979293041621775</v>
      </c>
    </row>
    <row r="177" spans="1:26" s="24" customFormat="1" hidden="1" outlineLevel="2" x14ac:dyDescent="0.25">
      <c r="A177" s="27"/>
      <c r="B177" s="11" t="str">
        <f>CONCATENATE("          ", "6009", " - ", "TEMPORARY-SEASONAL")</f>
        <v xml:space="preserve">          6009 - TEMPORARY-SEASONAL</v>
      </c>
      <c r="C177" s="11"/>
      <c r="D177" s="6"/>
      <c r="E177" s="2"/>
      <c r="F177" s="7">
        <f t="shared" si="22"/>
        <v>0</v>
      </c>
      <c r="G177" s="2"/>
      <c r="H177" s="6">
        <v>0</v>
      </c>
      <c r="I177" s="2"/>
      <c r="J177" s="7">
        <f t="shared" si="23"/>
        <v>0</v>
      </c>
      <c r="K177" s="2"/>
      <c r="L177" s="6">
        <f t="shared" si="24"/>
        <v>0</v>
      </c>
      <c r="M177" s="2"/>
      <c r="N177" s="7">
        <f t="shared" si="25"/>
        <v>0</v>
      </c>
      <c r="O177" s="11"/>
      <c r="P177" s="6"/>
      <c r="Q177" s="2"/>
      <c r="R177" s="7">
        <f t="shared" si="26"/>
        <v>0</v>
      </c>
      <c r="S177" s="2"/>
      <c r="T177" s="6">
        <v>0</v>
      </c>
      <c r="U177" s="2"/>
      <c r="V177" s="7">
        <f t="shared" si="27"/>
        <v>0</v>
      </c>
      <c r="W177" s="2"/>
      <c r="X177" s="6">
        <f t="shared" si="28"/>
        <v>0</v>
      </c>
      <c r="Y177" s="2"/>
      <c r="Z177" s="7">
        <f t="shared" si="29"/>
        <v>0</v>
      </c>
    </row>
    <row r="178" spans="1:26" s="24" customFormat="1" hidden="1" outlineLevel="2" x14ac:dyDescent="0.25">
      <c r="A178" s="27"/>
      <c r="B178" s="11" t="str">
        <f>CONCATENATE("          ", "6010", " - ", "GRATUITY")</f>
        <v xml:space="preserve">          6010 - GRATUITY</v>
      </c>
      <c r="C178" s="11"/>
      <c r="D178" s="6"/>
      <c r="E178" s="2"/>
      <c r="F178" s="7">
        <f t="shared" si="22"/>
        <v>0</v>
      </c>
      <c r="G178" s="2"/>
      <c r="H178" s="6">
        <v>0</v>
      </c>
      <c r="I178" s="2"/>
      <c r="J178" s="7">
        <f t="shared" si="23"/>
        <v>0</v>
      </c>
      <c r="K178" s="2"/>
      <c r="L178" s="6">
        <f t="shared" si="24"/>
        <v>0</v>
      </c>
      <c r="M178" s="2"/>
      <c r="N178" s="7">
        <f t="shared" si="25"/>
        <v>0</v>
      </c>
      <c r="O178" s="11"/>
      <c r="P178" s="6"/>
      <c r="Q178" s="2"/>
      <c r="R178" s="7">
        <f t="shared" si="26"/>
        <v>0</v>
      </c>
      <c r="S178" s="2"/>
      <c r="T178" s="6">
        <v>0</v>
      </c>
      <c r="U178" s="2"/>
      <c r="V178" s="7">
        <f t="shared" si="27"/>
        <v>0</v>
      </c>
      <c r="W178" s="2"/>
      <c r="X178" s="6">
        <f t="shared" si="28"/>
        <v>0</v>
      </c>
      <c r="Y178" s="2"/>
      <c r="Z178" s="7">
        <f t="shared" si="29"/>
        <v>0</v>
      </c>
    </row>
    <row r="179" spans="1:26" s="26" customFormat="1" outlineLevel="1" collapsed="1" x14ac:dyDescent="0.25">
      <c r="A179" s="25"/>
      <c r="B179" s="13" t="str">
        <f>CONCATENATE("     ","Advertising/Promo                                 ")</f>
        <v xml:space="preserve">     Advertising/Promo                                 </v>
      </c>
      <c r="C179" s="13"/>
      <c r="D179" s="1">
        <f>SUM(OSRRefD22_2x_0)</f>
        <v>10759.12</v>
      </c>
      <c r="E179" s="1"/>
      <c r="F179" s="5">
        <f t="shared" ref="F179:F183" si="30">IF(D$12=0,0,D179/D$12)</f>
        <v>2.2470412963531423E-2</v>
      </c>
      <c r="G179" s="1"/>
      <c r="H179" s="1">
        <f>SUM(OSRRefH22_2x_0)</f>
        <v>7520</v>
      </c>
      <c r="I179" s="1"/>
      <c r="J179" s="5">
        <f t="shared" ref="J179:J183" si="31">IF(H$12=0,0,H179/H$12)</f>
        <v>1.550615826615717E-2</v>
      </c>
      <c r="K179" s="1"/>
      <c r="L179" s="1">
        <f t="shared" ref="L179:L183" si="32">+D179-H179</f>
        <v>3239.1200000000008</v>
      </c>
      <c r="M179" s="1"/>
      <c r="N179" s="5">
        <f t="shared" ref="N179:N183" si="33">IF(H179=0,0,L179/H179)</f>
        <v>0.43073404255319159</v>
      </c>
      <c r="O179" s="13"/>
      <c r="P179" s="1">
        <f>SUM(OSRRefP22_2x_0)</f>
        <v>17766.8</v>
      </c>
      <c r="Q179" s="1"/>
      <c r="R179" s="5">
        <f t="shared" ref="R179:R183" si="34">IF(P$12=0,0,P179/P$12)</f>
        <v>3.8449485395769074E-3</v>
      </c>
      <c r="S179" s="1"/>
      <c r="T179" s="1">
        <f>SUM(OSRRefT22_2x_0)</f>
        <v>20630</v>
      </c>
      <c r="U179" s="1"/>
      <c r="V179" s="5">
        <f t="shared" ref="V179:V183" si="35">IF(T$12=0,0,T179/T$12)</f>
        <v>4.2228818763853206E-3</v>
      </c>
      <c r="W179" s="1"/>
      <c r="X179" s="1">
        <f t="shared" ref="X179:X183" si="36">+P179-T179</f>
        <v>-2863.2000000000007</v>
      </c>
      <c r="Y179" s="1"/>
      <c r="Z179" s="5">
        <f t="shared" ref="Z179:Z183" si="37">IF(T179=0,0,X179/T179)</f>
        <v>-0.1387881725642269</v>
      </c>
    </row>
    <row r="180" spans="1:26" s="24" customFormat="1" hidden="1" outlineLevel="2" x14ac:dyDescent="0.25">
      <c r="A180" s="27"/>
      <c r="B180" s="11" t="str">
        <f>CONCATENATE("          ", "6362", " - ", "ADVERTISING EXPENSE")</f>
        <v xml:space="preserve">          6362 - ADVERTISING EXPENSE</v>
      </c>
      <c r="C180" s="11"/>
      <c r="D180" s="6">
        <v>10759.12</v>
      </c>
      <c r="E180" s="2"/>
      <c r="F180" s="7">
        <f t="shared" si="30"/>
        <v>2.2470412963531423E-2</v>
      </c>
      <c r="G180" s="2"/>
      <c r="H180" s="6">
        <v>7520</v>
      </c>
      <c r="I180" s="2"/>
      <c r="J180" s="7">
        <f t="shared" si="31"/>
        <v>1.550615826615717E-2</v>
      </c>
      <c r="K180" s="2"/>
      <c r="L180" s="6">
        <f t="shared" si="32"/>
        <v>3239.1200000000008</v>
      </c>
      <c r="M180" s="2"/>
      <c r="N180" s="7">
        <f t="shared" si="33"/>
        <v>0.43073404255319159</v>
      </c>
      <c r="O180" s="11"/>
      <c r="P180" s="6">
        <v>17766.8</v>
      </c>
      <c r="Q180" s="2"/>
      <c r="R180" s="7">
        <f t="shared" si="34"/>
        <v>3.8449485395769074E-3</v>
      </c>
      <c r="S180" s="2"/>
      <c r="T180" s="6">
        <v>20630</v>
      </c>
      <c r="U180" s="2"/>
      <c r="V180" s="7">
        <f t="shared" si="35"/>
        <v>4.2228818763853206E-3</v>
      </c>
      <c r="W180" s="2"/>
      <c r="X180" s="6">
        <f t="shared" si="36"/>
        <v>-2863.2000000000007</v>
      </c>
      <c r="Y180" s="2"/>
      <c r="Z180" s="7">
        <f t="shared" si="37"/>
        <v>-0.1387881725642269</v>
      </c>
    </row>
    <row r="181" spans="1:26" s="26" customFormat="1" outlineLevel="1" collapsed="1" x14ac:dyDescent="0.25">
      <c r="A181" s="25"/>
      <c r="B181" s="13" t="str">
        <f>CONCATENATE("     ","Bad Debts/Over/Short                              ")</f>
        <v xml:space="preserve">     Bad Debts/Over/Short                              </v>
      </c>
      <c r="C181" s="13"/>
      <c r="D181" s="1">
        <f>SUM(OSRRefD22_3x_0)</f>
        <v>87.5</v>
      </c>
      <c r="E181" s="1"/>
      <c r="F181" s="5">
        <f t="shared" si="30"/>
        <v>1.8274367553377965E-4</v>
      </c>
      <c r="G181" s="1"/>
      <c r="H181" s="1">
        <f>SUM(OSRRefH22_3x_0)</f>
        <v>135</v>
      </c>
      <c r="I181" s="1"/>
      <c r="J181" s="5">
        <f t="shared" si="31"/>
        <v>2.7836853270361942E-4</v>
      </c>
      <c r="K181" s="1"/>
      <c r="L181" s="1">
        <f t="shared" si="32"/>
        <v>-47.5</v>
      </c>
      <c r="M181" s="1"/>
      <c r="N181" s="5">
        <f t="shared" si="33"/>
        <v>-0.35185185185185186</v>
      </c>
      <c r="O181" s="13"/>
      <c r="P181" s="1">
        <f>SUM(OSRRefP22_3x_0)</f>
        <v>-77.650000000000006</v>
      </c>
      <c r="Q181" s="1"/>
      <c r="R181" s="5">
        <f t="shared" si="34"/>
        <v>-1.6804391004466022E-5</v>
      </c>
      <c r="S181" s="1"/>
      <c r="T181" s="1">
        <f>SUM(OSRRefT22_3x_0)</f>
        <v>540</v>
      </c>
      <c r="U181" s="1"/>
      <c r="V181" s="5">
        <f t="shared" si="35"/>
        <v>1.1053592890199093E-4</v>
      </c>
      <c r="W181" s="1"/>
      <c r="X181" s="1">
        <f t="shared" si="36"/>
        <v>-617.65</v>
      </c>
      <c r="Y181" s="1"/>
      <c r="Z181" s="5">
        <f t="shared" si="37"/>
        <v>-1.1437962962962962</v>
      </c>
    </row>
    <row r="182" spans="1:26" s="24" customFormat="1" hidden="1" outlineLevel="2" x14ac:dyDescent="0.25">
      <c r="A182" s="27"/>
      <c r="B182" s="11" t="str">
        <f>CONCATENATE("          ", "6272", " - ", "CASH (OVER/SHORT)")</f>
        <v xml:space="preserve">          6272 - CASH (OVER/SHORT)</v>
      </c>
      <c r="C182" s="11"/>
      <c r="D182" s="6">
        <v>42.7</v>
      </c>
      <c r="E182" s="2"/>
      <c r="F182" s="7">
        <f t="shared" si="30"/>
        <v>8.9178913660484474E-5</v>
      </c>
      <c r="G182" s="2"/>
      <c r="H182" s="6">
        <v>125</v>
      </c>
      <c r="I182" s="2"/>
      <c r="J182" s="7">
        <f t="shared" si="31"/>
        <v>2.5774864139224018E-4</v>
      </c>
      <c r="K182" s="2"/>
      <c r="L182" s="6">
        <f t="shared" si="32"/>
        <v>-82.3</v>
      </c>
      <c r="M182" s="2"/>
      <c r="N182" s="7">
        <f t="shared" si="33"/>
        <v>-0.65839999999999999</v>
      </c>
      <c r="O182" s="11"/>
      <c r="P182" s="6">
        <v>-122.45</v>
      </c>
      <c r="Q182" s="2"/>
      <c r="R182" s="7">
        <f t="shared" si="34"/>
        <v>-2.6499648145484408E-5</v>
      </c>
      <c r="S182" s="2"/>
      <c r="T182" s="6">
        <v>500</v>
      </c>
      <c r="U182" s="2"/>
      <c r="V182" s="7">
        <f t="shared" si="35"/>
        <v>1.0234808231665827E-4</v>
      </c>
      <c r="W182" s="2"/>
      <c r="X182" s="6">
        <f t="shared" si="36"/>
        <v>-622.45000000000005</v>
      </c>
      <c r="Y182" s="2"/>
      <c r="Z182" s="7">
        <f t="shared" si="37"/>
        <v>-1.2449000000000001</v>
      </c>
    </row>
    <row r="183" spans="1:26" s="24" customFormat="1" hidden="1" outlineLevel="2" x14ac:dyDescent="0.25">
      <c r="A183" s="27"/>
      <c r="B183" s="11" t="str">
        <f>CONCATENATE("          ", "6342", " - ", "BAD DEBT")</f>
        <v xml:space="preserve">          6342 - BAD DEBT</v>
      </c>
      <c r="C183" s="11"/>
      <c r="D183" s="6">
        <v>44.8</v>
      </c>
      <c r="E183" s="2"/>
      <c r="F183" s="7">
        <f t="shared" si="30"/>
        <v>9.3564761873295179E-5</v>
      </c>
      <c r="G183" s="2"/>
      <c r="H183" s="6">
        <v>10</v>
      </c>
      <c r="I183" s="2"/>
      <c r="J183" s="7">
        <f t="shared" si="31"/>
        <v>2.0619891311379216E-5</v>
      </c>
      <c r="K183" s="2"/>
      <c r="L183" s="6">
        <f t="shared" si="32"/>
        <v>34.799999999999997</v>
      </c>
      <c r="M183" s="2"/>
      <c r="N183" s="7">
        <f t="shared" si="33"/>
        <v>3.4799999999999995</v>
      </c>
      <c r="O183" s="11"/>
      <c r="P183" s="6">
        <v>44.8</v>
      </c>
      <c r="Q183" s="2"/>
      <c r="R183" s="7">
        <f t="shared" si="34"/>
        <v>9.6952571410183861E-6</v>
      </c>
      <c r="S183" s="2"/>
      <c r="T183" s="6">
        <v>40</v>
      </c>
      <c r="U183" s="2"/>
      <c r="V183" s="7">
        <f t="shared" si="35"/>
        <v>8.1878465853326625E-6</v>
      </c>
      <c r="W183" s="2"/>
      <c r="X183" s="6">
        <f t="shared" si="36"/>
        <v>4.7999999999999972</v>
      </c>
      <c r="Y183" s="2"/>
      <c r="Z183" s="7">
        <f t="shared" si="37"/>
        <v>0.11999999999999993</v>
      </c>
    </row>
    <row r="184" spans="1:26" s="26" customFormat="1" outlineLevel="1" collapsed="1" x14ac:dyDescent="0.25">
      <c r="A184" s="25"/>
      <c r="B184" s="13" t="str">
        <f>CONCATENATE("     ","Bank/card Fees                                    ")</f>
        <v xml:space="preserve">     Bank/card Fees                                    </v>
      </c>
      <c r="C184" s="13"/>
      <c r="D184" s="1">
        <f>SUM(OSRRefD22_4x_0)</f>
        <v>11091.96</v>
      </c>
      <c r="E184" s="1"/>
      <c r="F184" s="5">
        <f t="shared" ref="F184:F190" si="38">IF(D$12=0,0,D184/D$12)</f>
        <v>2.3165549020270428E-2</v>
      </c>
      <c r="G184" s="1"/>
      <c r="H184" s="1">
        <f>SUM(OSRRefH22_4x_0)</f>
        <v>10550</v>
      </c>
      <c r="I184" s="1"/>
      <c r="J184" s="5">
        <f t="shared" ref="J184:J190" si="39">IF(H$12=0,0,H184/H$12)</f>
        <v>2.1753985333505071E-2</v>
      </c>
      <c r="K184" s="1"/>
      <c r="L184" s="1">
        <f t="shared" ref="L184:L190" si="40">+D184-H184</f>
        <v>541.95999999999913</v>
      </c>
      <c r="M184" s="1"/>
      <c r="N184" s="5">
        <f t="shared" ref="N184:N190" si="41">IF(H184=0,0,L184/H184)</f>
        <v>5.1370616113743994E-2</v>
      </c>
      <c r="O184" s="13"/>
      <c r="P184" s="1">
        <f>SUM(OSRRefP22_4x_0)</f>
        <v>71349.02</v>
      </c>
      <c r="Q184" s="1"/>
      <c r="R184" s="5">
        <f t="shared" ref="R184:R190" si="42">IF(P$12=0,0,P184/P$12)</f>
        <v>1.5440783385260351E-2</v>
      </c>
      <c r="S184" s="1"/>
      <c r="T184" s="1">
        <f>SUM(OSRRefT22_4x_0)</f>
        <v>74645</v>
      </c>
      <c r="U184" s="1"/>
      <c r="V184" s="5">
        <f t="shared" ref="V184:V190" si="43">IF(T$12=0,0,T184/T$12)</f>
        <v>1.5279545209053913E-2</v>
      </c>
      <c r="W184" s="1"/>
      <c r="X184" s="1">
        <f t="shared" ref="X184:X190" si="44">+P184-T184</f>
        <v>-3295.9799999999959</v>
      </c>
      <c r="Y184" s="1"/>
      <c r="Z184" s="5">
        <f t="shared" ref="Z184:Z190" si="45">IF(T184=0,0,X184/T184)</f>
        <v>-4.4155402237256294E-2</v>
      </c>
    </row>
    <row r="185" spans="1:26" s="24" customFormat="1" hidden="1" outlineLevel="2" x14ac:dyDescent="0.25">
      <c r="A185" s="27"/>
      <c r="B185" s="11" t="str">
        <f>CONCATENATE("          ", "6381", " - ", "BANK/CREDIT CARD FEES")</f>
        <v xml:space="preserve">          6381 - BANK/CREDIT CARD FEES</v>
      </c>
      <c r="C185" s="11"/>
      <c r="D185" s="6">
        <v>11091.96</v>
      </c>
      <c r="E185" s="2"/>
      <c r="F185" s="7">
        <f t="shared" si="38"/>
        <v>2.3165549020270428E-2</v>
      </c>
      <c r="G185" s="2"/>
      <c r="H185" s="6">
        <v>10550</v>
      </c>
      <c r="I185" s="2"/>
      <c r="J185" s="7">
        <f t="shared" si="39"/>
        <v>2.1753985333505071E-2</v>
      </c>
      <c r="K185" s="2"/>
      <c r="L185" s="6">
        <f t="shared" si="40"/>
        <v>541.95999999999913</v>
      </c>
      <c r="M185" s="2"/>
      <c r="N185" s="7">
        <f t="shared" si="41"/>
        <v>5.1370616113743994E-2</v>
      </c>
      <c r="O185" s="11"/>
      <c r="P185" s="6">
        <v>71349.02</v>
      </c>
      <c r="Q185" s="2"/>
      <c r="R185" s="7">
        <f t="shared" si="42"/>
        <v>1.5440783385260351E-2</v>
      </c>
      <c r="S185" s="2"/>
      <c r="T185" s="6">
        <v>74645</v>
      </c>
      <c r="U185" s="2"/>
      <c r="V185" s="7">
        <f t="shared" si="43"/>
        <v>1.5279545209053913E-2</v>
      </c>
      <c r="W185" s="2"/>
      <c r="X185" s="6">
        <f t="shared" si="44"/>
        <v>-3295.9799999999959</v>
      </c>
      <c r="Y185" s="2"/>
      <c r="Z185" s="7">
        <f t="shared" si="45"/>
        <v>-4.4155402237256294E-2</v>
      </c>
    </row>
    <row r="186" spans="1:26" s="26" customFormat="1" outlineLevel="1" collapsed="1" x14ac:dyDescent="0.25">
      <c r="A186" s="25"/>
      <c r="B186" s="13" t="str">
        <f>CONCATENATE("     ","Depreciation                                      ")</f>
        <v xml:space="preserve">     Depreciation                                      </v>
      </c>
      <c r="C186" s="13"/>
      <c r="D186" s="1">
        <f>SUM(OSRRefD22_5x_0)</f>
        <v>29607.43</v>
      </c>
      <c r="E186" s="1"/>
      <c r="F186" s="5">
        <f t="shared" si="38"/>
        <v>6.1835092357818214E-2</v>
      </c>
      <c r="G186" s="1"/>
      <c r="H186" s="1">
        <f>SUM(OSRRefH22_5x_0)</f>
        <v>30479</v>
      </c>
      <c r="I186" s="1"/>
      <c r="J186" s="5">
        <f t="shared" si="39"/>
        <v>6.2847366727952714E-2</v>
      </c>
      <c r="K186" s="1"/>
      <c r="L186" s="1">
        <f t="shared" si="40"/>
        <v>-871.56999999999971</v>
      </c>
      <c r="M186" s="1"/>
      <c r="N186" s="5">
        <f t="shared" si="41"/>
        <v>-2.8595754453886273E-2</v>
      </c>
      <c r="O186" s="13"/>
      <c r="P186" s="1">
        <f>SUM(OSRRefP22_5x_0)</f>
        <v>118429.72</v>
      </c>
      <c r="Q186" s="1"/>
      <c r="R186" s="5">
        <f t="shared" si="42"/>
        <v>2.562961135131268E-2</v>
      </c>
      <c r="S186" s="1"/>
      <c r="T186" s="1">
        <f>SUM(OSRRefT22_5x_0)</f>
        <v>121085</v>
      </c>
      <c r="U186" s="1"/>
      <c r="V186" s="5">
        <f t="shared" si="43"/>
        <v>2.4785635094625134E-2</v>
      </c>
      <c r="W186" s="1"/>
      <c r="X186" s="1">
        <f t="shared" si="44"/>
        <v>-2655.2799999999988</v>
      </c>
      <c r="Y186" s="1"/>
      <c r="Z186" s="5">
        <f t="shared" si="45"/>
        <v>-2.1929058099682031E-2</v>
      </c>
    </row>
    <row r="187" spans="1:26" s="24" customFormat="1" hidden="1" outlineLevel="2" x14ac:dyDescent="0.25">
      <c r="A187" s="27"/>
      <c r="B187" s="11" t="str">
        <f>CONCATENATE("          ", "6321", " - ", "BUILDING DEPRECIATION")</f>
        <v xml:space="preserve">          6321 - BUILDING DEPRECIATION</v>
      </c>
      <c r="C187" s="11"/>
      <c r="D187" s="6">
        <v>16396.52</v>
      </c>
      <c r="E187" s="2"/>
      <c r="F187" s="7">
        <f t="shared" si="38"/>
        <v>3.4244118065864332E-2</v>
      </c>
      <c r="G187" s="2"/>
      <c r="H187" s="6">
        <v>16397</v>
      </c>
      <c r="I187" s="2"/>
      <c r="J187" s="7">
        <f t="shared" si="39"/>
        <v>3.3810435783268498E-2</v>
      </c>
      <c r="K187" s="2"/>
      <c r="L187" s="6">
        <f t="shared" si="40"/>
        <v>-0.47999999999956344</v>
      </c>
      <c r="M187" s="2"/>
      <c r="N187" s="7">
        <f t="shared" si="41"/>
        <v>-2.927364761844017E-5</v>
      </c>
      <c r="O187" s="11"/>
      <c r="P187" s="6">
        <v>65586.080000000002</v>
      </c>
      <c r="Q187" s="2"/>
      <c r="R187" s="7">
        <f t="shared" si="42"/>
        <v>1.4193614073022392E-2</v>
      </c>
      <c r="S187" s="2"/>
      <c r="T187" s="6">
        <v>65756</v>
      </c>
      <c r="U187" s="2"/>
      <c r="V187" s="7">
        <f t="shared" si="43"/>
        <v>1.3460001001628363E-2</v>
      </c>
      <c r="W187" s="2"/>
      <c r="X187" s="6">
        <f t="shared" si="44"/>
        <v>-169.91999999999825</v>
      </c>
      <c r="Y187" s="2"/>
      <c r="Z187" s="7">
        <f t="shared" si="45"/>
        <v>-2.5840987894640527E-3</v>
      </c>
    </row>
    <row r="188" spans="1:26" s="24" customFormat="1" hidden="1" outlineLevel="2" x14ac:dyDescent="0.25">
      <c r="A188" s="27"/>
      <c r="B188" s="11" t="str">
        <f>CONCATENATE("          ", "6322", " - ", "EQUIPMENT DEPRECIATION EXPENSE")</f>
        <v xml:space="preserve">          6322 - EQUIPMENT DEPRECIATION EXPENSE</v>
      </c>
      <c r="C188" s="11"/>
      <c r="D188" s="6">
        <v>13210.91</v>
      </c>
      <c r="E188" s="2"/>
      <c r="F188" s="7">
        <f t="shared" si="38"/>
        <v>2.7590974291953885E-2</v>
      </c>
      <c r="G188" s="2"/>
      <c r="H188" s="6">
        <v>13049</v>
      </c>
      <c r="I188" s="2"/>
      <c r="J188" s="7">
        <f t="shared" si="39"/>
        <v>2.6906896172218739E-2</v>
      </c>
      <c r="K188" s="2"/>
      <c r="L188" s="6">
        <f t="shared" si="40"/>
        <v>161.90999999999985</v>
      </c>
      <c r="M188" s="2"/>
      <c r="N188" s="7">
        <f t="shared" si="41"/>
        <v>1.2407847344624098E-2</v>
      </c>
      <c r="O188" s="11"/>
      <c r="P188" s="6">
        <v>52843.64</v>
      </c>
      <c r="Q188" s="2"/>
      <c r="R188" s="7">
        <f t="shared" si="42"/>
        <v>1.1435997278290286E-2</v>
      </c>
      <c r="S188" s="2"/>
      <c r="T188" s="6">
        <v>52196</v>
      </c>
      <c r="U188" s="2"/>
      <c r="V188" s="7">
        <f t="shared" si="43"/>
        <v>1.068432100920059E-2</v>
      </c>
      <c r="W188" s="2"/>
      <c r="X188" s="6">
        <f t="shared" si="44"/>
        <v>647.63999999999942</v>
      </c>
      <c r="Y188" s="2"/>
      <c r="Z188" s="7">
        <f t="shared" si="45"/>
        <v>1.2407847344624098E-2</v>
      </c>
    </row>
    <row r="189" spans="1:26" s="24" customFormat="1" hidden="1" outlineLevel="2" x14ac:dyDescent="0.25">
      <c r="A189" s="27"/>
      <c r="B189" s="11" t="str">
        <f>CONCATENATE("          ", "6324", " - ", "FURNITURE + FIXT DEPRECIATION")</f>
        <v xml:space="preserve">          6324 - FURNITURE + FIXT DEPRECIATION</v>
      </c>
      <c r="C189" s="11"/>
      <c r="D189" s="6"/>
      <c r="E189" s="2"/>
      <c r="F189" s="7">
        <f t="shared" si="38"/>
        <v>0</v>
      </c>
      <c r="G189" s="2"/>
      <c r="H189" s="6">
        <v>700</v>
      </c>
      <c r="I189" s="2"/>
      <c r="J189" s="7">
        <f t="shared" si="39"/>
        <v>1.443392391796545E-3</v>
      </c>
      <c r="K189" s="2"/>
      <c r="L189" s="6">
        <f t="shared" si="40"/>
        <v>-700</v>
      </c>
      <c r="M189" s="2"/>
      <c r="N189" s="7">
        <f t="shared" si="41"/>
        <v>-1</v>
      </c>
      <c r="O189" s="11"/>
      <c r="P189" s="6"/>
      <c r="Q189" s="2"/>
      <c r="R189" s="7">
        <f t="shared" si="42"/>
        <v>0</v>
      </c>
      <c r="S189" s="2"/>
      <c r="T189" s="6">
        <v>2800</v>
      </c>
      <c r="U189" s="2"/>
      <c r="V189" s="7">
        <f t="shared" si="43"/>
        <v>5.7314926097328629E-4</v>
      </c>
      <c r="W189" s="2"/>
      <c r="X189" s="6">
        <f t="shared" si="44"/>
        <v>-2800</v>
      </c>
      <c r="Y189" s="2"/>
      <c r="Z189" s="7">
        <f t="shared" si="45"/>
        <v>-1</v>
      </c>
    </row>
    <row r="190" spans="1:26" s="24" customFormat="1" hidden="1" outlineLevel="2" x14ac:dyDescent="0.25">
      <c r="A190" s="27"/>
      <c r="B190" s="11" t="str">
        <f>CONCATENATE("          ", "6326", " - ", "VEHICLES DEPRECIATION EXPENSE")</f>
        <v xml:space="preserve">          6326 - VEHICLES DEPRECIATION EXPENSE</v>
      </c>
      <c r="C190" s="11"/>
      <c r="D190" s="6"/>
      <c r="E190" s="2"/>
      <c r="F190" s="7">
        <f t="shared" si="38"/>
        <v>0</v>
      </c>
      <c r="G190" s="2"/>
      <c r="H190" s="6">
        <v>333</v>
      </c>
      <c r="I190" s="2"/>
      <c r="J190" s="7">
        <f t="shared" si="39"/>
        <v>6.8664238066892781E-4</v>
      </c>
      <c r="K190" s="2"/>
      <c r="L190" s="6">
        <f t="shared" si="40"/>
        <v>-333</v>
      </c>
      <c r="M190" s="2"/>
      <c r="N190" s="7">
        <f t="shared" si="41"/>
        <v>-1</v>
      </c>
      <c r="O190" s="11"/>
      <c r="P190" s="6"/>
      <c r="Q190" s="2"/>
      <c r="R190" s="7">
        <f t="shared" si="42"/>
        <v>0</v>
      </c>
      <c r="S190" s="2"/>
      <c r="T190" s="6">
        <v>333</v>
      </c>
      <c r="U190" s="2"/>
      <c r="V190" s="7">
        <f t="shared" si="43"/>
        <v>6.8163822822894405E-5</v>
      </c>
      <c r="W190" s="2"/>
      <c r="X190" s="6">
        <f t="shared" si="44"/>
        <v>-333</v>
      </c>
      <c r="Y190" s="2"/>
      <c r="Z190" s="7">
        <f t="shared" si="45"/>
        <v>-1</v>
      </c>
    </row>
    <row r="191" spans="1:26" s="26" customFormat="1" outlineLevel="1" collapsed="1" x14ac:dyDescent="0.25">
      <c r="A191" s="25"/>
      <c r="B191" s="13" t="str">
        <f>CONCATENATE("     ","Discounts and Markdowns                           ")</f>
        <v xml:space="preserve">     Discounts and Markdowns                           </v>
      </c>
      <c r="C191" s="13"/>
      <c r="D191" s="1">
        <f>SUM(OSRRefD22_6x_0)</f>
        <v>33772.049999999996</v>
      </c>
      <c r="E191" s="1"/>
      <c r="F191" s="5">
        <f t="shared" ref="F191:F193" si="46">IF(D$12=0,0,D191/D$12)</f>
        <v>7.053289768354952E-2</v>
      </c>
      <c r="G191" s="1"/>
      <c r="H191" s="1">
        <f>SUM(OSRRefH22_6x_0)</f>
        <v>23225</v>
      </c>
      <c r="I191" s="1"/>
      <c r="J191" s="5">
        <f t="shared" ref="J191:J193" si="47">IF(H$12=0,0,H191/H$12)</f>
        <v>4.7889697570678229E-2</v>
      </c>
      <c r="K191" s="1"/>
      <c r="L191" s="1">
        <f t="shared" ref="L191:L193" si="48">+D191-H191</f>
        <v>10547.049999999996</v>
      </c>
      <c r="M191" s="1"/>
      <c r="N191" s="5">
        <f t="shared" ref="N191:N193" si="49">IF(H191=0,0,L191/H191)</f>
        <v>0.45412486544671671</v>
      </c>
      <c r="O191" s="13"/>
      <c r="P191" s="1">
        <f>SUM(OSRRefP22_6x_0)</f>
        <v>97800.790000000008</v>
      </c>
      <c r="Q191" s="1"/>
      <c r="R191" s="5">
        <f t="shared" ref="R191:R193" si="50">IF(P$12=0,0,P191/P$12)</f>
        <v>2.1165263563498654E-2</v>
      </c>
      <c r="S191" s="1"/>
      <c r="T191" s="1">
        <f>SUM(OSRRefT22_6x_0)</f>
        <v>104900</v>
      </c>
      <c r="U191" s="1"/>
      <c r="V191" s="5">
        <f t="shared" ref="V191:V193" si="51">IF(T$12=0,0,T191/T$12)</f>
        <v>2.1472627670034907E-2</v>
      </c>
      <c r="W191" s="1"/>
      <c r="X191" s="1">
        <f t="shared" ref="X191:X193" si="52">+P191-T191</f>
        <v>-7099.2099999999919</v>
      </c>
      <c r="Y191" s="1"/>
      <c r="Z191" s="5">
        <f t="shared" ref="Z191:Z193" si="53">IF(T191=0,0,X191/T191)</f>
        <v>-6.7675977121067613E-2</v>
      </c>
    </row>
    <row r="192" spans="1:26" s="24" customFormat="1" hidden="1" outlineLevel="2" x14ac:dyDescent="0.25">
      <c r="A192" s="27"/>
      <c r="B192" s="11" t="str">
        <f>CONCATENATE("          ", "6382", " - ", "DISCOUNTS/MARK DOWNS")</f>
        <v xml:space="preserve">          6382 - DISCOUNTS/MARK DOWNS</v>
      </c>
      <c r="C192" s="11"/>
      <c r="D192" s="6">
        <v>34241.939999999995</v>
      </c>
      <c r="E192" s="2"/>
      <c r="F192" s="7">
        <f t="shared" si="46"/>
        <v>7.1514262548653146E-2</v>
      </c>
      <c r="G192" s="2"/>
      <c r="H192" s="6">
        <v>23225</v>
      </c>
      <c r="I192" s="2"/>
      <c r="J192" s="7">
        <f t="shared" si="47"/>
        <v>4.7889697570678229E-2</v>
      </c>
      <c r="K192" s="2"/>
      <c r="L192" s="6">
        <f t="shared" si="48"/>
        <v>11016.939999999995</v>
      </c>
      <c r="M192" s="2"/>
      <c r="N192" s="7">
        <f t="shared" si="49"/>
        <v>0.47435694294940778</v>
      </c>
      <c r="O192" s="11"/>
      <c r="P192" s="6">
        <v>99918.540000000008</v>
      </c>
      <c r="Q192" s="2"/>
      <c r="R192" s="7">
        <f t="shared" si="50"/>
        <v>2.162357005480204E-2</v>
      </c>
      <c r="S192" s="2"/>
      <c r="T192" s="6">
        <v>104900</v>
      </c>
      <c r="U192" s="2"/>
      <c r="V192" s="7">
        <f t="shared" si="51"/>
        <v>2.1472627670034907E-2</v>
      </c>
      <c r="W192" s="2"/>
      <c r="X192" s="6">
        <f t="shared" si="52"/>
        <v>-4981.4599999999919</v>
      </c>
      <c r="Y192" s="2"/>
      <c r="Z192" s="7">
        <f t="shared" si="53"/>
        <v>-4.7487702573879804E-2</v>
      </c>
    </row>
    <row r="193" spans="1:26" s="24" customFormat="1" hidden="1" outlineLevel="2" x14ac:dyDescent="0.25">
      <c r="A193" s="27"/>
      <c r="B193" s="11" t="str">
        <f>CONCATENATE("          ", "9175", " - ", "EARNED DISCOUNTS")</f>
        <v xml:space="preserve">          9175 - EARNED DISCOUNTS</v>
      </c>
      <c r="C193" s="11"/>
      <c r="D193" s="6">
        <v>-469.89</v>
      </c>
      <c r="E193" s="2"/>
      <c r="F193" s="7">
        <f t="shared" si="46"/>
        <v>-9.8136486510363107E-4</v>
      </c>
      <c r="G193" s="2"/>
      <c r="H193" s="6"/>
      <c r="I193" s="2"/>
      <c r="J193" s="7">
        <f t="shared" si="47"/>
        <v>0</v>
      </c>
      <c r="K193" s="2"/>
      <c r="L193" s="6">
        <f t="shared" si="48"/>
        <v>-469.89</v>
      </c>
      <c r="M193" s="2"/>
      <c r="N193" s="7">
        <f t="shared" si="49"/>
        <v>0</v>
      </c>
      <c r="O193" s="11"/>
      <c r="P193" s="6">
        <v>-2117.75</v>
      </c>
      <c r="Q193" s="2"/>
      <c r="R193" s="7">
        <f t="shared" si="50"/>
        <v>-4.583064913033859E-4</v>
      </c>
      <c r="S193" s="2"/>
      <c r="T193" s="6"/>
      <c r="U193" s="2"/>
      <c r="V193" s="7">
        <f t="shared" si="51"/>
        <v>0</v>
      </c>
      <c r="W193" s="2"/>
      <c r="X193" s="6">
        <f t="shared" si="52"/>
        <v>-2117.75</v>
      </c>
      <c r="Y193" s="2"/>
      <c r="Z193" s="7">
        <f t="shared" si="53"/>
        <v>0</v>
      </c>
    </row>
    <row r="194" spans="1:26" s="26" customFormat="1" outlineLevel="1" collapsed="1" x14ac:dyDescent="0.25">
      <c r="A194" s="25"/>
      <c r="B194" s="13" t="str">
        <f>CONCATENATE("     ","Donations                                         ")</f>
        <v xml:space="preserve">     Donations                                         </v>
      </c>
      <c r="C194" s="13"/>
      <c r="D194" s="1">
        <f>SUM(OSRRefD22_7x_0)</f>
        <v>1006.14</v>
      </c>
      <c r="E194" s="1"/>
      <c r="F194" s="5">
        <f t="shared" ref="F194:F196" si="54">IF(D$12=0,0,D194/D$12)</f>
        <v>2.1013225337320808E-3</v>
      </c>
      <c r="G194" s="1"/>
      <c r="H194" s="1">
        <f>SUM(OSRRefH22_7x_0)</f>
        <v>1025</v>
      </c>
      <c r="I194" s="1"/>
      <c r="J194" s="5">
        <f t="shared" ref="J194:J196" si="55">IF(H$12=0,0,H194/H$12)</f>
        <v>2.1135388594163695E-3</v>
      </c>
      <c r="K194" s="1"/>
      <c r="L194" s="1">
        <f t="shared" ref="L194:L196" si="56">+D194-H194</f>
        <v>-18.860000000000014</v>
      </c>
      <c r="M194" s="1"/>
      <c r="N194" s="5">
        <f t="shared" ref="N194:N196" si="57">IF(H194=0,0,L194/H194)</f>
        <v>-1.8400000000000014E-2</v>
      </c>
      <c r="O194" s="13"/>
      <c r="P194" s="1">
        <f>SUM(OSRRefP22_7x_0)</f>
        <v>6231.48</v>
      </c>
      <c r="Q194" s="1"/>
      <c r="R194" s="5">
        <f t="shared" ref="R194:R196" si="58">IF(P$12=0,0,P194/P$12)</f>
        <v>1.3485669859177065E-3</v>
      </c>
      <c r="S194" s="1"/>
      <c r="T194" s="1">
        <f>SUM(OSRRefT22_7x_0)</f>
        <v>4175</v>
      </c>
      <c r="U194" s="1"/>
      <c r="V194" s="5">
        <f t="shared" ref="V194:V196" si="59">IF(T$12=0,0,T194/T$12)</f>
        <v>8.5460648734409655E-4</v>
      </c>
      <c r="W194" s="1"/>
      <c r="X194" s="1">
        <f t="shared" ref="X194:X196" si="60">+P194-T194</f>
        <v>2056.4799999999996</v>
      </c>
      <c r="Y194" s="1"/>
      <c r="Z194" s="5">
        <f t="shared" ref="Z194:Z196" si="61">IF(T194=0,0,X194/T194)</f>
        <v>0.49257005988023944</v>
      </c>
    </row>
    <row r="195" spans="1:26" s="24" customFormat="1" hidden="1" outlineLevel="2" x14ac:dyDescent="0.25">
      <c r="A195" s="27"/>
      <c r="B195" s="11" t="str">
        <f>CONCATENATE("          ", "6395", " - ", "DONATION-OFF CAMPUS")</f>
        <v xml:space="preserve">          6395 - DONATION-OFF CAMPUS</v>
      </c>
      <c r="C195" s="11"/>
      <c r="D195" s="6"/>
      <c r="E195" s="2"/>
      <c r="F195" s="7">
        <f t="shared" si="54"/>
        <v>0</v>
      </c>
      <c r="G195" s="2"/>
      <c r="H195" s="6">
        <v>1025</v>
      </c>
      <c r="I195" s="2"/>
      <c r="J195" s="7">
        <f t="shared" si="55"/>
        <v>2.1135388594163695E-3</v>
      </c>
      <c r="K195" s="2"/>
      <c r="L195" s="6">
        <f t="shared" si="56"/>
        <v>-1025</v>
      </c>
      <c r="M195" s="2"/>
      <c r="N195" s="7">
        <f t="shared" si="57"/>
        <v>-1</v>
      </c>
      <c r="O195" s="11"/>
      <c r="P195" s="6"/>
      <c r="Q195" s="2"/>
      <c r="R195" s="7">
        <f t="shared" si="58"/>
        <v>0</v>
      </c>
      <c r="S195" s="2"/>
      <c r="T195" s="6">
        <v>4175</v>
      </c>
      <c r="U195" s="2"/>
      <c r="V195" s="7">
        <f t="shared" si="59"/>
        <v>8.5460648734409655E-4</v>
      </c>
      <c r="W195" s="2"/>
      <c r="X195" s="6">
        <f t="shared" si="60"/>
        <v>-4175</v>
      </c>
      <c r="Y195" s="2"/>
      <c r="Z195" s="7">
        <f t="shared" si="61"/>
        <v>-1</v>
      </c>
    </row>
    <row r="196" spans="1:26" s="24" customFormat="1" hidden="1" outlineLevel="2" x14ac:dyDescent="0.25">
      <c r="A196" s="27"/>
      <c r="B196" s="11" t="str">
        <f>CONCATENATE("          ", "6399", " - ", "DONATION-ON CAMPUS")</f>
        <v xml:space="preserve">          6399 - DONATION-ON CAMPUS</v>
      </c>
      <c r="C196" s="11"/>
      <c r="D196" s="6">
        <v>1006.14</v>
      </c>
      <c r="E196" s="2"/>
      <c r="F196" s="7">
        <f t="shared" si="54"/>
        <v>2.1013225337320808E-3</v>
      </c>
      <c r="G196" s="2"/>
      <c r="H196" s="6"/>
      <c r="I196" s="2"/>
      <c r="J196" s="7">
        <f t="shared" si="55"/>
        <v>0</v>
      </c>
      <c r="K196" s="2"/>
      <c r="L196" s="6">
        <f t="shared" si="56"/>
        <v>1006.14</v>
      </c>
      <c r="M196" s="2"/>
      <c r="N196" s="7">
        <f t="shared" si="57"/>
        <v>0</v>
      </c>
      <c r="O196" s="11"/>
      <c r="P196" s="6">
        <v>6231.48</v>
      </c>
      <c r="Q196" s="2"/>
      <c r="R196" s="7">
        <f t="shared" si="58"/>
        <v>1.3485669859177065E-3</v>
      </c>
      <c r="S196" s="2"/>
      <c r="T196" s="6"/>
      <c r="U196" s="2"/>
      <c r="V196" s="7">
        <f t="shared" si="59"/>
        <v>0</v>
      </c>
      <c r="W196" s="2"/>
      <c r="X196" s="6">
        <f t="shared" si="60"/>
        <v>6231.48</v>
      </c>
      <c r="Y196" s="2"/>
      <c r="Z196" s="7">
        <f t="shared" si="61"/>
        <v>0</v>
      </c>
    </row>
    <row r="197" spans="1:26" s="26" customFormat="1" outlineLevel="1" collapsed="1" x14ac:dyDescent="0.25">
      <c r="A197" s="25"/>
      <c r="B197" s="13" t="str">
        <f>CONCATENATE("     ","Employees' Appreciation                           ")</f>
        <v xml:space="preserve">     Employees' Appreciation                           </v>
      </c>
      <c r="C197" s="13"/>
      <c r="D197" s="1">
        <f>SUM(OSRRefD22_8x_0)</f>
        <v>60</v>
      </c>
      <c r="E197" s="1"/>
      <c r="F197" s="5">
        <f t="shared" ref="F197:F203" si="62">IF(D$12=0,0,D197/D$12)</f>
        <v>1.253099489374489E-4</v>
      </c>
      <c r="G197" s="1"/>
      <c r="H197" s="1">
        <f>SUM(OSRRefH22_8x_0)</f>
        <v>700</v>
      </c>
      <c r="I197" s="1"/>
      <c r="J197" s="5">
        <f t="shared" ref="J197:J203" si="63">IF(H$12=0,0,H197/H$12)</f>
        <v>1.443392391796545E-3</v>
      </c>
      <c r="K197" s="1"/>
      <c r="L197" s="1">
        <f t="shared" ref="L197:L203" si="64">+D197-H197</f>
        <v>-640</v>
      </c>
      <c r="M197" s="1"/>
      <c r="N197" s="5">
        <f t="shared" ref="N197:N203" si="65">IF(H197=0,0,L197/H197)</f>
        <v>-0.91428571428571426</v>
      </c>
      <c r="O197" s="13"/>
      <c r="P197" s="1">
        <f>SUM(OSRRefP22_8x_0)</f>
        <v>645.13</v>
      </c>
      <c r="Q197" s="1"/>
      <c r="R197" s="5">
        <f t="shared" ref="R197:R203" si="66">IF(P$12=0,0,P197/P$12)</f>
        <v>1.396138669505623E-4</v>
      </c>
      <c r="S197" s="1"/>
      <c r="T197" s="1">
        <f>SUM(OSRRefT22_8x_0)</f>
        <v>2800</v>
      </c>
      <c r="U197" s="1"/>
      <c r="V197" s="5">
        <f t="shared" ref="V197:V203" si="67">IF(T$12=0,0,T197/T$12)</f>
        <v>5.7314926097328629E-4</v>
      </c>
      <c r="W197" s="1"/>
      <c r="X197" s="1">
        <f t="shared" ref="X197:X203" si="68">+P197-T197</f>
        <v>-2154.87</v>
      </c>
      <c r="Y197" s="1"/>
      <c r="Z197" s="5">
        <f t="shared" ref="Z197:Z203" si="69">IF(T197=0,0,X197/T197)</f>
        <v>-0.76959642857142851</v>
      </c>
    </row>
    <row r="198" spans="1:26" s="24" customFormat="1" hidden="1" outlineLevel="2" x14ac:dyDescent="0.25">
      <c r="A198" s="27"/>
      <c r="B198" s="11" t="str">
        <f>CONCATENATE("          ", "6277", " - ", "EMPLOYEE APPRECIATION")</f>
        <v xml:space="preserve">          6277 - EMPLOYEE APPRECIATION</v>
      </c>
      <c r="C198" s="11"/>
      <c r="D198" s="6">
        <v>60</v>
      </c>
      <c r="E198" s="2"/>
      <c r="F198" s="7">
        <f t="shared" si="62"/>
        <v>1.253099489374489E-4</v>
      </c>
      <c r="G198" s="2"/>
      <c r="H198" s="6">
        <v>700</v>
      </c>
      <c r="I198" s="2"/>
      <c r="J198" s="7">
        <f t="shared" si="63"/>
        <v>1.443392391796545E-3</v>
      </c>
      <c r="K198" s="2"/>
      <c r="L198" s="6">
        <f t="shared" si="64"/>
        <v>-640</v>
      </c>
      <c r="M198" s="2"/>
      <c r="N198" s="7">
        <f t="shared" si="65"/>
        <v>-0.91428571428571426</v>
      </c>
      <c r="O198" s="11"/>
      <c r="P198" s="6">
        <v>645.13</v>
      </c>
      <c r="Q198" s="2"/>
      <c r="R198" s="7">
        <f t="shared" si="66"/>
        <v>1.396138669505623E-4</v>
      </c>
      <c r="S198" s="2"/>
      <c r="T198" s="6">
        <v>2800</v>
      </c>
      <c r="U198" s="2"/>
      <c r="V198" s="7">
        <f t="shared" si="67"/>
        <v>5.7314926097328629E-4</v>
      </c>
      <c r="W198" s="2"/>
      <c r="X198" s="6">
        <f t="shared" si="68"/>
        <v>-2154.87</v>
      </c>
      <c r="Y198" s="2"/>
      <c r="Z198" s="7">
        <f t="shared" si="69"/>
        <v>-0.76959642857142851</v>
      </c>
    </row>
    <row r="199" spans="1:26" s="26" customFormat="1" outlineLevel="1" collapsed="1" x14ac:dyDescent="0.25">
      <c r="A199" s="25"/>
      <c r="B199" s="13" t="str">
        <f>CONCATENATE("     ","Equipment Rental                                  ")</f>
        <v xml:space="preserve">     Equipment Rental                                  </v>
      </c>
      <c r="C199" s="13"/>
      <c r="D199" s="1">
        <f>SUM(OSRRefD22_9x_0)</f>
        <v>2776.32</v>
      </c>
      <c r="E199" s="1"/>
      <c r="F199" s="5">
        <f t="shared" si="62"/>
        <v>5.7983419572336364E-3</v>
      </c>
      <c r="G199" s="1"/>
      <c r="H199" s="1">
        <f>SUM(OSRRefH22_9x_0)</f>
        <v>3225</v>
      </c>
      <c r="I199" s="1"/>
      <c r="J199" s="5">
        <f t="shared" si="63"/>
        <v>6.6499149479197972E-3</v>
      </c>
      <c r="K199" s="1"/>
      <c r="L199" s="1">
        <f t="shared" si="64"/>
        <v>-448.67999999999984</v>
      </c>
      <c r="M199" s="1"/>
      <c r="N199" s="5">
        <f t="shared" si="65"/>
        <v>-0.13912558139534878</v>
      </c>
      <c r="O199" s="13"/>
      <c r="P199" s="1">
        <f>SUM(OSRRefP22_9x_0)</f>
        <v>6667.02</v>
      </c>
      <c r="Q199" s="1"/>
      <c r="R199" s="5">
        <f t="shared" si="66"/>
        <v>1.4428230639355448E-3</v>
      </c>
      <c r="S199" s="1"/>
      <c r="T199" s="1">
        <f>SUM(OSRRefT22_9x_0)</f>
        <v>12900</v>
      </c>
      <c r="U199" s="1"/>
      <c r="V199" s="5">
        <f t="shared" si="67"/>
        <v>2.6405805237697836E-3</v>
      </c>
      <c r="W199" s="1"/>
      <c r="X199" s="1">
        <f t="shared" si="68"/>
        <v>-6232.98</v>
      </c>
      <c r="Y199" s="1"/>
      <c r="Z199" s="5">
        <f t="shared" si="69"/>
        <v>-0.4831767441860465</v>
      </c>
    </row>
    <row r="200" spans="1:26" s="24" customFormat="1" hidden="1" outlineLevel="2" x14ac:dyDescent="0.25">
      <c r="A200" s="27"/>
      <c r="B200" s="11" t="str">
        <f>CONCATENATE("          ", "6351", " - ", "EQUIPMENT RENTAL")</f>
        <v xml:space="preserve">          6351 - EQUIPMENT RENTAL</v>
      </c>
      <c r="C200" s="11"/>
      <c r="D200" s="6">
        <v>2776.32</v>
      </c>
      <c r="E200" s="2"/>
      <c r="F200" s="7">
        <f t="shared" si="62"/>
        <v>5.7983419572336364E-3</v>
      </c>
      <c r="G200" s="2"/>
      <c r="H200" s="6">
        <v>3225</v>
      </c>
      <c r="I200" s="2"/>
      <c r="J200" s="7">
        <f t="shared" si="63"/>
        <v>6.6499149479197972E-3</v>
      </c>
      <c r="K200" s="2"/>
      <c r="L200" s="6">
        <f t="shared" si="64"/>
        <v>-448.67999999999984</v>
      </c>
      <c r="M200" s="2"/>
      <c r="N200" s="7">
        <f t="shared" si="65"/>
        <v>-0.13912558139534878</v>
      </c>
      <c r="O200" s="11"/>
      <c r="P200" s="6">
        <v>6667.02</v>
      </c>
      <c r="Q200" s="2"/>
      <c r="R200" s="7">
        <f t="shared" si="66"/>
        <v>1.4428230639355448E-3</v>
      </c>
      <c r="S200" s="2"/>
      <c r="T200" s="6">
        <v>12900</v>
      </c>
      <c r="U200" s="2"/>
      <c r="V200" s="7">
        <f t="shared" si="67"/>
        <v>2.6405805237697836E-3</v>
      </c>
      <c r="W200" s="2"/>
      <c r="X200" s="6">
        <f t="shared" si="68"/>
        <v>-6232.98</v>
      </c>
      <c r="Y200" s="2"/>
      <c r="Z200" s="7">
        <f t="shared" si="69"/>
        <v>-0.4831767441860465</v>
      </c>
    </row>
    <row r="201" spans="1:26" s="26" customFormat="1" outlineLevel="1" collapsed="1" x14ac:dyDescent="0.25">
      <c r="A201" s="25"/>
      <c r="B201" s="13" t="str">
        <f>CONCATENATE("     ","Freight out/Postage                               ")</f>
        <v xml:space="preserve">     Freight out/Postage                               </v>
      </c>
      <c r="C201" s="13"/>
      <c r="D201" s="1">
        <f>SUM(OSRRefD22_10x_0)</f>
        <v>1632.4</v>
      </c>
      <c r="E201" s="1"/>
      <c r="F201" s="5">
        <f t="shared" si="62"/>
        <v>3.4092660107581936E-3</v>
      </c>
      <c r="G201" s="1"/>
      <c r="H201" s="1">
        <f>SUM(OSRRefH22_10x_0)</f>
        <v>-6610</v>
      </c>
      <c r="I201" s="1"/>
      <c r="J201" s="5">
        <f t="shared" si="63"/>
        <v>-1.362974815682166E-2</v>
      </c>
      <c r="K201" s="1"/>
      <c r="L201" s="1">
        <f t="shared" si="64"/>
        <v>8242.4</v>
      </c>
      <c r="M201" s="1"/>
      <c r="N201" s="5">
        <f t="shared" si="65"/>
        <v>-1.2469591527987895</v>
      </c>
      <c r="O201" s="13"/>
      <c r="P201" s="1">
        <f>SUM(OSRRefP22_10x_0)</f>
        <v>-4078.4100000000035</v>
      </c>
      <c r="Q201" s="1"/>
      <c r="R201" s="5">
        <f t="shared" si="66"/>
        <v>-8.8261682313617925E-4</v>
      </c>
      <c r="S201" s="1"/>
      <c r="T201" s="1">
        <f>SUM(OSRRefT22_10x_0)</f>
        <v>-30540</v>
      </c>
      <c r="U201" s="1"/>
      <c r="V201" s="5">
        <f t="shared" si="67"/>
        <v>-6.2514208679014874E-3</v>
      </c>
      <c r="W201" s="1"/>
      <c r="X201" s="1">
        <f t="shared" si="68"/>
        <v>26461.589999999997</v>
      </c>
      <c r="Y201" s="1"/>
      <c r="Z201" s="5">
        <f t="shared" si="69"/>
        <v>-0.86645677799607057</v>
      </c>
    </row>
    <row r="202" spans="1:26" s="24" customFormat="1" hidden="1" outlineLevel="2" x14ac:dyDescent="0.25">
      <c r="A202" s="27"/>
      <c r="B202" s="11" t="str">
        <f>CONCATENATE("          ", "6305", " - ", "FREIGHT OUT")</f>
        <v xml:space="preserve">          6305 - FREIGHT OUT</v>
      </c>
      <c r="C202" s="11"/>
      <c r="D202" s="6">
        <v>4578.59</v>
      </c>
      <c r="E202" s="2"/>
      <c r="F202" s="7">
        <f t="shared" si="62"/>
        <v>9.5623813184252376E-3</v>
      </c>
      <c r="G202" s="2"/>
      <c r="H202" s="6">
        <v>-6650</v>
      </c>
      <c r="I202" s="2"/>
      <c r="J202" s="7">
        <f t="shared" si="63"/>
        <v>-1.3712227722067177E-2</v>
      </c>
      <c r="K202" s="2"/>
      <c r="L202" s="6">
        <f t="shared" si="64"/>
        <v>11228.59</v>
      </c>
      <c r="M202" s="2"/>
      <c r="N202" s="7">
        <f t="shared" si="65"/>
        <v>-1.6885097744360902</v>
      </c>
      <c r="O202" s="11"/>
      <c r="P202" s="6">
        <v>19509.82</v>
      </c>
      <c r="Q202" s="2"/>
      <c r="R202" s="7">
        <f t="shared" si="66"/>
        <v>4.2221589659594489E-3</v>
      </c>
      <c r="S202" s="2"/>
      <c r="T202" s="6">
        <v>-30700</v>
      </c>
      <c r="U202" s="2"/>
      <c r="V202" s="7">
        <f t="shared" si="67"/>
        <v>-6.284172254242818E-3</v>
      </c>
      <c r="W202" s="2"/>
      <c r="X202" s="6">
        <f t="shared" si="68"/>
        <v>50209.82</v>
      </c>
      <c r="Y202" s="2"/>
      <c r="Z202" s="7">
        <f t="shared" si="69"/>
        <v>-1.6354990228013029</v>
      </c>
    </row>
    <row r="203" spans="1:26" s="24" customFormat="1" hidden="1" outlineLevel="2" x14ac:dyDescent="0.25">
      <c r="A203" s="27"/>
      <c r="B203" s="11" t="str">
        <f>CONCATENATE("          ", "6307", " - ", "POSTAGE")</f>
        <v xml:space="preserve">          6307 - POSTAGE</v>
      </c>
      <c r="C203" s="11"/>
      <c r="D203" s="6">
        <v>-2946.19</v>
      </c>
      <c r="E203" s="2"/>
      <c r="F203" s="7">
        <f t="shared" si="62"/>
        <v>-6.1531153076670436E-3</v>
      </c>
      <c r="G203" s="2"/>
      <c r="H203" s="6">
        <v>40</v>
      </c>
      <c r="I203" s="2"/>
      <c r="J203" s="7">
        <f t="shared" si="63"/>
        <v>8.2479565245516863E-5</v>
      </c>
      <c r="K203" s="2"/>
      <c r="L203" s="6">
        <f t="shared" si="64"/>
        <v>-2986.19</v>
      </c>
      <c r="M203" s="2"/>
      <c r="N203" s="7">
        <f t="shared" si="65"/>
        <v>-74.654750000000007</v>
      </c>
      <c r="O203" s="11"/>
      <c r="P203" s="6">
        <v>-23588.230000000003</v>
      </c>
      <c r="Q203" s="2"/>
      <c r="R203" s="7">
        <f t="shared" si="66"/>
        <v>-5.1047757890956289E-3</v>
      </c>
      <c r="S203" s="2"/>
      <c r="T203" s="6">
        <v>160</v>
      </c>
      <c r="U203" s="2"/>
      <c r="V203" s="7">
        <f t="shared" si="67"/>
        <v>3.275138634133065E-5</v>
      </c>
      <c r="W203" s="2"/>
      <c r="X203" s="6">
        <f t="shared" si="68"/>
        <v>-23748.230000000003</v>
      </c>
      <c r="Y203" s="2"/>
      <c r="Z203" s="7">
        <f t="shared" si="69"/>
        <v>-148.42643750000002</v>
      </c>
    </row>
    <row r="204" spans="1:26" s="26" customFormat="1" outlineLevel="1" collapsed="1" x14ac:dyDescent="0.25">
      <c r="A204" s="25"/>
      <c r="B204" s="13" t="str">
        <f>CONCATENATE("     ","General                                           ")</f>
        <v xml:space="preserve">     General                                           </v>
      </c>
      <c r="C204" s="13"/>
      <c r="D204" s="1">
        <f>SUM(OSRRefD22_11x_0)</f>
        <v>188.95</v>
      </c>
      <c r="E204" s="1"/>
      <c r="F204" s="5">
        <f t="shared" ref="F204:F217" si="70">IF(D$12=0,0,D204/D$12)</f>
        <v>3.9462191419551617E-4</v>
      </c>
      <c r="G204" s="1"/>
      <c r="H204" s="1">
        <f>SUM(OSRRefH22_11x_0)</f>
        <v>480</v>
      </c>
      <c r="I204" s="1"/>
      <c r="J204" s="5">
        <f t="shared" ref="J204:J217" si="71">IF(H$12=0,0,H204/H$12)</f>
        <v>9.8975478294620225E-4</v>
      </c>
      <c r="K204" s="1"/>
      <c r="L204" s="1">
        <f t="shared" ref="L204:L217" si="72">+D204-H204</f>
        <v>-291.05</v>
      </c>
      <c r="M204" s="1"/>
      <c r="N204" s="5">
        <f t="shared" ref="N204:N217" si="73">IF(H204=0,0,L204/H204)</f>
        <v>-0.60635416666666664</v>
      </c>
      <c r="O204" s="13"/>
      <c r="P204" s="1">
        <f>SUM(OSRRefP22_11x_0)</f>
        <v>-15512.79</v>
      </c>
      <c r="Q204" s="1"/>
      <c r="R204" s="5">
        <f t="shared" ref="R204:R217" si="74">IF(P$12=0,0,P204/P$12)</f>
        <v>-3.3571537505495226E-3</v>
      </c>
      <c r="S204" s="1"/>
      <c r="T204" s="1">
        <f>SUM(OSRRefT22_11x_0)</f>
        <v>2060</v>
      </c>
      <c r="U204" s="1"/>
      <c r="V204" s="5">
        <f t="shared" ref="V204:V217" si="75">IF(T$12=0,0,T204/T$12)</f>
        <v>4.2167409914463209E-4</v>
      </c>
      <c r="W204" s="1"/>
      <c r="X204" s="1">
        <f t="shared" ref="X204:X217" si="76">+P204-T204</f>
        <v>-17572.79</v>
      </c>
      <c r="Y204" s="1"/>
      <c r="Z204" s="5">
        <f t="shared" ref="Z204:Z217" si="77">IF(T204=0,0,X204/T204)</f>
        <v>-8.5304805825242731</v>
      </c>
    </row>
    <row r="205" spans="1:26" s="24" customFormat="1" hidden="1" outlineLevel="2" x14ac:dyDescent="0.25">
      <c r="A205" s="27"/>
      <c r="B205" s="11" t="str">
        <f>CONCATENATE("          ", "6279", " - ", "GENERAL EXPENSE")</f>
        <v xml:space="preserve">          6279 - GENERAL EXPENSE</v>
      </c>
      <c r="C205" s="11"/>
      <c r="D205" s="6">
        <v>188.95</v>
      </c>
      <c r="E205" s="2"/>
      <c r="F205" s="7">
        <f t="shared" si="70"/>
        <v>3.9462191419551617E-4</v>
      </c>
      <c r="G205" s="2"/>
      <c r="H205" s="6">
        <v>480</v>
      </c>
      <c r="I205" s="2"/>
      <c r="J205" s="7">
        <f t="shared" si="71"/>
        <v>9.8975478294620225E-4</v>
      </c>
      <c r="K205" s="2"/>
      <c r="L205" s="6">
        <f t="shared" si="72"/>
        <v>-291.05</v>
      </c>
      <c r="M205" s="2"/>
      <c r="N205" s="7">
        <f t="shared" si="73"/>
        <v>-0.60635416666666664</v>
      </c>
      <c r="O205" s="11"/>
      <c r="P205" s="6">
        <v>-15512.79</v>
      </c>
      <c r="Q205" s="2"/>
      <c r="R205" s="7">
        <f t="shared" si="74"/>
        <v>-3.3571537505495226E-3</v>
      </c>
      <c r="S205" s="2"/>
      <c r="T205" s="6">
        <v>2060</v>
      </c>
      <c r="U205" s="2"/>
      <c r="V205" s="7">
        <f t="shared" si="75"/>
        <v>4.2167409914463209E-4</v>
      </c>
      <c r="W205" s="2"/>
      <c r="X205" s="6">
        <f t="shared" si="76"/>
        <v>-17572.79</v>
      </c>
      <c r="Y205" s="2"/>
      <c r="Z205" s="7">
        <f t="shared" si="77"/>
        <v>-8.5304805825242731</v>
      </c>
    </row>
    <row r="206" spans="1:26" s="26" customFormat="1" outlineLevel="1" collapsed="1" x14ac:dyDescent="0.25">
      <c r="A206" s="25"/>
      <c r="B206" s="13" t="str">
        <f>CONCATENATE("     ","Insurance                                         ")</f>
        <v xml:space="preserve">     Insurance                                         </v>
      </c>
      <c r="C206" s="13"/>
      <c r="D206" s="1">
        <f>SUM(OSRRefD22_12x_0)</f>
        <v>4044.74</v>
      </c>
      <c r="E206" s="1"/>
      <c r="F206" s="5">
        <f t="shared" si="70"/>
        <v>8.447436047754284E-3</v>
      </c>
      <c r="G206" s="1"/>
      <c r="H206" s="1">
        <f>SUM(OSRRefH22_12x_0)</f>
        <v>3815</v>
      </c>
      <c r="I206" s="1"/>
      <c r="J206" s="5">
        <f t="shared" si="71"/>
        <v>7.8664885352911704E-3</v>
      </c>
      <c r="K206" s="1"/>
      <c r="L206" s="1">
        <f t="shared" si="72"/>
        <v>229.73999999999978</v>
      </c>
      <c r="M206" s="1"/>
      <c r="N206" s="5">
        <f t="shared" si="73"/>
        <v>6.0220183486238477E-2</v>
      </c>
      <c r="O206" s="13"/>
      <c r="P206" s="1">
        <f>SUM(OSRRefP22_12x_0)</f>
        <v>16178.96</v>
      </c>
      <c r="Q206" s="1"/>
      <c r="R206" s="5">
        <f t="shared" si="74"/>
        <v>3.5013209257645271E-3</v>
      </c>
      <c r="S206" s="1"/>
      <c r="T206" s="1">
        <f>SUM(OSRRefT22_12x_0)</f>
        <v>15260</v>
      </c>
      <c r="U206" s="1"/>
      <c r="V206" s="5">
        <f t="shared" si="75"/>
        <v>3.1236634723044105E-3</v>
      </c>
      <c r="W206" s="1"/>
      <c r="X206" s="1">
        <f t="shared" si="76"/>
        <v>918.95999999999913</v>
      </c>
      <c r="Y206" s="1"/>
      <c r="Z206" s="5">
        <f t="shared" si="77"/>
        <v>6.0220183486238477E-2</v>
      </c>
    </row>
    <row r="207" spans="1:26" s="24" customFormat="1" hidden="1" outlineLevel="2" x14ac:dyDescent="0.25">
      <c r="A207" s="27"/>
      <c r="B207" s="11" t="str">
        <f>CONCATENATE("          ", "6314", " - ", "LIABILITY INSURANCE")</f>
        <v xml:space="preserve">          6314 - LIABILITY INSURANCE</v>
      </c>
      <c r="C207" s="11"/>
      <c r="D207" s="6">
        <v>4044.74</v>
      </c>
      <c r="E207" s="2"/>
      <c r="F207" s="7">
        <f t="shared" si="70"/>
        <v>8.447436047754284E-3</v>
      </c>
      <c r="G207" s="2"/>
      <c r="H207" s="6">
        <v>3815</v>
      </c>
      <c r="I207" s="2"/>
      <c r="J207" s="7">
        <f t="shared" si="71"/>
        <v>7.8664885352911704E-3</v>
      </c>
      <c r="K207" s="2"/>
      <c r="L207" s="6">
        <f t="shared" si="72"/>
        <v>229.73999999999978</v>
      </c>
      <c r="M207" s="2"/>
      <c r="N207" s="7">
        <f t="shared" si="73"/>
        <v>6.0220183486238477E-2</v>
      </c>
      <c r="O207" s="11"/>
      <c r="P207" s="6">
        <v>16178.96</v>
      </c>
      <c r="Q207" s="2"/>
      <c r="R207" s="7">
        <f t="shared" si="74"/>
        <v>3.5013209257645271E-3</v>
      </c>
      <c r="S207" s="2"/>
      <c r="T207" s="6">
        <v>15260</v>
      </c>
      <c r="U207" s="2"/>
      <c r="V207" s="7">
        <f t="shared" si="75"/>
        <v>3.1236634723044105E-3</v>
      </c>
      <c r="W207" s="2"/>
      <c r="X207" s="6">
        <f t="shared" si="76"/>
        <v>918.95999999999913</v>
      </c>
      <c r="Y207" s="2"/>
      <c r="Z207" s="7">
        <f t="shared" si="77"/>
        <v>6.0220183486238477E-2</v>
      </c>
    </row>
    <row r="208" spans="1:26" s="26" customFormat="1" outlineLevel="1" collapsed="1" x14ac:dyDescent="0.25">
      <c r="A208" s="25"/>
      <c r="B208" s="13" t="str">
        <f>CONCATENATE("     ","Inventory Adjustment                              ")</f>
        <v xml:space="preserve">     Inventory Adjustment                              </v>
      </c>
      <c r="C208" s="13"/>
      <c r="D208" s="1">
        <f>SUM(OSRRefD22_13x_0)</f>
        <v>4250</v>
      </c>
      <c r="E208" s="1"/>
      <c r="F208" s="5">
        <f t="shared" si="70"/>
        <v>8.8761213830692975E-3</v>
      </c>
      <c r="G208" s="1"/>
      <c r="H208" s="1">
        <f>SUM(OSRRefH22_13x_0)</f>
        <v>4250</v>
      </c>
      <c r="I208" s="1"/>
      <c r="J208" s="5">
        <f t="shared" si="71"/>
        <v>8.7634538073361658E-3</v>
      </c>
      <c r="K208" s="1"/>
      <c r="L208" s="1">
        <f t="shared" si="72"/>
        <v>0</v>
      </c>
      <c r="M208" s="1"/>
      <c r="N208" s="5">
        <f t="shared" si="73"/>
        <v>0</v>
      </c>
      <c r="O208" s="13"/>
      <c r="P208" s="1">
        <f>SUM(OSRRefP22_13x_0)</f>
        <v>16900</v>
      </c>
      <c r="Q208" s="1"/>
      <c r="R208" s="5">
        <f t="shared" si="74"/>
        <v>3.6573626268573823E-3</v>
      </c>
      <c r="S208" s="1"/>
      <c r="T208" s="1">
        <f>SUM(OSRRefT22_13x_0)</f>
        <v>16900</v>
      </c>
      <c r="U208" s="1"/>
      <c r="V208" s="5">
        <f t="shared" si="75"/>
        <v>3.4593651823030497E-3</v>
      </c>
      <c r="W208" s="1"/>
      <c r="X208" s="1">
        <f t="shared" si="76"/>
        <v>0</v>
      </c>
      <c r="Y208" s="1"/>
      <c r="Z208" s="5">
        <f t="shared" si="77"/>
        <v>0</v>
      </c>
    </row>
    <row r="209" spans="1:26" s="24" customFormat="1" hidden="1" outlineLevel="2" x14ac:dyDescent="0.25">
      <c r="A209" s="27"/>
      <c r="B209" s="11" t="str">
        <f>CONCATENATE("          ", "6408", " - ", "INVENTORY ADJUSTMENT")</f>
        <v xml:space="preserve">          6408 - INVENTORY ADJUSTMENT</v>
      </c>
      <c r="C209" s="11"/>
      <c r="D209" s="6">
        <v>4250</v>
      </c>
      <c r="E209" s="2"/>
      <c r="F209" s="7">
        <f t="shared" si="70"/>
        <v>8.8761213830692975E-3</v>
      </c>
      <c r="G209" s="2"/>
      <c r="H209" s="6">
        <v>4250</v>
      </c>
      <c r="I209" s="2"/>
      <c r="J209" s="7">
        <f t="shared" si="71"/>
        <v>8.7634538073361658E-3</v>
      </c>
      <c r="K209" s="2"/>
      <c r="L209" s="6">
        <f t="shared" si="72"/>
        <v>0</v>
      </c>
      <c r="M209" s="2"/>
      <c r="N209" s="7">
        <f t="shared" si="73"/>
        <v>0</v>
      </c>
      <c r="O209" s="11"/>
      <c r="P209" s="6">
        <v>16900</v>
      </c>
      <c r="Q209" s="2"/>
      <c r="R209" s="7">
        <f t="shared" si="74"/>
        <v>3.6573626268573823E-3</v>
      </c>
      <c r="S209" s="2"/>
      <c r="T209" s="6">
        <v>16900</v>
      </c>
      <c r="U209" s="2"/>
      <c r="V209" s="7">
        <f t="shared" si="75"/>
        <v>3.4593651823030497E-3</v>
      </c>
      <c r="W209" s="2"/>
      <c r="X209" s="6">
        <f t="shared" si="76"/>
        <v>0</v>
      </c>
      <c r="Y209" s="2"/>
      <c r="Z209" s="7">
        <f t="shared" si="77"/>
        <v>0</v>
      </c>
    </row>
    <row r="210" spans="1:26" s="26" customFormat="1" outlineLevel="1" collapsed="1" x14ac:dyDescent="0.25">
      <c r="A210" s="25"/>
      <c r="B210" s="13" t="str">
        <f>CONCATENATE("     ","Professional Services                             ")</f>
        <v xml:space="preserve">     Professional Services                             </v>
      </c>
      <c r="C210" s="13"/>
      <c r="D210" s="1">
        <f>SUM(OSRRefD22_14x_0)</f>
        <v>0</v>
      </c>
      <c r="E210" s="1"/>
      <c r="F210" s="5">
        <f t="shared" si="70"/>
        <v>0</v>
      </c>
      <c r="G210" s="1"/>
      <c r="H210" s="1">
        <f>SUM(OSRRefH22_14x_0)</f>
        <v>1265</v>
      </c>
      <c r="I210" s="1"/>
      <c r="J210" s="5">
        <f t="shared" si="71"/>
        <v>2.6084162508894708E-3</v>
      </c>
      <c r="K210" s="1"/>
      <c r="L210" s="1">
        <f t="shared" si="72"/>
        <v>-1265</v>
      </c>
      <c r="M210" s="1"/>
      <c r="N210" s="5">
        <f t="shared" si="73"/>
        <v>-1</v>
      </c>
      <c r="O210" s="13"/>
      <c r="P210" s="1">
        <f>SUM(OSRRefP22_14x_0)</f>
        <v>6158.41</v>
      </c>
      <c r="Q210" s="1"/>
      <c r="R210" s="5">
        <f t="shared" si="74"/>
        <v>1.3327537618263178E-3</v>
      </c>
      <c r="S210" s="1"/>
      <c r="T210" s="1">
        <f>SUM(OSRRefT22_14x_0)</f>
        <v>6710</v>
      </c>
      <c r="U210" s="1"/>
      <c r="V210" s="5">
        <f t="shared" si="75"/>
        <v>1.3735112646895539E-3</v>
      </c>
      <c r="W210" s="1"/>
      <c r="X210" s="1">
        <f t="shared" si="76"/>
        <v>-551.59000000000015</v>
      </c>
      <c r="Y210" s="1"/>
      <c r="Z210" s="5">
        <f t="shared" si="77"/>
        <v>-8.2204172876304049E-2</v>
      </c>
    </row>
    <row r="211" spans="1:26" s="24" customFormat="1" hidden="1" outlineLevel="2" x14ac:dyDescent="0.25">
      <c r="A211" s="27"/>
      <c r="B211" s="11" t="str">
        <f>CONCATENATE("          ", "6336", " - ", "PROFESSIONAL SERVICES")</f>
        <v xml:space="preserve">          6336 - PROFESSIONAL SERVICES</v>
      </c>
      <c r="C211" s="11"/>
      <c r="D211" s="6"/>
      <c r="E211" s="2"/>
      <c r="F211" s="7">
        <f t="shared" si="70"/>
        <v>0</v>
      </c>
      <c r="G211" s="2"/>
      <c r="H211" s="6">
        <v>1265</v>
      </c>
      <c r="I211" s="2"/>
      <c r="J211" s="7">
        <f t="shared" si="71"/>
        <v>2.6084162508894708E-3</v>
      </c>
      <c r="K211" s="2"/>
      <c r="L211" s="6">
        <f t="shared" si="72"/>
        <v>-1265</v>
      </c>
      <c r="M211" s="2"/>
      <c r="N211" s="7">
        <f t="shared" si="73"/>
        <v>-1</v>
      </c>
      <c r="O211" s="11"/>
      <c r="P211" s="6">
        <v>6158.41</v>
      </c>
      <c r="Q211" s="2"/>
      <c r="R211" s="7">
        <f t="shared" si="74"/>
        <v>1.3327537618263178E-3</v>
      </c>
      <c r="S211" s="2"/>
      <c r="T211" s="6">
        <v>6710</v>
      </c>
      <c r="U211" s="2"/>
      <c r="V211" s="7">
        <f t="shared" si="75"/>
        <v>1.3735112646895539E-3</v>
      </c>
      <c r="W211" s="2"/>
      <c r="X211" s="6">
        <f t="shared" si="76"/>
        <v>-551.59000000000015</v>
      </c>
      <c r="Y211" s="2"/>
      <c r="Z211" s="7">
        <f t="shared" si="77"/>
        <v>-8.2204172876304049E-2</v>
      </c>
    </row>
    <row r="212" spans="1:26" s="26" customFormat="1" outlineLevel="1" collapsed="1" x14ac:dyDescent="0.25">
      <c r="A212" s="25"/>
      <c r="B212" s="13" t="str">
        <f>CONCATENATE("     ","Rent                                              ")</f>
        <v xml:space="preserve">     Rent                                              </v>
      </c>
      <c r="C212" s="13"/>
      <c r="D212" s="1">
        <f>SUM(OSRRefD22_15x_0)</f>
        <v>6100</v>
      </c>
      <c r="E212" s="1"/>
      <c r="F212" s="5">
        <f t="shared" si="70"/>
        <v>1.2739844808640639E-2</v>
      </c>
      <c r="G212" s="1"/>
      <c r="H212" s="1">
        <f>SUM(OSRRefH22_15x_0)</f>
        <v>6400</v>
      </c>
      <c r="I212" s="1"/>
      <c r="J212" s="5">
        <f t="shared" si="71"/>
        <v>1.3196730439282697E-2</v>
      </c>
      <c r="K212" s="1"/>
      <c r="L212" s="1">
        <f t="shared" si="72"/>
        <v>-300</v>
      </c>
      <c r="M212" s="1"/>
      <c r="N212" s="5">
        <f t="shared" si="73"/>
        <v>-4.6875E-2</v>
      </c>
      <c r="O212" s="13"/>
      <c r="P212" s="1">
        <f>SUM(OSRRefP22_15x_0)</f>
        <v>24400</v>
      </c>
      <c r="Q212" s="1"/>
      <c r="R212" s="5">
        <f t="shared" si="74"/>
        <v>5.2804525500189424E-3</v>
      </c>
      <c r="S212" s="1"/>
      <c r="T212" s="1">
        <f>SUM(OSRRefT22_15x_0)</f>
        <v>25600</v>
      </c>
      <c r="U212" s="1"/>
      <c r="V212" s="5">
        <f t="shared" si="75"/>
        <v>5.2402218146129038E-3</v>
      </c>
      <c r="W212" s="1"/>
      <c r="X212" s="1">
        <f t="shared" si="76"/>
        <v>-1200</v>
      </c>
      <c r="Y212" s="1"/>
      <c r="Z212" s="5">
        <f t="shared" si="77"/>
        <v>-4.6875E-2</v>
      </c>
    </row>
    <row r="213" spans="1:26" s="24" customFormat="1" hidden="1" outlineLevel="2" x14ac:dyDescent="0.25">
      <c r="A213" s="27"/>
      <c r="B213" s="11" t="str">
        <f>CONCATENATE("          ", "6273", " - ", "RENT")</f>
        <v xml:space="preserve">          6273 - RENT</v>
      </c>
      <c r="C213" s="11"/>
      <c r="D213" s="6">
        <v>6100</v>
      </c>
      <c r="E213" s="2"/>
      <c r="F213" s="7">
        <f t="shared" si="70"/>
        <v>1.2739844808640639E-2</v>
      </c>
      <c r="G213" s="2"/>
      <c r="H213" s="6">
        <v>6400</v>
      </c>
      <c r="I213" s="2"/>
      <c r="J213" s="7">
        <f t="shared" si="71"/>
        <v>1.3196730439282697E-2</v>
      </c>
      <c r="K213" s="2"/>
      <c r="L213" s="6">
        <f t="shared" si="72"/>
        <v>-300</v>
      </c>
      <c r="M213" s="2"/>
      <c r="N213" s="7">
        <f t="shared" si="73"/>
        <v>-4.6875E-2</v>
      </c>
      <c r="O213" s="11"/>
      <c r="P213" s="6">
        <v>24400</v>
      </c>
      <c r="Q213" s="2"/>
      <c r="R213" s="7">
        <f t="shared" si="74"/>
        <v>5.2804525500189424E-3</v>
      </c>
      <c r="S213" s="2"/>
      <c r="T213" s="6">
        <v>25600</v>
      </c>
      <c r="U213" s="2"/>
      <c r="V213" s="7">
        <f t="shared" si="75"/>
        <v>5.2402218146129038E-3</v>
      </c>
      <c r="W213" s="2"/>
      <c r="X213" s="6">
        <f t="shared" si="76"/>
        <v>-1200</v>
      </c>
      <c r="Y213" s="2"/>
      <c r="Z213" s="7">
        <f t="shared" si="77"/>
        <v>-4.6875E-2</v>
      </c>
    </row>
    <row r="214" spans="1:26" s="26" customFormat="1" outlineLevel="1" collapsed="1" x14ac:dyDescent="0.25">
      <c r="A214" s="25"/>
      <c r="B214" s="13" t="str">
        <f>CONCATENATE("     ","Repair and Maintenance                            ")</f>
        <v xml:space="preserve">     Repair and Maintenance                            </v>
      </c>
      <c r="C214" s="13"/>
      <c r="D214" s="1">
        <f>SUM(OSRRefD22_16x_0)</f>
        <v>16586.900000000001</v>
      </c>
      <c r="E214" s="1"/>
      <c r="F214" s="5">
        <f t="shared" si="70"/>
        <v>3.4641726533842856E-2</v>
      </c>
      <c r="G214" s="1"/>
      <c r="H214" s="1">
        <f>SUM(OSRRefH22_16x_0)</f>
        <v>14540</v>
      </c>
      <c r="I214" s="1"/>
      <c r="J214" s="5">
        <f t="shared" si="71"/>
        <v>2.998132196674538E-2</v>
      </c>
      <c r="K214" s="1"/>
      <c r="L214" s="1">
        <f t="shared" si="72"/>
        <v>2046.9000000000015</v>
      </c>
      <c r="M214" s="1"/>
      <c r="N214" s="5">
        <f t="shared" si="73"/>
        <v>0.14077716643741414</v>
      </c>
      <c r="O214" s="13"/>
      <c r="P214" s="1">
        <f>SUM(OSRRefP22_16x_0)</f>
        <v>64941.310000000005</v>
      </c>
      <c r="Q214" s="1"/>
      <c r="R214" s="5">
        <f t="shared" si="74"/>
        <v>1.4054078114388142E-2</v>
      </c>
      <c r="S214" s="1"/>
      <c r="T214" s="1">
        <f>SUM(OSRRefT22_16x_0)</f>
        <v>100795</v>
      </c>
      <c r="U214" s="1"/>
      <c r="V214" s="5">
        <f t="shared" si="75"/>
        <v>2.0632349914215142E-2</v>
      </c>
      <c r="W214" s="1"/>
      <c r="X214" s="1">
        <f t="shared" si="76"/>
        <v>-35853.689999999995</v>
      </c>
      <c r="Y214" s="1"/>
      <c r="Z214" s="5">
        <f t="shared" si="77"/>
        <v>-0.3557090133439158</v>
      </c>
    </row>
    <row r="215" spans="1:26" s="24" customFormat="1" hidden="1" outlineLevel="2" x14ac:dyDescent="0.25">
      <c r="A215" s="27"/>
      <c r="B215" s="11" t="str">
        <f>CONCATENATE("          ", "6371", " - ", "COMPUTER SOFTWARE MAINTENANCE")</f>
        <v xml:space="preserve">          6371 - COMPUTER SOFTWARE MAINTENANCE</v>
      </c>
      <c r="C215" s="11"/>
      <c r="D215" s="6">
        <v>601</v>
      </c>
      <c r="E215" s="2"/>
      <c r="F215" s="7">
        <f t="shared" si="70"/>
        <v>1.2551879885234465E-3</v>
      </c>
      <c r="G215" s="2"/>
      <c r="H215" s="6"/>
      <c r="I215" s="2"/>
      <c r="J215" s="7">
        <f t="shared" si="71"/>
        <v>0</v>
      </c>
      <c r="K215" s="2"/>
      <c r="L215" s="6">
        <f t="shared" si="72"/>
        <v>601</v>
      </c>
      <c r="M215" s="2"/>
      <c r="N215" s="7">
        <f t="shared" si="73"/>
        <v>0</v>
      </c>
      <c r="O215" s="11"/>
      <c r="P215" s="6">
        <v>12751.4</v>
      </c>
      <c r="Q215" s="2"/>
      <c r="R215" s="7">
        <f t="shared" si="74"/>
        <v>2.7595558461603093E-3</v>
      </c>
      <c r="S215" s="2"/>
      <c r="T215" s="6">
        <v>48535</v>
      </c>
      <c r="U215" s="2"/>
      <c r="V215" s="7">
        <f t="shared" si="75"/>
        <v>9.934928350478019E-3</v>
      </c>
      <c r="W215" s="2"/>
      <c r="X215" s="6">
        <f t="shared" si="76"/>
        <v>-35783.599999999999</v>
      </c>
      <c r="Y215" s="2"/>
      <c r="Z215" s="7">
        <f t="shared" si="77"/>
        <v>-0.73727413206964043</v>
      </c>
    </row>
    <row r="216" spans="1:26" s="24" customFormat="1" hidden="1" outlineLevel="2" x14ac:dyDescent="0.25">
      <c r="A216" s="27"/>
      <c r="B216" s="11" t="str">
        <f>CONCATENATE("          ", "6373", " - ", "MAINTENANCE CONTRACTS")</f>
        <v xml:space="preserve">          6373 - MAINTENANCE CONTRACTS</v>
      </c>
      <c r="C216" s="11"/>
      <c r="D216" s="6">
        <v>11328</v>
      </c>
      <c r="E216" s="2"/>
      <c r="F216" s="7">
        <f t="shared" si="70"/>
        <v>2.3658518359390354E-2</v>
      </c>
      <c r="G216" s="2"/>
      <c r="H216" s="6">
        <v>7040</v>
      </c>
      <c r="I216" s="2"/>
      <c r="J216" s="7">
        <f t="shared" si="71"/>
        <v>1.4516403483210967E-2</v>
      </c>
      <c r="K216" s="2"/>
      <c r="L216" s="6">
        <f t="shared" si="72"/>
        <v>4288</v>
      </c>
      <c r="M216" s="2"/>
      <c r="N216" s="7">
        <f t="shared" si="73"/>
        <v>0.60909090909090913</v>
      </c>
      <c r="O216" s="11"/>
      <c r="P216" s="6">
        <v>30376.190000000002</v>
      </c>
      <c r="Q216" s="2"/>
      <c r="R216" s="7">
        <f t="shared" si="74"/>
        <v>6.5737717190721273E-3</v>
      </c>
      <c r="S216" s="2"/>
      <c r="T216" s="6">
        <v>28235</v>
      </c>
      <c r="U216" s="2"/>
      <c r="V216" s="7">
        <f t="shared" si="75"/>
        <v>5.7795962084216928E-3</v>
      </c>
      <c r="W216" s="2"/>
      <c r="X216" s="6">
        <f t="shared" si="76"/>
        <v>2141.1900000000023</v>
      </c>
      <c r="Y216" s="2"/>
      <c r="Z216" s="7">
        <f t="shared" si="77"/>
        <v>7.5834602443775545E-2</v>
      </c>
    </row>
    <row r="217" spans="1:26" s="24" customFormat="1" hidden="1" outlineLevel="2" x14ac:dyDescent="0.25">
      <c r="A217" s="27"/>
      <c r="B217" s="11" t="str">
        <f>CONCATENATE("          ", "6375", " - ", "OUTSIDE REPAIRS &amp; MAINTENANCE")</f>
        <v xml:space="preserve">          6375 - OUTSIDE REPAIRS &amp; MAINTENANCE</v>
      </c>
      <c r="C217" s="11"/>
      <c r="D217" s="6">
        <v>4657.8999999999996</v>
      </c>
      <c r="E217" s="2"/>
      <c r="F217" s="7">
        <f t="shared" si="70"/>
        <v>9.7280201859290538E-3</v>
      </c>
      <c r="G217" s="2"/>
      <c r="H217" s="6">
        <v>7500</v>
      </c>
      <c r="I217" s="2"/>
      <c r="J217" s="7">
        <f t="shared" si="71"/>
        <v>1.5464918483534412E-2</v>
      </c>
      <c r="K217" s="2"/>
      <c r="L217" s="6">
        <f t="shared" si="72"/>
        <v>-2842.1000000000004</v>
      </c>
      <c r="M217" s="2"/>
      <c r="N217" s="7">
        <f t="shared" si="73"/>
        <v>-0.37894666666666671</v>
      </c>
      <c r="O217" s="11"/>
      <c r="P217" s="6">
        <v>21813.72</v>
      </c>
      <c r="Q217" s="2"/>
      <c r="R217" s="7">
        <f t="shared" si="74"/>
        <v>4.7207505491557054E-3</v>
      </c>
      <c r="S217" s="2"/>
      <c r="T217" s="6">
        <v>24025</v>
      </c>
      <c r="U217" s="2"/>
      <c r="V217" s="7">
        <f t="shared" si="75"/>
        <v>4.9178253553154297E-3</v>
      </c>
      <c r="W217" s="2"/>
      <c r="X217" s="6">
        <f t="shared" si="76"/>
        <v>-2211.2799999999988</v>
      </c>
      <c r="Y217" s="2"/>
      <c r="Z217" s="7">
        <f t="shared" si="77"/>
        <v>-9.2040790842871964E-2</v>
      </c>
    </row>
    <row r="218" spans="1:26" s="26" customFormat="1" outlineLevel="1" collapsed="1" x14ac:dyDescent="0.25">
      <c r="A218" s="25"/>
      <c r="B218" s="13" t="str">
        <f>CONCATENATE("     ","Royalty &amp; Commissions                             ")</f>
        <v xml:space="preserve">     Royalty &amp; Commissions                             </v>
      </c>
      <c r="C218" s="13"/>
      <c r="D218" s="1">
        <f>SUM(OSRRefD22_17x_0)</f>
        <v>12626.66</v>
      </c>
      <c r="E218" s="1"/>
      <c r="F218" s="5">
        <f t="shared" ref="F218:F222" si="78">IF(D$12=0,0,D218/D$12)</f>
        <v>2.6370768664175478E-2</v>
      </c>
      <c r="G218" s="1"/>
      <c r="H218" s="1">
        <f>SUM(OSRRefH22_17x_0)</f>
        <v>16485</v>
      </c>
      <c r="I218" s="1"/>
      <c r="J218" s="5">
        <f t="shared" ref="J218:J222" si="79">IF(H$12=0,0,H218/H$12)</f>
        <v>3.3991890826808632E-2</v>
      </c>
      <c r="K218" s="1"/>
      <c r="L218" s="1">
        <f t="shared" ref="L218:L222" si="80">+D218-H218</f>
        <v>-3858.34</v>
      </c>
      <c r="M218" s="1"/>
      <c r="N218" s="5">
        <f t="shared" ref="N218:N222" si="81">IF(H218=0,0,L218/H218)</f>
        <v>-0.23405156202608432</v>
      </c>
      <c r="O218" s="13"/>
      <c r="P218" s="1">
        <f>SUM(OSRRefP22_17x_0)</f>
        <v>32079.1</v>
      </c>
      <c r="Q218" s="1"/>
      <c r="R218" s="5">
        <f t="shared" ref="R218:R222" si="82">IF(P$12=0,0,P218/P$12)</f>
        <v>6.9423018605456006E-3</v>
      </c>
      <c r="S218" s="1"/>
      <c r="T218" s="1">
        <f>SUM(OSRRefT22_17x_0)</f>
        <v>65940</v>
      </c>
      <c r="U218" s="1"/>
      <c r="V218" s="5">
        <f t="shared" ref="V218:V222" si="83">IF(T$12=0,0,T218/T$12)</f>
        <v>1.3497665095920893E-2</v>
      </c>
      <c r="W218" s="1"/>
      <c r="X218" s="1">
        <f t="shared" ref="X218:X222" si="84">+P218-T218</f>
        <v>-33860.9</v>
      </c>
      <c r="Y218" s="1"/>
      <c r="Z218" s="5">
        <f t="shared" ref="Z218:Z222" si="85">IF(T218=0,0,X218/T218)</f>
        <v>-0.51351076736427059</v>
      </c>
    </row>
    <row r="219" spans="1:26" s="24" customFormat="1" hidden="1" outlineLevel="2" x14ac:dyDescent="0.25">
      <c r="A219" s="27"/>
      <c r="B219" s="11" t="str">
        <f>CONCATENATE("          ", "6252", " - ", "ROYALTY DUE CSTV")</f>
        <v xml:space="preserve">          6252 - ROYALTY DUE CSTV</v>
      </c>
      <c r="C219" s="11"/>
      <c r="D219" s="6"/>
      <c r="E219" s="2"/>
      <c r="F219" s="7">
        <f t="shared" si="78"/>
        <v>0</v>
      </c>
      <c r="G219" s="2"/>
      <c r="H219" s="6">
        <v>1085</v>
      </c>
      <c r="I219" s="2"/>
      <c r="J219" s="7">
        <f t="shared" si="79"/>
        <v>2.237258207284645E-3</v>
      </c>
      <c r="K219" s="2"/>
      <c r="L219" s="6">
        <f t="shared" si="80"/>
        <v>-1085</v>
      </c>
      <c r="M219" s="2"/>
      <c r="N219" s="7">
        <f t="shared" si="81"/>
        <v>-1</v>
      </c>
      <c r="O219" s="11"/>
      <c r="P219" s="6"/>
      <c r="Q219" s="2"/>
      <c r="R219" s="7">
        <f t="shared" si="82"/>
        <v>0</v>
      </c>
      <c r="S219" s="2"/>
      <c r="T219" s="6">
        <v>4340</v>
      </c>
      <c r="U219" s="2"/>
      <c r="V219" s="7">
        <f t="shared" si="83"/>
        <v>8.8838135450859386E-4</v>
      </c>
      <c r="W219" s="2"/>
      <c r="X219" s="6">
        <f t="shared" si="84"/>
        <v>-4340</v>
      </c>
      <c r="Y219" s="2"/>
      <c r="Z219" s="7">
        <f t="shared" si="85"/>
        <v>-1</v>
      </c>
    </row>
    <row r="220" spans="1:26" s="24" customFormat="1" hidden="1" outlineLevel="2" x14ac:dyDescent="0.25">
      <c r="A220" s="27"/>
      <c r="B220" s="11" t="str">
        <f>CONCATENATE("          ", "6253", " - ", "ROYALTY DUE ATHLETICS-LRG")</f>
        <v xml:space="preserve">          6253 - ROYALTY DUE ATHLETICS-LRG</v>
      </c>
      <c r="C220" s="11"/>
      <c r="D220" s="6"/>
      <c r="E220" s="2"/>
      <c r="F220" s="7">
        <f t="shared" si="78"/>
        <v>0</v>
      </c>
      <c r="G220" s="2"/>
      <c r="H220" s="6">
        <v>3700</v>
      </c>
      <c r="I220" s="2"/>
      <c r="J220" s="7">
        <f t="shared" si="79"/>
        <v>7.6293597852103096E-3</v>
      </c>
      <c r="K220" s="2"/>
      <c r="L220" s="6">
        <f t="shared" si="80"/>
        <v>-3700</v>
      </c>
      <c r="M220" s="2"/>
      <c r="N220" s="7">
        <f t="shared" si="81"/>
        <v>-1</v>
      </c>
      <c r="O220" s="11"/>
      <c r="P220" s="6">
        <v>4366.95</v>
      </c>
      <c r="Q220" s="2"/>
      <c r="R220" s="7">
        <f t="shared" si="82"/>
        <v>9.4506033866005004E-4</v>
      </c>
      <c r="S220" s="2"/>
      <c r="T220" s="6">
        <v>14800</v>
      </c>
      <c r="U220" s="2"/>
      <c r="V220" s="7">
        <f t="shared" si="83"/>
        <v>3.0295032365730847E-3</v>
      </c>
      <c r="W220" s="2"/>
      <c r="X220" s="6">
        <f t="shared" si="84"/>
        <v>-10433.049999999999</v>
      </c>
      <c r="Y220" s="2"/>
      <c r="Z220" s="7">
        <f t="shared" si="85"/>
        <v>-0.7049358108108108</v>
      </c>
    </row>
    <row r="221" spans="1:26" s="24" customFormat="1" hidden="1" outlineLevel="2" x14ac:dyDescent="0.25">
      <c r="A221" s="27"/>
      <c r="B221" s="11" t="str">
        <f>CONCATENATE("          ", "6254", " - ", "ROYALTY &amp; COMMISSIONS")</f>
        <v xml:space="preserve">          6254 - ROYALTY &amp; COMMISSIONS</v>
      </c>
      <c r="C221" s="11"/>
      <c r="D221" s="6">
        <v>882.02</v>
      </c>
      <c r="E221" s="2"/>
      <c r="F221" s="7">
        <f t="shared" si="78"/>
        <v>1.8420980193634782E-3</v>
      </c>
      <c r="G221" s="2"/>
      <c r="H221" s="6">
        <v>11700</v>
      </c>
      <c r="I221" s="2"/>
      <c r="J221" s="7">
        <f t="shared" si="79"/>
        <v>2.412527283431368E-2</v>
      </c>
      <c r="K221" s="2"/>
      <c r="L221" s="6">
        <f t="shared" si="80"/>
        <v>-10817.98</v>
      </c>
      <c r="M221" s="2"/>
      <c r="N221" s="7">
        <f t="shared" si="81"/>
        <v>-0.92461367521367521</v>
      </c>
      <c r="O221" s="11"/>
      <c r="P221" s="6">
        <v>1497.89</v>
      </c>
      <c r="Q221" s="2"/>
      <c r="R221" s="7">
        <f t="shared" si="82"/>
        <v>3.2416135533392927E-4</v>
      </c>
      <c r="S221" s="2"/>
      <c r="T221" s="6">
        <v>46800</v>
      </c>
      <c r="U221" s="2"/>
      <c r="V221" s="7">
        <f t="shared" si="83"/>
        <v>9.5797805048392151E-3</v>
      </c>
      <c r="W221" s="2"/>
      <c r="X221" s="6">
        <f t="shared" si="84"/>
        <v>-45302.11</v>
      </c>
      <c r="Y221" s="2"/>
      <c r="Z221" s="7">
        <f t="shared" si="85"/>
        <v>-0.96799380341880348</v>
      </c>
    </row>
    <row r="222" spans="1:26" s="24" customFormat="1" hidden="1" outlineLevel="2" x14ac:dyDescent="0.25">
      <c r="A222" s="27"/>
      <c r="B222" s="11" t="str">
        <f>CONCATENATE("          ", "6259", " - ", "ROYALTY &amp; COMMISSIONS")</f>
        <v xml:space="preserve">          6259 - ROYALTY &amp; COMMISSIONS</v>
      </c>
      <c r="C222" s="11"/>
      <c r="D222" s="6">
        <v>11744.64</v>
      </c>
      <c r="E222" s="2"/>
      <c r="F222" s="7">
        <f t="shared" si="78"/>
        <v>2.4528670644811998E-2</v>
      </c>
      <c r="G222" s="2"/>
      <c r="H222" s="6"/>
      <c r="I222" s="2"/>
      <c r="J222" s="7">
        <f t="shared" si="79"/>
        <v>0</v>
      </c>
      <c r="K222" s="2"/>
      <c r="L222" s="6">
        <f t="shared" si="80"/>
        <v>11744.64</v>
      </c>
      <c r="M222" s="2"/>
      <c r="N222" s="7">
        <f t="shared" si="81"/>
        <v>0</v>
      </c>
      <c r="O222" s="11"/>
      <c r="P222" s="6">
        <v>26214.26</v>
      </c>
      <c r="Q222" s="2"/>
      <c r="R222" s="7">
        <f t="shared" si="82"/>
        <v>5.6730801665516211E-3</v>
      </c>
      <c r="S222" s="2"/>
      <c r="T222" s="6"/>
      <c r="U222" s="2"/>
      <c r="V222" s="7">
        <f t="shared" si="83"/>
        <v>0</v>
      </c>
      <c r="W222" s="2"/>
      <c r="X222" s="6">
        <f t="shared" si="84"/>
        <v>26214.26</v>
      </c>
      <c r="Y222" s="2"/>
      <c r="Z222" s="7">
        <f t="shared" si="85"/>
        <v>0</v>
      </c>
    </row>
    <row r="223" spans="1:26" s="26" customFormat="1" outlineLevel="1" collapsed="1" x14ac:dyDescent="0.25">
      <c r="A223" s="25"/>
      <c r="B223" s="13" t="str">
        <f>CONCATENATE("     ","Services                                          ")</f>
        <v xml:space="preserve">     Services                                          </v>
      </c>
      <c r="C223" s="13"/>
      <c r="D223" s="1">
        <f>SUM(OSRRefD22_18x_0)</f>
        <v>5247.7199999999993</v>
      </c>
      <c r="E223" s="1"/>
      <c r="F223" s="5">
        <f t="shared" ref="F223:F227" si="86">IF(D$12=0,0,D223/D$12)</f>
        <v>1.0959858753967155E-2</v>
      </c>
      <c r="G223" s="1"/>
      <c r="H223" s="1">
        <f>SUM(OSRRefH22_18x_0)</f>
        <v>4432.5</v>
      </c>
      <c r="I223" s="1"/>
      <c r="J223" s="5">
        <f t="shared" ref="J223:J227" si="87">IF(H$12=0,0,H223/H$12)</f>
        <v>9.1397668237688367E-3</v>
      </c>
      <c r="K223" s="1"/>
      <c r="L223" s="1">
        <f t="shared" ref="L223:L227" si="88">+D223-H223</f>
        <v>815.21999999999935</v>
      </c>
      <c r="M223" s="1"/>
      <c r="N223" s="5">
        <f t="shared" ref="N223:N227" si="89">IF(H223=0,0,L223/H223)</f>
        <v>0.18391878172588819</v>
      </c>
      <c r="O223" s="13"/>
      <c r="P223" s="1">
        <f>SUM(OSRRefP22_18x_0)</f>
        <v>18474.909999999996</v>
      </c>
      <c r="Q223" s="1"/>
      <c r="R223" s="5">
        <f t="shared" ref="R223:R227" si="90">IF(P$12=0,0,P223/P$12)</f>
        <v>3.9981920336422316E-3</v>
      </c>
      <c r="S223" s="1"/>
      <c r="T223" s="1">
        <f>SUM(OSRRefT22_18x_0)</f>
        <v>17730</v>
      </c>
      <c r="U223" s="1"/>
      <c r="V223" s="5">
        <f t="shared" ref="V223:V227" si="91">IF(T$12=0,0,T223/T$12)</f>
        <v>3.6292629989487023E-3</v>
      </c>
      <c r="W223" s="1"/>
      <c r="X223" s="1">
        <f t="shared" ref="X223:X227" si="92">+P223-T223</f>
        <v>744.90999999999622</v>
      </c>
      <c r="Y223" s="1"/>
      <c r="Z223" s="5">
        <f t="shared" ref="Z223:Z227" si="93">IF(T223=0,0,X223/T223)</f>
        <v>4.2014100394810842E-2</v>
      </c>
    </row>
    <row r="224" spans="1:26" s="24" customFormat="1" hidden="1" outlineLevel="2" x14ac:dyDescent="0.25">
      <c r="A224" s="27"/>
      <c r="B224" s="11" t="str">
        <f>CONCATENATE("          ", "6282", " - ", "JANITORIAL/EXTERMINATOR EXPENS")</f>
        <v xml:space="preserve">          6282 - JANITORIAL/EXTERMINATOR EXPENS</v>
      </c>
      <c r="C224" s="11"/>
      <c r="D224" s="6">
        <v>266.5</v>
      </c>
      <c r="E224" s="2"/>
      <c r="F224" s="7">
        <f t="shared" si="86"/>
        <v>5.5658502319716886E-4</v>
      </c>
      <c r="G224" s="2"/>
      <c r="H224" s="6">
        <v>50</v>
      </c>
      <c r="I224" s="2"/>
      <c r="J224" s="7">
        <f t="shared" si="87"/>
        <v>1.0309945655689607E-4</v>
      </c>
      <c r="K224" s="2"/>
      <c r="L224" s="6">
        <f t="shared" si="88"/>
        <v>216.5</v>
      </c>
      <c r="M224" s="2"/>
      <c r="N224" s="7">
        <f t="shared" si="89"/>
        <v>4.33</v>
      </c>
      <c r="O224" s="11"/>
      <c r="P224" s="6">
        <v>1066</v>
      </c>
      <c r="Q224" s="2"/>
      <c r="R224" s="7">
        <f t="shared" si="90"/>
        <v>2.3069518107869642E-4</v>
      </c>
      <c r="S224" s="2"/>
      <c r="T224" s="6">
        <v>200</v>
      </c>
      <c r="U224" s="2"/>
      <c r="V224" s="7">
        <f t="shared" si="91"/>
        <v>4.0939232926663311E-5</v>
      </c>
      <c r="W224" s="2"/>
      <c r="X224" s="6">
        <f t="shared" si="92"/>
        <v>866</v>
      </c>
      <c r="Y224" s="2"/>
      <c r="Z224" s="7">
        <f t="shared" si="93"/>
        <v>4.33</v>
      </c>
    </row>
    <row r="225" spans="1:26" s="24" customFormat="1" hidden="1" outlineLevel="2" x14ac:dyDescent="0.25">
      <c r="A225" s="27"/>
      <c r="B225" s="11" t="str">
        <f>CONCATENATE("          ", "6283", " - ", "PLANT SERVICE")</f>
        <v xml:space="preserve">          6283 - PLANT SERVICE</v>
      </c>
      <c r="C225" s="11"/>
      <c r="D225" s="6"/>
      <c r="E225" s="2"/>
      <c r="F225" s="7">
        <f t="shared" si="86"/>
        <v>0</v>
      </c>
      <c r="G225" s="2"/>
      <c r="H225" s="6">
        <v>60</v>
      </c>
      <c r="I225" s="2"/>
      <c r="J225" s="7">
        <f t="shared" si="87"/>
        <v>1.2371934786827528E-4</v>
      </c>
      <c r="K225" s="2"/>
      <c r="L225" s="6">
        <f t="shared" si="88"/>
        <v>-60</v>
      </c>
      <c r="M225" s="2"/>
      <c r="N225" s="7">
        <f t="shared" si="89"/>
        <v>-1</v>
      </c>
      <c r="O225" s="11"/>
      <c r="P225" s="6">
        <v>541.98</v>
      </c>
      <c r="Q225" s="2"/>
      <c r="R225" s="7">
        <f t="shared" si="90"/>
        <v>1.1729097020734699E-4</v>
      </c>
      <c r="S225" s="2"/>
      <c r="T225" s="6">
        <v>240</v>
      </c>
      <c r="U225" s="2"/>
      <c r="V225" s="7">
        <f t="shared" si="91"/>
        <v>4.9127079511995972E-5</v>
      </c>
      <c r="W225" s="2"/>
      <c r="X225" s="6">
        <f t="shared" si="92"/>
        <v>301.98</v>
      </c>
      <c r="Y225" s="2"/>
      <c r="Z225" s="7">
        <f t="shared" si="93"/>
        <v>1.2582500000000001</v>
      </c>
    </row>
    <row r="226" spans="1:26" s="24" customFormat="1" hidden="1" outlineLevel="2" x14ac:dyDescent="0.25">
      <c r="A226" s="27"/>
      <c r="B226" s="11" t="str">
        <f>CONCATENATE("          ", "6284", " - ", "TRASH REMOVAL EXPENSE")</f>
        <v xml:space="preserve">          6284 - TRASH REMOVAL EXPENSE</v>
      </c>
      <c r="C226" s="11"/>
      <c r="D226" s="6">
        <v>134.82</v>
      </c>
      <c r="E226" s="2"/>
      <c r="F226" s="7">
        <f t="shared" si="86"/>
        <v>2.8157145526244769E-4</v>
      </c>
      <c r="G226" s="2"/>
      <c r="H226" s="6">
        <v>62.5</v>
      </c>
      <c r="I226" s="2"/>
      <c r="J226" s="7">
        <f t="shared" si="87"/>
        <v>1.2887432069612009E-4</v>
      </c>
      <c r="K226" s="2"/>
      <c r="L226" s="6">
        <f t="shared" si="88"/>
        <v>72.319999999999993</v>
      </c>
      <c r="M226" s="2"/>
      <c r="N226" s="7">
        <f t="shared" si="89"/>
        <v>1.1571199999999999</v>
      </c>
      <c r="O226" s="11"/>
      <c r="P226" s="6">
        <v>539.28</v>
      </c>
      <c r="Q226" s="2"/>
      <c r="R226" s="7">
        <f t="shared" si="90"/>
        <v>1.1670665783500881E-4</v>
      </c>
      <c r="S226" s="2"/>
      <c r="T226" s="6">
        <v>250</v>
      </c>
      <c r="U226" s="2"/>
      <c r="V226" s="7">
        <f t="shared" si="91"/>
        <v>5.1174041158329134E-5</v>
      </c>
      <c r="W226" s="2"/>
      <c r="X226" s="6">
        <f t="shared" si="92"/>
        <v>289.27999999999997</v>
      </c>
      <c r="Y226" s="2"/>
      <c r="Z226" s="7">
        <f t="shared" si="93"/>
        <v>1.1571199999999999</v>
      </c>
    </row>
    <row r="227" spans="1:26" s="24" customFormat="1" hidden="1" outlineLevel="2" x14ac:dyDescent="0.25">
      <c r="A227" s="27"/>
      <c r="B227" s="11" t="str">
        <f>CONCATENATE("          ", "6285", " - ", "JANITORIAL SERVICES")</f>
        <v xml:space="preserve">          6285 - JANITORIAL SERVICES</v>
      </c>
      <c r="C227" s="11"/>
      <c r="D227" s="6">
        <v>4846.3999999999996</v>
      </c>
      <c r="E227" s="2"/>
      <c r="F227" s="7">
        <f t="shared" si="86"/>
        <v>1.0121702275507538E-2</v>
      </c>
      <c r="G227" s="2"/>
      <c r="H227" s="6">
        <v>4260</v>
      </c>
      <c r="I227" s="2"/>
      <c r="J227" s="7">
        <f t="shared" si="87"/>
        <v>8.7840736986475459E-3</v>
      </c>
      <c r="K227" s="2"/>
      <c r="L227" s="6">
        <f t="shared" si="88"/>
        <v>586.39999999999964</v>
      </c>
      <c r="M227" s="2"/>
      <c r="N227" s="7">
        <f t="shared" si="89"/>
        <v>0.13765258215962434</v>
      </c>
      <c r="O227" s="11"/>
      <c r="P227" s="6">
        <v>16327.649999999998</v>
      </c>
      <c r="Q227" s="2"/>
      <c r="R227" s="7">
        <f t="shared" si="90"/>
        <v>3.5334992245211793E-3</v>
      </c>
      <c r="S227" s="2"/>
      <c r="T227" s="6">
        <v>17040</v>
      </c>
      <c r="U227" s="2"/>
      <c r="V227" s="7">
        <f t="shared" si="91"/>
        <v>3.4880226453517138E-3</v>
      </c>
      <c r="W227" s="2"/>
      <c r="X227" s="6">
        <f t="shared" si="92"/>
        <v>-712.35000000000218</v>
      </c>
      <c r="Y227" s="2"/>
      <c r="Z227" s="7">
        <f t="shared" si="93"/>
        <v>-4.1804577464788863E-2</v>
      </c>
    </row>
    <row r="228" spans="1:26" s="26" customFormat="1" outlineLevel="1" collapsed="1" x14ac:dyDescent="0.25">
      <c r="A228" s="25"/>
      <c r="B228" s="13" t="str">
        <f>CONCATENATE("     ","Subscriptions &amp; Dues                              ")</f>
        <v xml:space="preserve">     Subscriptions &amp; Dues                              </v>
      </c>
      <c r="C228" s="13"/>
      <c r="D228" s="1">
        <f>SUM(OSRRefD22_19x_0)</f>
        <v>343.55</v>
      </c>
      <c r="E228" s="1"/>
      <c r="F228" s="5">
        <f t="shared" ref="F228:F230" si="94">IF(D$12=0,0,D228/D$12)</f>
        <v>7.1750388262434295E-4</v>
      </c>
      <c r="G228" s="1"/>
      <c r="H228" s="1">
        <f>SUM(OSRRefH22_19x_0)</f>
        <v>1390</v>
      </c>
      <c r="I228" s="1"/>
      <c r="J228" s="5">
        <f t="shared" ref="J228:J230" si="95">IF(H$12=0,0,H228/H$12)</f>
        <v>2.8661648922817108E-3</v>
      </c>
      <c r="K228" s="1"/>
      <c r="L228" s="1">
        <f t="shared" ref="L228:L230" si="96">+D228-H228</f>
        <v>-1046.45</v>
      </c>
      <c r="M228" s="1"/>
      <c r="N228" s="5">
        <f t="shared" ref="N228:N230" si="97">IF(H228=0,0,L228/H228)</f>
        <v>-0.75284172661870508</v>
      </c>
      <c r="O228" s="13"/>
      <c r="P228" s="1">
        <f>SUM(OSRRefP22_19x_0)</f>
        <v>2042.4</v>
      </c>
      <c r="Q228" s="1"/>
      <c r="R228" s="5">
        <f t="shared" ref="R228:R230" si="98">IF(P$12=0,0,P228/P$12)</f>
        <v>4.4199984787535607E-4</v>
      </c>
      <c r="S228" s="1"/>
      <c r="T228" s="1">
        <f>SUM(OSRRefT22_19x_0)</f>
        <v>6605</v>
      </c>
      <c r="U228" s="1"/>
      <c r="V228" s="5">
        <f t="shared" ref="V228:V230" si="99">IF(T$12=0,0,T228/T$12)</f>
        <v>1.3520181674030558E-3</v>
      </c>
      <c r="W228" s="1"/>
      <c r="X228" s="1">
        <f t="shared" ref="X228:X230" si="100">+P228-T228</f>
        <v>-4562.6000000000004</v>
      </c>
      <c r="Y228" s="1"/>
      <c r="Z228" s="5">
        <f t="shared" ref="Z228:Z230" si="101">IF(T228=0,0,X228/T228)</f>
        <v>-0.69077971233913704</v>
      </c>
    </row>
    <row r="229" spans="1:26" s="24" customFormat="1" hidden="1" outlineLevel="2" x14ac:dyDescent="0.25">
      <c r="A229" s="27"/>
      <c r="B229" s="11" t="str">
        <f>CONCATENATE("          ", "6258", " - ", "MEMBERSHIP DUES")</f>
        <v xml:space="preserve">          6258 - MEMBERSHIP DUES</v>
      </c>
      <c r="C229" s="11"/>
      <c r="D229" s="6">
        <v>268.55</v>
      </c>
      <c r="E229" s="2"/>
      <c r="F229" s="7">
        <f t="shared" si="94"/>
        <v>5.6086644645253177E-4</v>
      </c>
      <c r="G229" s="2"/>
      <c r="H229" s="6">
        <v>800</v>
      </c>
      <c r="I229" s="2"/>
      <c r="J229" s="7">
        <f t="shared" si="95"/>
        <v>1.6495913049103372E-3</v>
      </c>
      <c r="K229" s="2"/>
      <c r="L229" s="6">
        <f t="shared" si="96"/>
        <v>-531.45000000000005</v>
      </c>
      <c r="M229" s="2"/>
      <c r="N229" s="7">
        <f t="shared" si="97"/>
        <v>-0.66431250000000008</v>
      </c>
      <c r="O229" s="11"/>
      <c r="P229" s="6">
        <v>1177.4000000000001</v>
      </c>
      <c r="Q229" s="2"/>
      <c r="R229" s="7">
        <f t="shared" si="98"/>
        <v>2.5480347673738948E-4</v>
      </c>
      <c r="S229" s="2"/>
      <c r="T229" s="6">
        <v>4495</v>
      </c>
      <c r="U229" s="2"/>
      <c r="V229" s="7">
        <f t="shared" si="99"/>
        <v>9.2010926002675784E-4</v>
      </c>
      <c r="W229" s="2"/>
      <c r="X229" s="6">
        <f t="shared" si="100"/>
        <v>-3317.6</v>
      </c>
      <c r="Y229" s="2"/>
      <c r="Z229" s="7">
        <f t="shared" si="101"/>
        <v>-0.73806451612903223</v>
      </c>
    </row>
    <row r="230" spans="1:26" s="24" customFormat="1" hidden="1" outlineLevel="2" x14ac:dyDescent="0.25">
      <c r="A230" s="27"/>
      <c r="B230" s="11" t="str">
        <f>CONCATENATE("          ", "6275", " - ", "SUBSCRIPTIONS")</f>
        <v xml:space="preserve">          6275 - SUBSCRIPTIONS</v>
      </c>
      <c r="C230" s="11"/>
      <c r="D230" s="6">
        <v>75</v>
      </c>
      <c r="E230" s="2"/>
      <c r="F230" s="7">
        <f t="shared" si="94"/>
        <v>1.5663743617181115E-4</v>
      </c>
      <c r="G230" s="2"/>
      <c r="H230" s="6">
        <v>590</v>
      </c>
      <c r="I230" s="2"/>
      <c r="J230" s="7">
        <f t="shared" si="95"/>
        <v>1.2165735873713736E-3</v>
      </c>
      <c r="K230" s="2"/>
      <c r="L230" s="6">
        <f t="shared" si="96"/>
        <v>-515</v>
      </c>
      <c r="M230" s="2"/>
      <c r="N230" s="7">
        <f t="shared" si="97"/>
        <v>-0.8728813559322034</v>
      </c>
      <c r="O230" s="11"/>
      <c r="P230" s="6">
        <v>865</v>
      </c>
      <c r="Q230" s="2"/>
      <c r="R230" s="7">
        <f t="shared" si="98"/>
        <v>1.8719637113796662E-4</v>
      </c>
      <c r="S230" s="2"/>
      <c r="T230" s="6">
        <v>2110</v>
      </c>
      <c r="U230" s="2"/>
      <c r="V230" s="7">
        <f t="shared" si="99"/>
        <v>4.319089073762979E-4</v>
      </c>
      <c r="W230" s="2"/>
      <c r="X230" s="6">
        <f t="shared" si="100"/>
        <v>-1245</v>
      </c>
      <c r="Y230" s="2"/>
      <c r="Z230" s="7">
        <f t="shared" si="101"/>
        <v>-0.59004739336492895</v>
      </c>
    </row>
    <row r="231" spans="1:26" s="26" customFormat="1" outlineLevel="1" collapsed="1" x14ac:dyDescent="0.25">
      <c r="A231" s="25"/>
      <c r="B231" s="13" t="str">
        <f>CONCATENATE("     ","Supplies                                          ")</f>
        <v xml:space="preserve">     Supplies                                          </v>
      </c>
      <c r="C231" s="13"/>
      <c r="D231" s="1">
        <f>SUM(OSRRefD22_20x_0)</f>
        <v>7011.86</v>
      </c>
      <c r="E231" s="1"/>
      <c r="F231" s="5">
        <f t="shared" ref="F231:F238" si="102">IF(D$12=0,0,D231/D$12)</f>
        <v>1.4644263642609007E-2</v>
      </c>
      <c r="G231" s="1"/>
      <c r="H231" s="1">
        <f>SUM(OSRRefH22_20x_0)</f>
        <v>12395</v>
      </c>
      <c r="I231" s="1"/>
      <c r="J231" s="5">
        <f t="shared" ref="J231:J238" si="103">IF(H$12=0,0,H231/H$12)</f>
        <v>2.5558355280454536E-2</v>
      </c>
      <c r="K231" s="1"/>
      <c r="L231" s="1">
        <f t="shared" ref="L231:L238" si="104">+D231-H231</f>
        <v>-5383.14</v>
      </c>
      <c r="M231" s="1"/>
      <c r="N231" s="5">
        <f t="shared" ref="N231:N238" si="105">IF(H231=0,0,L231/H231)</f>
        <v>-0.43429931423961277</v>
      </c>
      <c r="O231" s="13"/>
      <c r="P231" s="1">
        <f>SUM(OSRRefP22_20x_0)</f>
        <v>39073.83</v>
      </c>
      <c r="Q231" s="1"/>
      <c r="R231" s="5">
        <f t="shared" ref="R231:R238" si="106">IF(P$12=0,0,P231/P$12)</f>
        <v>8.4560452976437158E-3</v>
      </c>
      <c r="S231" s="1"/>
      <c r="T231" s="1">
        <f>SUM(OSRRefT22_20x_0)</f>
        <v>62040</v>
      </c>
      <c r="U231" s="1"/>
      <c r="V231" s="5">
        <f t="shared" ref="V231:V238" si="107">IF(T$12=0,0,T231/T$12)</f>
        <v>1.2699350053850958E-2</v>
      </c>
      <c r="W231" s="1"/>
      <c r="X231" s="1">
        <f t="shared" ref="X231:X238" si="108">+P231-T231</f>
        <v>-22966.17</v>
      </c>
      <c r="Y231" s="1"/>
      <c r="Z231" s="5">
        <f t="shared" ref="Z231:Z238" si="109">IF(T231=0,0,X231/T231)</f>
        <v>-0.37018326885880076</v>
      </c>
    </row>
    <row r="232" spans="1:26" s="24" customFormat="1" hidden="1" outlineLevel="2" x14ac:dyDescent="0.25">
      <c r="A232" s="27"/>
      <c r="B232" s="11" t="str">
        <f>CONCATENATE("          ", "6234", " - ", "EXPENDABLE SUPPLIES &amp; EQUIPMEN")</f>
        <v xml:space="preserve">          6234 - EXPENDABLE SUPPLIES &amp; EQUIPMEN</v>
      </c>
      <c r="C232" s="11"/>
      <c r="D232" s="6"/>
      <c r="E232" s="2"/>
      <c r="F232" s="7">
        <f t="shared" si="102"/>
        <v>0</v>
      </c>
      <c r="G232" s="2"/>
      <c r="H232" s="6">
        <v>500</v>
      </c>
      <c r="I232" s="2"/>
      <c r="J232" s="7">
        <f t="shared" si="103"/>
        <v>1.0309945655689607E-3</v>
      </c>
      <c r="K232" s="2"/>
      <c r="L232" s="6">
        <f t="shared" si="104"/>
        <v>-500</v>
      </c>
      <c r="M232" s="2"/>
      <c r="N232" s="7">
        <f t="shared" si="105"/>
        <v>-1</v>
      </c>
      <c r="O232" s="11"/>
      <c r="P232" s="6">
        <v>1716.1</v>
      </c>
      <c r="Q232" s="2"/>
      <c r="R232" s="7">
        <f t="shared" si="106"/>
        <v>3.7138461561834042E-4</v>
      </c>
      <c r="S232" s="2"/>
      <c r="T232" s="6">
        <v>2550</v>
      </c>
      <c r="U232" s="2"/>
      <c r="V232" s="7">
        <f t="shared" si="107"/>
        <v>5.2197521981495719E-4</v>
      </c>
      <c r="W232" s="2"/>
      <c r="X232" s="6">
        <f t="shared" si="108"/>
        <v>-833.90000000000009</v>
      </c>
      <c r="Y232" s="2"/>
      <c r="Z232" s="7">
        <f t="shared" si="109"/>
        <v>-0.32701960784313727</v>
      </c>
    </row>
    <row r="233" spans="1:26" s="24" customFormat="1" hidden="1" outlineLevel="2" x14ac:dyDescent="0.25">
      <c r="A233" s="27"/>
      <c r="B233" s="11" t="str">
        <f>CONCATENATE("          ", "6237", " - ", "JANITORIAL SUPPLIES")</f>
        <v xml:space="preserve">          6237 - JANITORIAL SUPPLIES</v>
      </c>
      <c r="C233" s="11"/>
      <c r="D233" s="6">
        <v>302.61</v>
      </c>
      <c r="E233" s="2"/>
      <c r="F233" s="7">
        <f t="shared" si="102"/>
        <v>6.3200072746602358E-4</v>
      </c>
      <c r="G233" s="2"/>
      <c r="H233" s="6">
        <v>45</v>
      </c>
      <c r="I233" s="2"/>
      <c r="J233" s="7">
        <f t="shared" si="103"/>
        <v>9.2789510901206468E-5</v>
      </c>
      <c r="K233" s="2"/>
      <c r="L233" s="6">
        <f t="shared" si="104"/>
        <v>257.61</v>
      </c>
      <c r="M233" s="2"/>
      <c r="N233" s="7">
        <f t="shared" si="105"/>
        <v>5.7246666666666668</v>
      </c>
      <c r="O233" s="11"/>
      <c r="P233" s="6">
        <v>2166.2199999999998</v>
      </c>
      <c r="Q233" s="2"/>
      <c r="R233" s="7">
        <f t="shared" si="106"/>
        <v>4.6879598044680462E-4</v>
      </c>
      <c r="S233" s="2"/>
      <c r="T233" s="6">
        <v>190</v>
      </c>
      <c r="U233" s="2"/>
      <c r="V233" s="7">
        <f t="shared" si="107"/>
        <v>3.8892271280330142E-5</v>
      </c>
      <c r="W233" s="2"/>
      <c r="X233" s="6">
        <f t="shared" si="108"/>
        <v>1976.2199999999998</v>
      </c>
      <c r="Y233" s="2"/>
      <c r="Z233" s="7">
        <f t="shared" si="109"/>
        <v>10.401157894736841</v>
      </c>
    </row>
    <row r="234" spans="1:26" s="24" customFormat="1" hidden="1" outlineLevel="2" x14ac:dyDescent="0.25">
      <c r="A234" s="27"/>
      <c r="B234" s="11" t="str">
        <f>CONCATENATE("          ", "6241", " - ", "OFFICE EXPENSE")</f>
        <v xml:space="preserve">          6241 - OFFICE EXPENSE</v>
      </c>
      <c r="C234" s="11"/>
      <c r="D234" s="6">
        <v>2526.14</v>
      </c>
      <c r="E234" s="2"/>
      <c r="F234" s="7">
        <f t="shared" si="102"/>
        <v>5.275841240147453E-3</v>
      </c>
      <c r="G234" s="2"/>
      <c r="H234" s="6">
        <v>1775</v>
      </c>
      <c r="I234" s="2"/>
      <c r="J234" s="7">
        <f t="shared" si="103"/>
        <v>3.6600307077698105E-3</v>
      </c>
      <c r="K234" s="2"/>
      <c r="L234" s="6">
        <f t="shared" si="104"/>
        <v>751.13999999999987</v>
      </c>
      <c r="M234" s="2"/>
      <c r="N234" s="7">
        <f t="shared" si="105"/>
        <v>0.4231774647887323</v>
      </c>
      <c r="O234" s="11"/>
      <c r="P234" s="6">
        <v>12298.52</v>
      </c>
      <c r="Q234" s="2"/>
      <c r="R234" s="7">
        <f t="shared" si="106"/>
        <v>2.6615471842401216E-3</v>
      </c>
      <c r="S234" s="2"/>
      <c r="T234" s="6">
        <v>5000</v>
      </c>
      <c r="U234" s="2"/>
      <c r="V234" s="7">
        <f t="shared" si="107"/>
        <v>1.0234808231665826E-3</v>
      </c>
      <c r="W234" s="2"/>
      <c r="X234" s="6">
        <f t="shared" si="108"/>
        <v>7298.52</v>
      </c>
      <c r="Y234" s="2"/>
      <c r="Z234" s="7">
        <f t="shared" si="109"/>
        <v>1.4597040000000001</v>
      </c>
    </row>
    <row r="235" spans="1:26" s="24" customFormat="1" hidden="1" outlineLevel="2" x14ac:dyDescent="0.25">
      <c r="A235" s="27"/>
      <c r="B235" s="11" t="str">
        <f>CONCATENATE("          ", "6243", " - ", "PAPER SUPPLIES")</f>
        <v xml:space="preserve">          6243 - PAPER SUPPLIES</v>
      </c>
      <c r="C235" s="11"/>
      <c r="D235" s="6">
        <v>1929.38</v>
      </c>
      <c r="E235" s="2"/>
      <c r="F235" s="7">
        <f t="shared" si="102"/>
        <v>4.0295084880155865E-3</v>
      </c>
      <c r="G235" s="2"/>
      <c r="H235" s="6">
        <v>250</v>
      </c>
      <c r="I235" s="2"/>
      <c r="J235" s="7">
        <f t="shared" si="103"/>
        <v>5.1549728278448036E-4</v>
      </c>
      <c r="K235" s="2"/>
      <c r="L235" s="6">
        <f t="shared" si="104"/>
        <v>1679.38</v>
      </c>
      <c r="M235" s="2"/>
      <c r="N235" s="7">
        <f t="shared" si="105"/>
        <v>6.7175200000000004</v>
      </c>
      <c r="O235" s="11"/>
      <c r="P235" s="6">
        <v>4906.33</v>
      </c>
      <c r="Q235" s="2"/>
      <c r="R235" s="7">
        <f t="shared" si="106"/>
        <v>1.0617886376940344E-3</v>
      </c>
      <c r="S235" s="2"/>
      <c r="T235" s="6">
        <v>1500</v>
      </c>
      <c r="U235" s="2"/>
      <c r="V235" s="7">
        <f t="shared" si="107"/>
        <v>3.0704424694997482E-4</v>
      </c>
      <c r="W235" s="2"/>
      <c r="X235" s="6">
        <f t="shared" si="108"/>
        <v>3406.33</v>
      </c>
      <c r="Y235" s="2"/>
      <c r="Z235" s="7">
        <f t="shared" si="109"/>
        <v>2.2708866666666667</v>
      </c>
    </row>
    <row r="236" spans="1:26" s="24" customFormat="1" hidden="1" outlineLevel="2" x14ac:dyDescent="0.25">
      <c r="A236" s="27"/>
      <c r="B236" s="11" t="str">
        <f>CONCATENATE("          ", "6245", " - ", "PRINTING")</f>
        <v xml:space="preserve">          6245 - PRINTING</v>
      </c>
      <c r="C236" s="11"/>
      <c r="D236" s="6">
        <v>7.24</v>
      </c>
      <c r="E236" s="2"/>
      <c r="F236" s="7">
        <f t="shared" si="102"/>
        <v>1.5120733838452169E-5</v>
      </c>
      <c r="G236" s="2"/>
      <c r="H236" s="6">
        <v>100</v>
      </c>
      <c r="I236" s="2"/>
      <c r="J236" s="7">
        <f t="shared" si="103"/>
        <v>2.0619891311379215E-4</v>
      </c>
      <c r="K236" s="2"/>
      <c r="L236" s="6">
        <f t="shared" si="104"/>
        <v>-92.76</v>
      </c>
      <c r="M236" s="2"/>
      <c r="N236" s="7">
        <f t="shared" si="105"/>
        <v>-0.92760000000000009</v>
      </c>
      <c r="O236" s="11"/>
      <c r="P236" s="6">
        <v>5247.25</v>
      </c>
      <c r="Q236" s="2"/>
      <c r="R236" s="7">
        <f t="shared" si="106"/>
        <v>1.1355678132412663E-3</v>
      </c>
      <c r="S236" s="2"/>
      <c r="T236" s="6">
        <v>800</v>
      </c>
      <c r="U236" s="2"/>
      <c r="V236" s="7">
        <f t="shared" si="107"/>
        <v>1.6375693170665324E-4</v>
      </c>
      <c r="W236" s="2"/>
      <c r="X236" s="6">
        <f t="shared" si="108"/>
        <v>4447.25</v>
      </c>
      <c r="Y236" s="2"/>
      <c r="Z236" s="7">
        <f t="shared" si="109"/>
        <v>5.5590624999999996</v>
      </c>
    </row>
    <row r="237" spans="1:26" s="24" customFormat="1" hidden="1" outlineLevel="2" x14ac:dyDescent="0.25">
      <c r="A237" s="27"/>
      <c r="B237" s="11" t="str">
        <f>CONCATENATE("          ", "6247", " - ", "STORE SUPPLIES")</f>
        <v xml:space="preserve">          6247 - STORE SUPPLIES</v>
      </c>
      <c r="C237" s="11"/>
      <c r="D237" s="6">
        <v>2246.4899999999998</v>
      </c>
      <c r="E237" s="2"/>
      <c r="F237" s="7">
        <f t="shared" si="102"/>
        <v>4.6917924531414933E-3</v>
      </c>
      <c r="G237" s="2"/>
      <c r="H237" s="6">
        <v>8725</v>
      </c>
      <c r="I237" s="2"/>
      <c r="J237" s="7">
        <f t="shared" si="103"/>
        <v>1.7990855169178366E-2</v>
      </c>
      <c r="K237" s="2"/>
      <c r="L237" s="6">
        <f t="shared" si="104"/>
        <v>-6478.51</v>
      </c>
      <c r="M237" s="2"/>
      <c r="N237" s="7">
        <f t="shared" si="105"/>
        <v>-0.74252263610315183</v>
      </c>
      <c r="O237" s="11"/>
      <c r="P237" s="6">
        <v>12739.41</v>
      </c>
      <c r="Q237" s="2"/>
      <c r="R237" s="7">
        <f t="shared" si="106"/>
        <v>2.7569610664031482E-3</v>
      </c>
      <c r="S237" s="2"/>
      <c r="T237" s="6">
        <v>48000</v>
      </c>
      <c r="U237" s="2"/>
      <c r="V237" s="7">
        <f t="shared" si="107"/>
        <v>9.8254159023991941E-3</v>
      </c>
      <c r="W237" s="2"/>
      <c r="X237" s="6">
        <f t="shared" si="108"/>
        <v>-35260.589999999997</v>
      </c>
      <c r="Y237" s="2"/>
      <c r="Z237" s="7">
        <f t="shared" si="109"/>
        <v>-0.73459562499999997</v>
      </c>
    </row>
    <row r="238" spans="1:26" s="24" customFormat="1" hidden="1" outlineLevel="2" x14ac:dyDescent="0.25">
      <c r="A238" s="27"/>
      <c r="B238" s="11" t="str">
        <f>CONCATENATE("          ", "6248", " - ", "UNIFORMS")</f>
        <v xml:space="preserve">          6248 - UNIFORMS</v>
      </c>
      <c r="C238" s="11"/>
      <c r="D238" s="6"/>
      <c r="E238" s="2"/>
      <c r="F238" s="7">
        <f t="shared" si="102"/>
        <v>0</v>
      </c>
      <c r="G238" s="2"/>
      <c r="H238" s="6">
        <v>1000</v>
      </c>
      <c r="I238" s="2"/>
      <c r="J238" s="7">
        <f t="shared" si="103"/>
        <v>2.0619891311379215E-3</v>
      </c>
      <c r="K238" s="2"/>
      <c r="L238" s="6">
        <f t="shared" si="104"/>
        <v>-1000</v>
      </c>
      <c r="M238" s="2"/>
      <c r="N238" s="7">
        <f t="shared" si="105"/>
        <v>-1</v>
      </c>
      <c r="O238" s="11"/>
      <c r="P238" s="6"/>
      <c r="Q238" s="2"/>
      <c r="R238" s="7">
        <f t="shared" si="106"/>
        <v>0</v>
      </c>
      <c r="S238" s="2"/>
      <c r="T238" s="6">
        <v>4000</v>
      </c>
      <c r="U238" s="2"/>
      <c r="V238" s="7">
        <f t="shared" si="107"/>
        <v>8.1878465853326614E-4</v>
      </c>
      <c r="W238" s="2"/>
      <c r="X238" s="6">
        <f t="shared" si="108"/>
        <v>-4000</v>
      </c>
      <c r="Y238" s="2"/>
      <c r="Z238" s="7">
        <f t="shared" si="109"/>
        <v>-1</v>
      </c>
    </row>
    <row r="239" spans="1:26" s="26" customFormat="1" outlineLevel="1" collapsed="1" x14ac:dyDescent="0.25">
      <c r="A239" s="25"/>
      <c r="B239" s="13" t="str">
        <f>CONCATENATE("     ","Telephone/Data Lines                              ")</f>
        <v xml:space="preserve">     Telephone/Data Lines                              </v>
      </c>
      <c r="C239" s="13"/>
      <c r="D239" s="1">
        <f>SUM(OSRRefD22_21x_0)</f>
        <v>670.87</v>
      </c>
      <c r="E239" s="1"/>
      <c r="F239" s="5">
        <f t="shared" ref="F239:F241" si="110">IF(D$12=0,0,D239/D$12)</f>
        <v>1.4011114240611059E-3</v>
      </c>
      <c r="G239" s="1"/>
      <c r="H239" s="1">
        <f>SUM(OSRRefH22_21x_0)</f>
        <v>2640</v>
      </c>
      <c r="I239" s="1"/>
      <c r="J239" s="5">
        <f t="shared" ref="J239:J241" si="111">IF(H$12=0,0,H239/H$12)</f>
        <v>5.4436513062041123E-3</v>
      </c>
      <c r="K239" s="1"/>
      <c r="L239" s="1">
        <f t="shared" ref="L239:L241" si="112">+D239-H239</f>
        <v>-1969.13</v>
      </c>
      <c r="M239" s="1"/>
      <c r="N239" s="5">
        <f t="shared" ref="N239:N241" si="113">IF(H239=0,0,L239/H239)</f>
        <v>-0.74588257575757577</v>
      </c>
      <c r="O239" s="13"/>
      <c r="P239" s="1">
        <f>SUM(OSRRefP22_21x_0)</f>
        <v>11087.27</v>
      </c>
      <c r="Q239" s="1"/>
      <c r="R239" s="5">
        <f t="shared" ref="R239:R241" si="114">IF(P$12=0,0,P239/P$12)</f>
        <v>2.3994181616495296E-3</v>
      </c>
      <c r="S239" s="1"/>
      <c r="T239" s="1">
        <f>SUM(OSRRefT22_21x_0)</f>
        <v>12635</v>
      </c>
      <c r="U239" s="1"/>
      <c r="V239" s="5">
        <f t="shared" ref="V239:V241" si="115">IF(T$12=0,0,T239/T$12)</f>
        <v>2.5863360401419547E-3</v>
      </c>
      <c r="W239" s="1"/>
      <c r="X239" s="1">
        <f t="shared" ref="X239:X241" si="116">+P239-T239</f>
        <v>-1547.7299999999996</v>
      </c>
      <c r="Y239" s="1"/>
      <c r="Z239" s="5">
        <f t="shared" ref="Z239:Z241" si="117">IF(T239=0,0,X239/T239)</f>
        <v>-0.12249544914918872</v>
      </c>
    </row>
    <row r="240" spans="1:26" s="24" customFormat="1" hidden="1" outlineLevel="2" x14ac:dyDescent="0.25">
      <c r="A240" s="27"/>
      <c r="B240" s="11" t="str">
        <f>CONCATENATE("          ", "6303", " - ", "DATA PHONE LINES")</f>
        <v xml:space="preserve">          6303 - DATA PHONE LINES</v>
      </c>
      <c r="C240" s="11"/>
      <c r="D240" s="6">
        <v>295</v>
      </c>
      <c r="E240" s="2"/>
      <c r="F240" s="7">
        <f t="shared" si="110"/>
        <v>6.161072489424571E-4</v>
      </c>
      <c r="G240" s="2"/>
      <c r="H240" s="6">
        <v>950</v>
      </c>
      <c r="I240" s="2"/>
      <c r="J240" s="7">
        <f t="shared" si="111"/>
        <v>1.9588896745810253E-3</v>
      </c>
      <c r="K240" s="2"/>
      <c r="L240" s="6">
        <f t="shared" si="112"/>
        <v>-655</v>
      </c>
      <c r="M240" s="2"/>
      <c r="N240" s="7">
        <f t="shared" si="113"/>
        <v>-0.68947368421052635</v>
      </c>
      <c r="O240" s="11"/>
      <c r="P240" s="6">
        <v>1180</v>
      </c>
      <c r="Q240" s="2"/>
      <c r="R240" s="7">
        <f t="shared" si="114"/>
        <v>2.5536614791075215E-4</v>
      </c>
      <c r="S240" s="2"/>
      <c r="T240" s="6">
        <v>4675</v>
      </c>
      <c r="U240" s="2"/>
      <c r="V240" s="7">
        <f t="shared" si="115"/>
        <v>9.5695456966075486E-4</v>
      </c>
      <c r="W240" s="2"/>
      <c r="X240" s="6">
        <f t="shared" si="116"/>
        <v>-3495</v>
      </c>
      <c r="Y240" s="2"/>
      <c r="Z240" s="7">
        <f t="shared" si="117"/>
        <v>-0.7475935828877005</v>
      </c>
    </row>
    <row r="241" spans="1:26" s="24" customFormat="1" hidden="1" outlineLevel="2" x14ac:dyDescent="0.25">
      <c r="A241" s="27"/>
      <c r="B241" s="11" t="str">
        <f>CONCATENATE("          ", "6309", " - ", "TELEPHONE")</f>
        <v xml:space="preserve">          6309 - TELEPHONE</v>
      </c>
      <c r="C241" s="11"/>
      <c r="D241" s="6">
        <v>375.87</v>
      </c>
      <c r="E241" s="2"/>
      <c r="F241" s="7">
        <f t="shared" si="110"/>
        <v>7.850041751186487E-4</v>
      </c>
      <c r="G241" s="2"/>
      <c r="H241" s="6">
        <v>1690</v>
      </c>
      <c r="I241" s="2"/>
      <c r="J241" s="7">
        <f t="shared" si="111"/>
        <v>3.4847616316230874E-3</v>
      </c>
      <c r="K241" s="2"/>
      <c r="L241" s="6">
        <f t="shared" si="112"/>
        <v>-1314.13</v>
      </c>
      <c r="M241" s="2"/>
      <c r="N241" s="7">
        <f t="shared" si="113"/>
        <v>-0.77759171597633148</v>
      </c>
      <c r="O241" s="11"/>
      <c r="P241" s="6">
        <v>9907.27</v>
      </c>
      <c r="Q241" s="2"/>
      <c r="R241" s="7">
        <f t="shared" si="114"/>
        <v>2.1440520137387775E-3</v>
      </c>
      <c r="S241" s="2"/>
      <c r="T241" s="6">
        <v>7960</v>
      </c>
      <c r="U241" s="2"/>
      <c r="V241" s="7">
        <f t="shared" si="115"/>
        <v>1.6293814704811996E-3</v>
      </c>
      <c r="W241" s="2"/>
      <c r="X241" s="6">
        <f t="shared" si="116"/>
        <v>1947.2700000000004</v>
      </c>
      <c r="Y241" s="2"/>
      <c r="Z241" s="7">
        <f t="shared" si="117"/>
        <v>0.24463190954773875</v>
      </c>
    </row>
    <row r="242" spans="1:26" s="26" customFormat="1" outlineLevel="1" collapsed="1" x14ac:dyDescent="0.25">
      <c r="A242" s="25"/>
      <c r="B242" s="13" t="str">
        <f>CONCATENATE("     ","Training                                          ")</f>
        <v xml:space="preserve">     Training                                          </v>
      </c>
      <c r="C242" s="13"/>
      <c r="D242" s="1">
        <f>SUM(OSRRefD22_22x_0)</f>
        <v>3000.52</v>
      </c>
      <c r="E242" s="1"/>
      <c r="F242" s="5">
        <f t="shared" ref="F242:F247" si="118">IF(D$12=0,0,D242/D$12)</f>
        <v>6.2665834664299034E-3</v>
      </c>
      <c r="G242" s="1"/>
      <c r="H242" s="1">
        <f>SUM(OSRRefH22_22x_0)</f>
        <v>1800</v>
      </c>
      <c r="I242" s="1"/>
      <c r="J242" s="5">
        <f t="shared" ref="J242:J247" si="119">IF(H$12=0,0,H242/H$12)</f>
        <v>3.7115804360482586E-3</v>
      </c>
      <c r="K242" s="1"/>
      <c r="L242" s="1">
        <f t="shared" ref="L242:L247" si="120">+D242-H242</f>
        <v>1200.52</v>
      </c>
      <c r="M242" s="1"/>
      <c r="N242" s="5">
        <f t="shared" ref="N242:N247" si="121">IF(H242=0,0,L242/H242)</f>
        <v>0.66695555555555552</v>
      </c>
      <c r="O242" s="13"/>
      <c r="P242" s="1">
        <f>SUM(OSRRefP22_22x_0)</f>
        <v>5420.76</v>
      </c>
      <c r="Q242" s="1"/>
      <c r="R242" s="5">
        <f t="shared" ref="R242:R247" si="122">IF(P$12=0,0,P242/P$12)</f>
        <v>1.1731174575836346E-3</v>
      </c>
      <c r="S242" s="1"/>
      <c r="T242" s="1">
        <f>SUM(OSRRefT22_22x_0)</f>
        <v>6700</v>
      </c>
      <c r="U242" s="1"/>
      <c r="V242" s="5">
        <f t="shared" ref="V242:V247" si="123">IF(T$12=0,0,T242/T$12)</f>
        <v>1.3714643030432209E-3</v>
      </c>
      <c r="W242" s="1"/>
      <c r="X242" s="1">
        <f t="shared" ref="X242:X247" si="124">+P242-T242</f>
        <v>-1279.2399999999998</v>
      </c>
      <c r="Y242" s="1"/>
      <c r="Z242" s="5">
        <f t="shared" ref="Z242:Z247" si="125">IF(T242=0,0,X242/T242)</f>
        <v>-0.19093134328358205</v>
      </c>
    </row>
    <row r="243" spans="1:26" s="24" customFormat="1" hidden="1" outlineLevel="2" x14ac:dyDescent="0.25">
      <c r="A243" s="27"/>
      <c r="B243" s="11" t="str">
        <f>CONCATENATE("          ", "6376", " - ", "TRAINING")</f>
        <v xml:space="preserve">          6376 - TRAINING</v>
      </c>
      <c r="C243" s="11"/>
      <c r="D243" s="6">
        <v>3000.52</v>
      </c>
      <c r="E243" s="2"/>
      <c r="F243" s="7">
        <f t="shared" si="118"/>
        <v>6.2665834664299034E-3</v>
      </c>
      <c r="G243" s="2"/>
      <c r="H243" s="6">
        <v>1800</v>
      </c>
      <c r="I243" s="2"/>
      <c r="J243" s="7">
        <f t="shared" si="119"/>
        <v>3.7115804360482586E-3</v>
      </c>
      <c r="K243" s="2"/>
      <c r="L243" s="6">
        <f t="shared" si="120"/>
        <v>1200.52</v>
      </c>
      <c r="M243" s="2"/>
      <c r="N243" s="7">
        <f t="shared" si="121"/>
        <v>0.66695555555555552</v>
      </c>
      <c r="O243" s="11"/>
      <c r="P243" s="6">
        <v>5420.76</v>
      </c>
      <c r="Q243" s="2"/>
      <c r="R243" s="7">
        <f t="shared" si="122"/>
        <v>1.1731174575836346E-3</v>
      </c>
      <c r="S243" s="2"/>
      <c r="T243" s="6">
        <v>6700</v>
      </c>
      <c r="U243" s="2"/>
      <c r="V243" s="7">
        <f t="shared" si="123"/>
        <v>1.3714643030432209E-3</v>
      </c>
      <c r="W243" s="2"/>
      <c r="X243" s="6">
        <f t="shared" si="124"/>
        <v>-1279.2399999999998</v>
      </c>
      <c r="Y243" s="2"/>
      <c r="Z243" s="7">
        <f t="shared" si="125"/>
        <v>-0.19093134328358205</v>
      </c>
    </row>
    <row r="244" spans="1:26" s="26" customFormat="1" outlineLevel="1" collapsed="1" x14ac:dyDescent="0.25">
      <c r="A244" s="25"/>
      <c r="B244" s="13" t="str">
        <f>CONCATENATE("     ","Travel                                            ")</f>
        <v xml:space="preserve">     Travel                                            </v>
      </c>
      <c r="C244" s="13"/>
      <c r="D244" s="1">
        <f>SUM(OSRRefD22_23x_0)</f>
        <v>633.25</v>
      </c>
      <c r="E244" s="1"/>
      <c r="F244" s="5">
        <f t="shared" si="118"/>
        <v>1.3225420860773253E-3</v>
      </c>
      <c r="G244" s="1"/>
      <c r="H244" s="1">
        <f>SUM(OSRRefH22_23x_0)</f>
        <v>75</v>
      </c>
      <c r="I244" s="1"/>
      <c r="J244" s="5">
        <f t="shared" si="119"/>
        <v>1.5464918483534411E-4</v>
      </c>
      <c r="K244" s="1"/>
      <c r="L244" s="1">
        <f t="shared" si="120"/>
        <v>558.25</v>
      </c>
      <c r="M244" s="1"/>
      <c r="N244" s="5">
        <f t="shared" si="121"/>
        <v>7.4433333333333334</v>
      </c>
      <c r="O244" s="13"/>
      <c r="P244" s="1">
        <f>SUM(OSRRefP22_23x_0)</f>
        <v>1247.1099999999999</v>
      </c>
      <c r="Q244" s="1"/>
      <c r="R244" s="5">
        <f t="shared" si="122"/>
        <v>2.6988955654320176E-4</v>
      </c>
      <c r="S244" s="1"/>
      <c r="T244" s="1">
        <f>SUM(OSRRefT22_23x_0)</f>
        <v>885</v>
      </c>
      <c r="U244" s="1"/>
      <c r="V244" s="5">
        <f t="shared" si="123"/>
        <v>1.8115610570048515E-4</v>
      </c>
      <c r="W244" s="1"/>
      <c r="X244" s="1">
        <f t="shared" si="124"/>
        <v>362.1099999999999</v>
      </c>
      <c r="Y244" s="1"/>
      <c r="Z244" s="5">
        <f t="shared" si="125"/>
        <v>0.40916384180790949</v>
      </c>
    </row>
    <row r="245" spans="1:26" s="24" customFormat="1" hidden="1" outlineLevel="2" x14ac:dyDescent="0.25">
      <c r="A245" s="27"/>
      <c r="B245" s="11" t="str">
        <f>CONCATENATE("          ", "6292", " - ", "TRAVEL/CONFERENCE")</f>
        <v xml:space="preserve">          6292 - TRAVEL/CONFERENCE</v>
      </c>
      <c r="C245" s="11"/>
      <c r="D245" s="6">
        <v>298.88</v>
      </c>
      <c r="E245" s="2"/>
      <c r="F245" s="7">
        <f t="shared" si="118"/>
        <v>6.2421062564041213E-4</v>
      </c>
      <c r="G245" s="2"/>
      <c r="H245" s="6"/>
      <c r="I245" s="2"/>
      <c r="J245" s="7">
        <f t="shared" si="119"/>
        <v>0</v>
      </c>
      <c r="K245" s="2"/>
      <c r="L245" s="6">
        <f t="shared" si="120"/>
        <v>298.88</v>
      </c>
      <c r="M245" s="2"/>
      <c r="N245" s="7">
        <f t="shared" si="121"/>
        <v>0</v>
      </c>
      <c r="O245" s="11"/>
      <c r="P245" s="6">
        <v>640.65</v>
      </c>
      <c r="Q245" s="2"/>
      <c r="R245" s="7">
        <f t="shared" si="122"/>
        <v>1.3864434123646047E-4</v>
      </c>
      <c r="S245" s="2"/>
      <c r="T245" s="6"/>
      <c r="U245" s="2"/>
      <c r="V245" s="7">
        <f t="shared" si="123"/>
        <v>0</v>
      </c>
      <c r="W245" s="2"/>
      <c r="X245" s="6">
        <f t="shared" si="124"/>
        <v>640.65</v>
      </c>
      <c r="Y245" s="2"/>
      <c r="Z245" s="7">
        <f t="shared" si="125"/>
        <v>0</v>
      </c>
    </row>
    <row r="246" spans="1:26" s="24" customFormat="1" hidden="1" outlineLevel="2" x14ac:dyDescent="0.25">
      <c r="A246" s="27"/>
      <c r="B246" s="11" t="str">
        <f>CONCATENATE("          ", "6294", " - ", "TRAVEL OPERATIONAL")</f>
        <v xml:space="preserve">          6294 - TRAVEL OPERATIONAL</v>
      </c>
      <c r="C246" s="11"/>
      <c r="D246" s="6">
        <v>334.37</v>
      </c>
      <c r="E246" s="2"/>
      <c r="F246" s="7">
        <f t="shared" si="118"/>
        <v>6.9833146043691316E-4</v>
      </c>
      <c r="G246" s="2"/>
      <c r="H246" s="6">
        <v>75</v>
      </c>
      <c r="I246" s="2"/>
      <c r="J246" s="7">
        <f t="shared" si="119"/>
        <v>1.5464918483534411E-4</v>
      </c>
      <c r="K246" s="2"/>
      <c r="L246" s="6">
        <f t="shared" si="120"/>
        <v>259.37</v>
      </c>
      <c r="M246" s="2"/>
      <c r="N246" s="7">
        <f t="shared" si="121"/>
        <v>3.4582666666666668</v>
      </c>
      <c r="O246" s="11"/>
      <c r="P246" s="6">
        <v>436.47</v>
      </c>
      <c r="Q246" s="2"/>
      <c r="R246" s="7">
        <f t="shared" si="122"/>
        <v>9.4457341168310163E-5</v>
      </c>
      <c r="S246" s="2"/>
      <c r="T246" s="6">
        <v>435</v>
      </c>
      <c r="U246" s="2"/>
      <c r="V246" s="7">
        <f t="shared" si="123"/>
        <v>8.9042831615492702E-5</v>
      </c>
      <c r="W246" s="2"/>
      <c r="X246" s="6">
        <f t="shared" si="124"/>
        <v>1.4700000000000273</v>
      </c>
      <c r="Y246" s="2"/>
      <c r="Z246" s="7">
        <f t="shared" si="125"/>
        <v>3.379310344827649E-3</v>
      </c>
    </row>
    <row r="247" spans="1:26" s="24" customFormat="1" hidden="1" outlineLevel="2" x14ac:dyDescent="0.25">
      <c r="A247" s="27"/>
      <c r="B247" s="11" t="str">
        <f>CONCATENATE("          ", "6298", " - ", "VEHICLE MILEAGE")</f>
        <v xml:space="preserve">          6298 - VEHICLE MILEAGE</v>
      </c>
      <c r="C247" s="11"/>
      <c r="D247" s="6"/>
      <c r="E247" s="2"/>
      <c r="F247" s="7">
        <f t="shared" si="118"/>
        <v>0</v>
      </c>
      <c r="G247" s="2"/>
      <c r="H247" s="6"/>
      <c r="I247" s="2"/>
      <c r="J247" s="7">
        <f t="shared" si="119"/>
        <v>0</v>
      </c>
      <c r="K247" s="2"/>
      <c r="L247" s="6">
        <f t="shared" si="120"/>
        <v>0</v>
      </c>
      <c r="M247" s="2"/>
      <c r="N247" s="7">
        <f t="shared" si="121"/>
        <v>0</v>
      </c>
      <c r="O247" s="11"/>
      <c r="P247" s="6">
        <v>169.99</v>
      </c>
      <c r="Q247" s="2"/>
      <c r="R247" s="7">
        <f t="shared" si="122"/>
        <v>3.6787874138431153E-5</v>
      </c>
      <c r="S247" s="2"/>
      <c r="T247" s="6">
        <v>450</v>
      </c>
      <c r="U247" s="2"/>
      <c r="V247" s="7">
        <f t="shared" si="123"/>
        <v>9.2113274084992445E-5</v>
      </c>
      <c r="W247" s="2"/>
      <c r="X247" s="6">
        <f t="shared" si="124"/>
        <v>-280.01</v>
      </c>
      <c r="Y247" s="2"/>
      <c r="Z247" s="7">
        <f t="shared" si="125"/>
        <v>-0.62224444444444438</v>
      </c>
    </row>
    <row r="248" spans="1:26" s="26" customFormat="1" outlineLevel="1" collapsed="1" x14ac:dyDescent="0.25">
      <c r="A248" s="25"/>
      <c r="B248" s="13" t="str">
        <f>CONCATENATE("     ","Utilities                                         ")</f>
        <v xml:space="preserve">     Utilities                                         </v>
      </c>
      <c r="C248" s="13"/>
      <c r="D248" s="1">
        <f>SUM(OSRRefD22_24x_0)</f>
        <v>5636.86</v>
      </c>
      <c r="E248" s="1"/>
      <c r="F248" s="5">
        <f t="shared" ref="F248:F249" si="126">IF(D$12=0,0,D248/D$12)</f>
        <v>1.177257731279247E-2</v>
      </c>
      <c r="G248" s="1"/>
      <c r="H248" s="1">
        <f>SUM(OSRRefH22_24x_0)</f>
        <v>5100</v>
      </c>
      <c r="I248" s="1"/>
      <c r="J248" s="5">
        <f t="shared" ref="J248:J249" si="127">IF(H$12=0,0,H248/H$12)</f>
        <v>1.05161445688034E-2</v>
      </c>
      <c r="K248" s="1"/>
      <c r="L248" s="1">
        <f t="shared" ref="L248:L249" si="128">+D248-H248</f>
        <v>536.85999999999967</v>
      </c>
      <c r="M248" s="1"/>
      <c r="N248" s="5">
        <f t="shared" ref="N248:N249" si="129">IF(H248=0,0,L248/H248)</f>
        <v>0.10526666666666661</v>
      </c>
      <c r="O248" s="13"/>
      <c r="P248" s="1">
        <f>SUM(OSRRefP22_24x_0)</f>
        <v>16974.66</v>
      </c>
      <c r="Q248" s="1"/>
      <c r="R248" s="5">
        <f t="shared" ref="R248:R249" si="130">IF(P$12=0,0,P248/P$12)</f>
        <v>3.6735199460124811E-3</v>
      </c>
      <c r="S248" s="1"/>
      <c r="T248" s="1">
        <f>SUM(OSRRefT22_24x_0)</f>
        <v>20350</v>
      </c>
      <c r="U248" s="1"/>
      <c r="V248" s="5">
        <f t="shared" ref="V248:V249" si="131">IF(T$12=0,0,T248/T$12)</f>
        <v>4.1655669502879914E-3</v>
      </c>
      <c r="W248" s="1"/>
      <c r="X248" s="1">
        <f t="shared" ref="X248:X249" si="132">+P248-T248</f>
        <v>-3375.34</v>
      </c>
      <c r="Y248" s="1"/>
      <c r="Z248" s="5">
        <f t="shared" ref="Z248:Z249" si="133">IF(T248=0,0,X248/T248)</f>
        <v>-0.16586437346437347</v>
      </c>
    </row>
    <row r="249" spans="1:26" s="24" customFormat="1" hidden="1" outlineLevel="2" x14ac:dyDescent="0.25">
      <c r="A249" s="27"/>
      <c r="B249" s="11" t="str">
        <f>CONCATENATE("          ", "6274", " - ", "UTILITIES")</f>
        <v xml:space="preserve">          6274 - UTILITIES</v>
      </c>
      <c r="C249" s="11"/>
      <c r="D249" s="6">
        <v>5636.86</v>
      </c>
      <c r="E249" s="2"/>
      <c r="F249" s="7">
        <f t="shared" si="126"/>
        <v>1.177257731279247E-2</v>
      </c>
      <c r="G249" s="2"/>
      <c r="H249" s="6">
        <v>5100</v>
      </c>
      <c r="I249" s="2"/>
      <c r="J249" s="7">
        <f t="shared" si="127"/>
        <v>1.05161445688034E-2</v>
      </c>
      <c r="K249" s="2"/>
      <c r="L249" s="6">
        <f t="shared" si="128"/>
        <v>536.85999999999967</v>
      </c>
      <c r="M249" s="2"/>
      <c r="N249" s="7">
        <f t="shared" si="129"/>
        <v>0.10526666666666661</v>
      </c>
      <c r="O249" s="11"/>
      <c r="P249" s="6">
        <v>16974.66</v>
      </c>
      <c r="Q249" s="2"/>
      <c r="R249" s="7">
        <f t="shared" si="130"/>
        <v>3.6735199460124811E-3</v>
      </c>
      <c r="S249" s="2"/>
      <c r="T249" s="6">
        <v>20350</v>
      </c>
      <c r="U249" s="2"/>
      <c r="V249" s="7">
        <f t="shared" si="131"/>
        <v>4.1655669502879914E-3</v>
      </c>
      <c r="W249" s="2"/>
      <c r="X249" s="6">
        <f t="shared" si="132"/>
        <v>-3375.34</v>
      </c>
      <c r="Y249" s="2"/>
      <c r="Z249" s="7">
        <f t="shared" si="133"/>
        <v>-0.16586437346437347</v>
      </c>
    </row>
    <row r="250" spans="1:26" s="61" customFormat="1" x14ac:dyDescent="0.25">
      <c r="A250" s="36"/>
      <c r="B250" s="36"/>
      <c r="C250" s="36"/>
      <c r="D250" s="1"/>
      <c r="E250" s="1"/>
      <c r="F250" s="5"/>
      <c r="G250" s="1"/>
      <c r="H250" s="1"/>
      <c r="I250" s="1"/>
      <c r="J250" s="5"/>
      <c r="K250" s="1"/>
      <c r="L250" s="1"/>
      <c r="M250" s="1"/>
      <c r="N250" s="5"/>
      <c r="O250" s="36"/>
      <c r="P250" s="1"/>
      <c r="Q250" s="1"/>
      <c r="R250" s="5"/>
      <c r="S250" s="1"/>
      <c r="T250" s="1"/>
      <c r="U250" s="1"/>
      <c r="V250" s="5"/>
      <c r="W250" s="1"/>
      <c r="X250" s="1"/>
      <c r="Y250" s="1"/>
      <c r="Z250" s="5"/>
    </row>
    <row r="251" spans="1:26" s="23" customFormat="1" collapsed="1" x14ac:dyDescent="0.25">
      <c r="A251" s="10"/>
      <c r="B251" s="29" t="s">
        <v>0</v>
      </c>
      <c r="C251" s="10"/>
      <c r="D251" s="4">
        <f>SUM(OSRRefD25x_0)</f>
        <v>134453.71000000002</v>
      </c>
      <c r="E251" s="4"/>
      <c r="F251" s="12">
        <f t="shared" ref="F251:F259" si="134">IF(D$12=0,0,D251/D$12)</f>
        <v>0.2808064589091761</v>
      </c>
      <c r="G251" s="4"/>
      <c r="H251" s="4">
        <f>SUM(OSRRefH25x_0)</f>
        <v>60175</v>
      </c>
      <c r="I251" s="4"/>
      <c r="J251" s="12">
        <f t="shared" ref="J251:J259" si="135">IF(H$12=0,0,H251/H$12)</f>
        <v>0.12408019596622442</v>
      </c>
      <c r="K251" s="4"/>
      <c r="L251" s="4">
        <f t="shared" ref="L251:L259" si="136">+D251-H251</f>
        <v>74278.710000000021</v>
      </c>
      <c r="M251" s="4"/>
      <c r="N251" s="12">
        <f t="shared" ref="N251:N259" si="137">IF(H251=0,0,L251/H251)</f>
        <v>1.2343782301620279</v>
      </c>
      <c r="O251" s="10"/>
      <c r="P251" s="4">
        <f>SUM(OSRRefP25x_0)</f>
        <v>378997.00999999995</v>
      </c>
      <c r="Q251" s="4"/>
      <c r="R251" s="12">
        <f t="shared" ref="R251:R259" si="138">IF(P$12=0,0,P251/P$12)</f>
        <v>8.2019497045248135E-2</v>
      </c>
      <c r="S251" s="4"/>
      <c r="T251" s="4">
        <f>SUM(OSRRefT25x_0)</f>
        <v>318100</v>
      </c>
      <c r="U251" s="4"/>
      <c r="V251" s="12">
        <f t="shared" ref="V251:V259" si="139">IF(T$12=0,0,T251/T$12)</f>
        <v>6.5113849969857987E-2</v>
      </c>
      <c r="W251" s="4"/>
      <c r="X251" s="4">
        <f t="shared" ref="X251:X259" si="140">+P251-T251</f>
        <v>60897.009999999951</v>
      </c>
      <c r="Y251" s="4"/>
      <c r="Z251" s="12">
        <f t="shared" ref="Z251:Z259" si="141">IF(T251=0,0,X251/T251)</f>
        <v>0.1914398302420621</v>
      </c>
    </row>
    <row r="252" spans="1:26" s="24" customFormat="1" hidden="1" outlineLevel="1" x14ac:dyDescent="0.25">
      <c r="A252" s="44"/>
      <c r="B252" s="11" t="str">
        <f>CONCATENATE("          ", "4098", " - ", "TAXABLE SALES-GRAD RENTALS")</f>
        <v xml:space="preserve">          4098 - TAXABLE SALES-GRAD RENTALS</v>
      </c>
      <c r="C252" s="11"/>
      <c r="D252" s="2">
        <f t="shared" ref="D252:D254" si="142">0</f>
        <v>0</v>
      </c>
      <c r="E252" s="2"/>
      <c r="F252" s="19">
        <f t="shared" si="134"/>
        <v>0</v>
      </c>
      <c r="G252" s="2"/>
      <c r="H252" s="2"/>
      <c r="I252" s="2"/>
      <c r="J252" s="19">
        <f t="shared" si="135"/>
        <v>0</v>
      </c>
      <c r="K252" s="2"/>
      <c r="L252" s="2">
        <f t="shared" si="136"/>
        <v>0</v>
      </c>
      <c r="M252" s="2"/>
      <c r="N252" s="19">
        <f t="shared" si="137"/>
        <v>0</v>
      </c>
      <c r="O252" s="11"/>
      <c r="P252" s="2">
        <f>--1626.85</f>
        <v>1626.85</v>
      </c>
      <c r="Q252" s="2"/>
      <c r="R252" s="19">
        <f t="shared" si="138"/>
        <v>3.5206984553271789E-4</v>
      </c>
      <c r="S252" s="2"/>
      <c r="T252" s="2"/>
      <c r="U252" s="2"/>
      <c r="V252" s="19">
        <f t="shared" si="139"/>
        <v>0</v>
      </c>
      <c r="W252" s="2"/>
      <c r="X252" s="2">
        <f t="shared" si="140"/>
        <v>1626.85</v>
      </c>
      <c r="Y252" s="2"/>
      <c r="Z252" s="19">
        <f t="shared" si="141"/>
        <v>0</v>
      </c>
    </row>
    <row r="253" spans="1:26" s="24" customFormat="1" hidden="1" outlineLevel="1" x14ac:dyDescent="0.25">
      <c r="A253" s="44"/>
      <c r="B253" s="11" t="str">
        <f>CONCATENATE("          ", "4197", " - ", "NON-TAXABLE SALES-RETURNED CHE")</f>
        <v xml:space="preserve">          4197 - NON-TAXABLE SALES-RETURNED CHE</v>
      </c>
      <c r="C253" s="11"/>
      <c r="D253" s="2">
        <f t="shared" si="142"/>
        <v>0</v>
      </c>
      <c r="E253" s="2"/>
      <c r="F253" s="19">
        <f t="shared" si="134"/>
        <v>0</v>
      </c>
      <c r="G253" s="2"/>
      <c r="H253" s="2"/>
      <c r="I253" s="2"/>
      <c r="J253" s="19">
        <f t="shared" si="135"/>
        <v>0</v>
      </c>
      <c r="K253" s="2"/>
      <c r="L253" s="2">
        <f t="shared" si="136"/>
        <v>0</v>
      </c>
      <c r="M253" s="2"/>
      <c r="N253" s="19">
        <f t="shared" si="137"/>
        <v>0</v>
      </c>
      <c r="O253" s="11"/>
      <c r="P253" s="2">
        <f>--30</f>
        <v>30</v>
      </c>
      <c r="Q253" s="2"/>
      <c r="R253" s="19">
        <f t="shared" si="138"/>
        <v>6.492359692646241E-6</v>
      </c>
      <c r="S253" s="2"/>
      <c r="T253" s="2"/>
      <c r="U253" s="2"/>
      <c r="V253" s="19">
        <f t="shared" si="139"/>
        <v>0</v>
      </c>
      <c r="W253" s="2"/>
      <c r="X253" s="2">
        <f t="shared" si="140"/>
        <v>30</v>
      </c>
      <c r="Y253" s="2"/>
      <c r="Z253" s="19">
        <f t="shared" si="141"/>
        <v>0</v>
      </c>
    </row>
    <row r="254" spans="1:26" s="24" customFormat="1" hidden="1" outlineLevel="1" x14ac:dyDescent="0.25">
      <c r="A254" s="44"/>
      <c r="B254" s="11" t="str">
        <f>CONCATENATE("          ", "4198", " - ", "NON-TAXABLE SALES-GRAD RENTALS")</f>
        <v xml:space="preserve">          4198 - NON-TAXABLE SALES-GRAD RENTALS</v>
      </c>
      <c r="C254" s="11"/>
      <c r="D254" s="2">
        <f t="shared" si="142"/>
        <v>0</v>
      </c>
      <c r="E254" s="2"/>
      <c r="F254" s="19">
        <f t="shared" si="134"/>
        <v>0</v>
      </c>
      <c r="G254" s="2"/>
      <c r="H254" s="2"/>
      <c r="I254" s="2"/>
      <c r="J254" s="19">
        <f t="shared" si="135"/>
        <v>0</v>
      </c>
      <c r="K254" s="2"/>
      <c r="L254" s="2">
        <f t="shared" si="136"/>
        <v>0</v>
      </c>
      <c r="M254" s="2"/>
      <c r="N254" s="19">
        <f t="shared" si="137"/>
        <v>0</v>
      </c>
      <c r="O254" s="11"/>
      <c r="P254" s="2">
        <f>--495</f>
        <v>495</v>
      </c>
      <c r="Q254" s="2"/>
      <c r="R254" s="19">
        <f t="shared" si="138"/>
        <v>1.0712393492866297E-4</v>
      </c>
      <c r="S254" s="2"/>
      <c r="T254" s="2"/>
      <c r="U254" s="2"/>
      <c r="V254" s="19">
        <f t="shared" si="139"/>
        <v>0</v>
      </c>
      <c r="W254" s="2"/>
      <c r="X254" s="2">
        <f t="shared" si="140"/>
        <v>495</v>
      </c>
      <c r="Y254" s="2"/>
      <c r="Z254" s="19">
        <f t="shared" si="141"/>
        <v>0</v>
      </c>
    </row>
    <row r="255" spans="1:26" s="24" customFormat="1" hidden="1" outlineLevel="1" x14ac:dyDescent="0.25">
      <c r="A255" s="44"/>
      <c r="B255" s="11" t="str">
        <f>CONCATENATE("          ", "9150", " - ", "MISC. INCOME")</f>
        <v xml:space="preserve">          9150 - MISC. INCOME</v>
      </c>
      <c r="C255" s="11"/>
      <c r="D255" s="2">
        <f>--69263.32</f>
        <v>69263.320000000007</v>
      </c>
      <c r="E255" s="2"/>
      <c r="F255" s="19">
        <f t="shared" si="134"/>
        <v>0.14465638487396976</v>
      </c>
      <c r="G255" s="2"/>
      <c r="H255" s="2">
        <v>29225</v>
      </c>
      <c r="I255" s="2"/>
      <c r="J255" s="19">
        <f t="shared" si="135"/>
        <v>6.0261632357505757E-2</v>
      </c>
      <c r="K255" s="2"/>
      <c r="L255" s="2">
        <f t="shared" si="136"/>
        <v>40038.320000000007</v>
      </c>
      <c r="M255" s="2"/>
      <c r="N255" s="19">
        <f t="shared" si="137"/>
        <v>1.370002395209581</v>
      </c>
      <c r="O255" s="11"/>
      <c r="P255" s="2">
        <f>--206650.24</f>
        <v>206650.23999999999</v>
      </c>
      <c r="Q255" s="2"/>
      <c r="R255" s="19">
        <f t="shared" si="138"/>
        <v>4.4721589621722395E-2</v>
      </c>
      <c r="S255" s="2"/>
      <c r="T255" s="2">
        <v>129150.00000000001</v>
      </c>
      <c r="U255" s="2"/>
      <c r="V255" s="19">
        <f t="shared" si="139"/>
        <v>2.6436509662392835E-2</v>
      </c>
      <c r="W255" s="2"/>
      <c r="X255" s="2">
        <f t="shared" si="140"/>
        <v>77500.239999999976</v>
      </c>
      <c r="Y255" s="2"/>
      <c r="Z255" s="19">
        <f t="shared" si="141"/>
        <v>0.60007928765001906</v>
      </c>
    </row>
    <row r="256" spans="1:26" s="24" customFormat="1" hidden="1" outlineLevel="1" x14ac:dyDescent="0.25">
      <c r="A256" s="44"/>
      <c r="B256" s="11" t="str">
        <f>CONCATENATE("          ", "9151", " - ", "MISC. INCOME")</f>
        <v xml:space="preserve">          9151 - MISC. INCOME</v>
      </c>
      <c r="C256" s="11"/>
      <c r="D256" s="2">
        <f>--4030.76</f>
        <v>4030.76</v>
      </c>
      <c r="E256" s="2"/>
      <c r="F256" s="19">
        <f t="shared" si="134"/>
        <v>8.4182388296518591E-3</v>
      </c>
      <c r="G256" s="2"/>
      <c r="H256" s="2">
        <v>12850</v>
      </c>
      <c r="I256" s="2"/>
      <c r="J256" s="19">
        <f t="shared" si="135"/>
        <v>2.649656033512229E-2</v>
      </c>
      <c r="K256" s="2"/>
      <c r="L256" s="2">
        <f t="shared" si="136"/>
        <v>-8819.24</v>
      </c>
      <c r="M256" s="2"/>
      <c r="N256" s="19">
        <f t="shared" si="137"/>
        <v>-0.68632217898832681</v>
      </c>
      <c r="O256" s="11"/>
      <c r="P256" s="2">
        <f>--87224.27</f>
        <v>87224.27</v>
      </c>
      <c r="Q256" s="2"/>
      <c r="R256" s="19">
        <f t="shared" si="138"/>
        <v>1.8876377825616426E-2</v>
      </c>
      <c r="S256" s="2"/>
      <c r="T256" s="2">
        <v>39150</v>
      </c>
      <c r="U256" s="2"/>
      <c r="V256" s="19">
        <f t="shared" si="139"/>
        <v>8.0138548453943421E-3</v>
      </c>
      <c r="W256" s="2"/>
      <c r="X256" s="2">
        <f t="shared" si="140"/>
        <v>48074.270000000004</v>
      </c>
      <c r="Y256" s="2"/>
      <c r="Z256" s="19">
        <f t="shared" si="141"/>
        <v>1.2279507024265646</v>
      </c>
    </row>
    <row r="257" spans="1:26" s="24" customFormat="1" hidden="1" outlineLevel="1" x14ac:dyDescent="0.25">
      <c r="A257" s="44"/>
      <c r="B257" s="11" t="str">
        <f>CONCATENATE("          ", "9152", " - ", "MISC. INCOME")</f>
        <v xml:space="preserve">          9152 - MISC. INCOME</v>
      </c>
      <c r="C257" s="11"/>
      <c r="D257" s="2">
        <f>--53.08</f>
        <v>53.08</v>
      </c>
      <c r="E257" s="2"/>
      <c r="F257" s="19">
        <f t="shared" si="134"/>
        <v>1.1085753482666313E-4</v>
      </c>
      <c r="G257" s="2"/>
      <c r="H257" s="2"/>
      <c r="I257" s="2"/>
      <c r="J257" s="19">
        <f t="shared" si="135"/>
        <v>0</v>
      </c>
      <c r="K257" s="2"/>
      <c r="L257" s="2">
        <f t="shared" si="136"/>
        <v>53.08</v>
      </c>
      <c r="M257" s="2"/>
      <c r="N257" s="19">
        <f t="shared" si="137"/>
        <v>0</v>
      </c>
      <c r="O257" s="11"/>
      <c r="P257" s="2">
        <f>--694.1</f>
        <v>694.1</v>
      </c>
      <c r="Q257" s="2"/>
      <c r="R257" s="19">
        <f t="shared" si="138"/>
        <v>1.5021156208885853E-4</v>
      </c>
      <c r="S257" s="2"/>
      <c r="T257" s="2"/>
      <c r="U257" s="2"/>
      <c r="V257" s="19">
        <f t="shared" si="139"/>
        <v>0</v>
      </c>
      <c r="W257" s="2"/>
      <c r="X257" s="2">
        <f t="shared" si="140"/>
        <v>694.1</v>
      </c>
      <c r="Y257" s="2"/>
      <c r="Z257" s="19">
        <f t="shared" si="141"/>
        <v>0</v>
      </c>
    </row>
    <row r="258" spans="1:26" s="24" customFormat="1" hidden="1" outlineLevel="1" x14ac:dyDescent="0.25">
      <c r="A258" s="44"/>
      <c r="B258" s="11" t="str">
        <f>CONCATENATE("          ", "9160", " - ", "MISC. INCOME")</f>
        <v xml:space="preserve">          9160 - MISC. INCOME</v>
      </c>
      <c r="C258" s="11"/>
      <c r="D258" s="2">
        <f>0</f>
        <v>0</v>
      </c>
      <c r="E258" s="2"/>
      <c r="F258" s="19">
        <f t="shared" si="134"/>
        <v>0</v>
      </c>
      <c r="G258" s="2"/>
      <c r="H258" s="2">
        <v>18100</v>
      </c>
      <c r="I258" s="2"/>
      <c r="J258" s="19">
        <f t="shared" si="135"/>
        <v>3.7322003273596381E-2</v>
      </c>
      <c r="K258" s="2"/>
      <c r="L258" s="2">
        <f t="shared" si="136"/>
        <v>-18100</v>
      </c>
      <c r="M258" s="2"/>
      <c r="N258" s="19">
        <f t="shared" si="137"/>
        <v>-1</v>
      </c>
      <c r="O258" s="11"/>
      <c r="P258" s="2">
        <f>--21170</f>
        <v>21170</v>
      </c>
      <c r="Q258" s="2"/>
      <c r="R258" s="19">
        <f t="shared" si="138"/>
        <v>4.5814418231106971E-3</v>
      </c>
      <c r="S258" s="2"/>
      <c r="T258" s="2">
        <v>149800</v>
      </c>
      <c r="U258" s="2"/>
      <c r="V258" s="19">
        <f t="shared" si="139"/>
        <v>3.066348546207082E-2</v>
      </c>
      <c r="W258" s="2"/>
      <c r="X258" s="2">
        <f t="shared" si="140"/>
        <v>-128630</v>
      </c>
      <c r="Y258" s="2"/>
      <c r="Z258" s="19">
        <f t="shared" si="141"/>
        <v>-0.85867823765020024</v>
      </c>
    </row>
    <row r="259" spans="1:26" s="24" customFormat="1" hidden="1" outlineLevel="1" x14ac:dyDescent="0.25">
      <c r="A259" s="44"/>
      <c r="B259" s="11" t="str">
        <f>CONCATENATE("          ", "9163", " - ", "MISC. INCOME")</f>
        <v xml:space="preserve">          9163 - MISC. INCOME</v>
      </c>
      <c r="C259" s="11"/>
      <c r="D259" s="2">
        <f>--61106.55</f>
        <v>61106.55</v>
      </c>
      <c r="E259" s="2"/>
      <c r="F259" s="19">
        <f t="shared" si="134"/>
        <v>0.12762097767072783</v>
      </c>
      <c r="G259" s="2"/>
      <c r="H259" s="2"/>
      <c r="I259" s="2"/>
      <c r="J259" s="19">
        <f t="shared" si="135"/>
        <v>0</v>
      </c>
      <c r="K259" s="2"/>
      <c r="L259" s="2">
        <f t="shared" si="136"/>
        <v>61106.55</v>
      </c>
      <c r="M259" s="2"/>
      <c r="N259" s="19">
        <f t="shared" si="137"/>
        <v>0</v>
      </c>
      <c r="O259" s="11"/>
      <c r="P259" s="2">
        <f>--61106.55</f>
        <v>61106.55</v>
      </c>
      <c r="Q259" s="2"/>
      <c r="R259" s="19">
        <f t="shared" si="138"/>
        <v>1.3224190072555739E-2</v>
      </c>
      <c r="S259" s="2"/>
      <c r="T259" s="2"/>
      <c r="U259" s="2"/>
      <c r="V259" s="19">
        <f t="shared" si="139"/>
        <v>0</v>
      </c>
      <c r="W259" s="2"/>
      <c r="X259" s="2">
        <f t="shared" si="140"/>
        <v>61106.55</v>
      </c>
      <c r="Y259" s="2"/>
      <c r="Z259" s="19">
        <f t="shared" si="141"/>
        <v>0</v>
      </c>
    </row>
    <row r="260" spans="1:26" x14ac:dyDescent="0.2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10"/>
      <c r="B261" s="28" t="s">
        <v>3</v>
      </c>
      <c r="C261" s="28"/>
      <c r="D261" s="22">
        <f>+D154-D156+D251</f>
        <v>-2754.2400000000489</v>
      </c>
      <c r="E261" s="14"/>
      <c r="F261" s="20">
        <f>IF(D$12=0,0,D261/D$12)</f>
        <v>-5.7522278960247565E-3</v>
      </c>
      <c r="G261" s="14"/>
      <c r="H261" s="22">
        <f>+H154-H156+H251</f>
        <v>-48676.71711582283</v>
      </c>
      <c r="I261" s="14"/>
      <c r="J261" s="20">
        <f>IF(H$12=0,0,H261/H$12)</f>
        <v>-0.10037086163230191</v>
      </c>
      <c r="K261" s="16"/>
      <c r="L261" s="22">
        <f>+D261-H261</f>
        <v>45922.477115822781</v>
      </c>
      <c r="M261" s="16"/>
      <c r="N261" s="20">
        <f>IF(H261=0,0,L261/H261)</f>
        <v>-0.94341771254937901</v>
      </c>
      <c r="O261" s="29"/>
      <c r="P261" s="22">
        <f>+P154-P156+P251</f>
        <v>661596.14999999898</v>
      </c>
      <c r="Q261" s="14"/>
      <c r="R261" s="20">
        <f>IF(P$12=0,0,P261/P$12)</f>
        <v>0.14317733923566431</v>
      </c>
      <c r="S261" s="14"/>
      <c r="T261" s="22">
        <f>+T154-T156+T251</f>
        <v>623875.54916657601</v>
      </c>
      <c r="U261" s="14"/>
      <c r="V261" s="20">
        <f>IF(T$12=0,0,T261/T$12)</f>
        <v>0.12770493212290221</v>
      </c>
      <c r="W261" s="16"/>
      <c r="X261" s="22">
        <f>+P261-T261</f>
        <v>37720.60083342297</v>
      </c>
      <c r="Y261" s="16"/>
      <c r="Z261" s="20">
        <f>IF(T261=0,0,X261/T261)</f>
        <v>6.0461739338579998E-2</v>
      </c>
    </row>
    <row r="262" spans="1:26" x14ac:dyDescent="0.2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52"/>
      <c r="B263" s="10" t="s">
        <v>14</v>
      </c>
      <c r="C263" s="10"/>
      <c r="D263" s="4">
        <v>20237.11</v>
      </c>
      <c r="E263" s="4"/>
      <c r="F263" s="12">
        <f>IF(D$12=0,0,D263/D$12)</f>
        <v>4.2265187012358943E-2</v>
      </c>
      <c r="G263" s="4"/>
      <c r="H263" s="4">
        <v>31729</v>
      </c>
      <c r="I263" s="4"/>
      <c r="J263" s="12">
        <f>IF(H$12=0,0,H263/H$12)</f>
        <v>6.5424853141875114E-2</v>
      </c>
      <c r="K263" s="4"/>
      <c r="L263" s="4">
        <f>+D263-H263</f>
        <v>-11491.89</v>
      </c>
      <c r="M263" s="4"/>
      <c r="N263" s="12">
        <f>IF(H263=0,0,L263/H263)</f>
        <v>-0.36218884931765888</v>
      </c>
      <c r="O263" s="10"/>
      <c r="P263" s="4">
        <v>465143.14</v>
      </c>
      <c r="Q263" s="4"/>
      <c r="R263" s="12">
        <f>IF(P$12=0,0,P263/P$12)</f>
        <v>0.10066255244823025</v>
      </c>
      <c r="S263" s="4"/>
      <c r="T263" s="4">
        <v>588302</v>
      </c>
      <c r="U263" s="4"/>
      <c r="V263" s="12">
        <f>IF(T$12=0,0,T263/T$12)</f>
        <v>0.12042316304610939</v>
      </c>
      <c r="W263" s="4"/>
      <c r="X263" s="4">
        <f>+P263-T263</f>
        <v>-123158.85999999999</v>
      </c>
      <c r="Y263" s="4"/>
      <c r="Z263" s="12">
        <f>IF(T263=0,0,X263/T263)</f>
        <v>-0.20934632212707077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8" t="s">
        <v>4</v>
      </c>
      <c r="C265" s="28"/>
      <c r="D265" s="31">
        <f>+D261-D263</f>
        <v>-22991.350000000049</v>
      </c>
      <c r="E265" s="14"/>
      <c r="F265" s="33">
        <f>IF(D$12=0,0,D265/D$12)</f>
        <v>-4.8017414908383703E-2</v>
      </c>
      <c r="G265" s="14"/>
      <c r="H265" s="31">
        <f>+H261-H263</f>
        <v>-80405.71711582283</v>
      </c>
      <c r="I265" s="14"/>
      <c r="J265" s="33">
        <f>IF(H$12=0,0,H265/H$12)</f>
        <v>-0.16579571477417701</v>
      </c>
      <c r="K265" s="16"/>
      <c r="L265" s="31">
        <f>D265-H265</f>
        <v>57414.367115822781</v>
      </c>
      <c r="M265" s="16"/>
      <c r="N265" s="33">
        <f>IF(H265=0,0,L265/H265)</f>
        <v>-0.71405826818407114</v>
      </c>
      <c r="O265" s="29"/>
      <c r="P265" s="31">
        <f>+P261-P263</f>
        <v>196453.00999999896</v>
      </c>
      <c r="Q265" s="14"/>
      <c r="R265" s="33">
        <f>IF(P$12=0,0,P265/P$12)</f>
        <v>4.2514786787434068E-2</v>
      </c>
      <c r="S265" s="14"/>
      <c r="T265" s="31">
        <f>+T261-T263</f>
        <v>35573.549166576006</v>
      </c>
      <c r="U265" s="14"/>
      <c r="V265" s="33">
        <f>IF(T$12=0,0,T265/T$12)</f>
        <v>7.2817690767928225E-3</v>
      </c>
      <c r="W265" s="16"/>
      <c r="X265" s="31">
        <f>P265-T265</f>
        <v>160879.46083342296</v>
      </c>
      <c r="Y265" s="16"/>
      <c r="Z265" s="33">
        <f>IF(T265=0,0,X265/T265)</f>
        <v>4.5224461602099906</v>
      </c>
    </row>
    <row r="266" spans="1:26" ht="15.75" thickTop="1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x14ac:dyDescent="0.25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.75" thickBot="1" x14ac:dyDescent="0.3">
      <c r="A268" s="10"/>
      <c r="B268" s="28" t="s">
        <v>5</v>
      </c>
      <c r="C268" s="28"/>
      <c r="D268" s="32">
        <f>SUM(D265:D267)</f>
        <v>-22991.350000000049</v>
      </c>
      <c r="E268" s="14"/>
      <c r="F268" s="34">
        <f>IF(D$12=0,0,D268/D$12)</f>
        <v>-4.8017414908383703E-2</v>
      </c>
      <c r="G268" s="14"/>
      <c r="H268" s="32">
        <f>SUM(H265:H267)</f>
        <v>-80405.71711582283</v>
      </c>
      <c r="I268" s="14"/>
      <c r="J268" s="34">
        <f>IF(H$12=0,0,H268/H$12)</f>
        <v>-0.16579571477417701</v>
      </c>
      <c r="K268" s="16"/>
      <c r="L268" s="32">
        <f>+D268-H268</f>
        <v>57414.367115822781</v>
      </c>
      <c r="M268" s="16"/>
      <c r="N268" s="34">
        <f>IF(H268=0,0,L268/H268)</f>
        <v>-0.71405826818407114</v>
      </c>
      <c r="O268" s="29"/>
      <c r="P268" s="32">
        <f>SUM(P265:P267)</f>
        <v>196453.00999999896</v>
      </c>
      <c r="Q268" s="14"/>
      <c r="R268" s="34">
        <f>IF(P$12=0,0,P268/P$12)</f>
        <v>4.2514786787434068E-2</v>
      </c>
      <c r="S268" s="14"/>
      <c r="T268" s="32">
        <f>SUM(T265:T267)</f>
        <v>35573.549166576006</v>
      </c>
      <c r="U268" s="14"/>
      <c r="V268" s="34">
        <f>IF(T$12=0,0,T268/T$12)</f>
        <v>7.2817690767928225E-3</v>
      </c>
      <c r="W268" s="16"/>
      <c r="X268" s="32">
        <f>+P268-T268</f>
        <v>160879.46083342296</v>
      </c>
      <c r="Y268" s="16"/>
      <c r="Z268" s="34">
        <f>IF(T268=0,0,X268/T268)</f>
        <v>4.5224461602099906</v>
      </c>
    </row>
    <row r="269" spans="1:26" ht="15.75" thickTop="1" x14ac:dyDescent="0.25">
      <c r="A269" s="9"/>
      <c r="C269" s="9"/>
      <c r="D269" s="17"/>
      <c r="E269" s="17"/>
      <c r="G269" s="17"/>
      <c r="H269" s="17"/>
      <c r="I269" s="17"/>
      <c r="J269" s="43"/>
      <c r="K269" s="17"/>
      <c r="L269" s="17"/>
      <c r="M269" s="17"/>
      <c r="P269" s="17"/>
      <c r="Q269" s="17"/>
      <c r="R269" s="43"/>
      <c r="S269" s="17"/>
      <c r="T269" s="17"/>
      <c r="U269" s="17"/>
      <c r="V269" s="43"/>
      <c r="W269" s="17"/>
      <c r="X269" s="17"/>
    </row>
    <row r="270" spans="1:26" x14ac:dyDescent="0.25">
      <c r="A270" s="9"/>
      <c r="B270" s="60">
        <v>43791.347640428241</v>
      </c>
      <c r="D270" s="17"/>
      <c r="E270" s="17"/>
      <c r="G270" s="17"/>
      <c r="H270" s="17"/>
      <c r="I270" s="17"/>
      <c r="J270" s="43"/>
      <c r="K270" s="17"/>
      <c r="L270" s="17"/>
      <c r="M270" s="17"/>
      <c r="P270" s="17"/>
      <c r="Q270" s="17"/>
      <c r="R270" s="43"/>
      <c r="S270" s="17"/>
      <c r="T270" s="17"/>
      <c r="U270" s="17"/>
      <c r="V270" s="43"/>
      <c r="W270" s="17"/>
      <c r="X270" s="17"/>
    </row>
    <row r="271" spans="1:26" x14ac:dyDescent="0.25">
      <c r="A271" s="9"/>
      <c r="B271" s="54" t="s">
        <v>314</v>
      </c>
      <c r="D271" s="17"/>
      <c r="E271" s="17"/>
      <c r="G271" s="17"/>
      <c r="H271" s="17"/>
      <c r="I271" s="17"/>
      <c r="J271" s="43"/>
      <c r="K271" s="17"/>
      <c r="L271" s="17"/>
      <c r="M271" s="17"/>
      <c r="P271" s="17"/>
      <c r="Q271" s="17"/>
      <c r="R271" s="43"/>
      <c r="S271" s="17"/>
      <c r="T271" s="17"/>
      <c r="U271" s="17"/>
      <c r="V271" s="43"/>
      <c r="W271" s="17"/>
      <c r="X271" s="17"/>
    </row>
    <row r="272" spans="1:26" x14ac:dyDescent="0.25">
      <c r="A272" s="9"/>
      <c r="B272" s="55"/>
      <c r="D272" s="17"/>
      <c r="E272" s="17"/>
      <c r="G272" s="17"/>
      <c r="H272" s="17"/>
      <c r="I272" s="17"/>
      <c r="J272" s="43"/>
      <c r="K272" s="17"/>
      <c r="L272" s="17"/>
      <c r="M272" s="17"/>
      <c r="P272" s="17"/>
      <c r="Q272" s="17"/>
      <c r="R272" s="43"/>
      <c r="S272" s="17"/>
      <c r="T272" s="17"/>
      <c r="U272" s="17"/>
      <c r="V272" s="43"/>
      <c r="W272" s="17"/>
      <c r="X272" s="17"/>
    </row>
    <row r="273" spans="4:24" x14ac:dyDescent="0.25">
      <c r="D273" s="17"/>
      <c r="E273" s="17"/>
      <c r="G273" s="17"/>
      <c r="H273" s="17"/>
      <c r="I273" s="17"/>
      <c r="J273" s="43"/>
      <c r="K273" s="17"/>
      <c r="L273" s="17"/>
      <c r="M273" s="17"/>
      <c r="P273" s="17"/>
      <c r="Q273" s="17"/>
      <c r="R273" s="43"/>
      <c r="S273" s="17"/>
      <c r="T273" s="17"/>
      <c r="U273" s="17"/>
      <c r="V273" s="43"/>
      <c r="W273" s="17"/>
      <c r="X273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625039.46000000054</v>
      </c>
      <c r="E12" s="4"/>
      <c r="F12" s="12"/>
      <c r="G12" s="4"/>
      <c r="H12" s="4">
        <f>SUM(OSRRefH13x_0)</f>
        <v>619996.60866000003</v>
      </c>
      <c r="I12" s="4"/>
      <c r="J12" s="12"/>
      <c r="K12" s="4"/>
      <c r="L12" s="4">
        <f t="shared" ref="L12:L119" si="0">+D12-H12</f>
        <v>5042.8513400005177</v>
      </c>
      <c r="M12" s="4"/>
      <c r="N12" s="12">
        <f t="shared" ref="N12:N119" si="1">IF(H12=0,0,L12/H12)</f>
        <v>8.1336756839680835E-3</v>
      </c>
      <c r="O12" s="10"/>
      <c r="P12" s="4">
        <f>SUM(OSRRefP13x_0)</f>
        <v>5959220.8699999982</v>
      </c>
      <c r="Q12" s="4"/>
      <c r="R12" s="12"/>
      <c r="S12" s="4"/>
      <c r="T12" s="4">
        <f>SUM(OSRRefT13x_0)</f>
        <v>6020869.3838599995</v>
      </c>
      <c r="U12" s="4"/>
      <c r="V12" s="12"/>
      <c r="W12" s="4"/>
      <c r="X12" s="4">
        <f t="shared" ref="X12:X119" si="2">+P12-T12</f>
        <v>-61648.513860001229</v>
      </c>
      <c r="Y12" s="4"/>
      <c r="Z12" s="12">
        <f t="shared" ref="Z12:Z119" si="3">IF(T12=0,0,X12/T12)</f>
        <v>-1.0239138225662381E-2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515415.60866000003</v>
      </c>
      <c r="I13" s="2"/>
      <c r="J13" s="19"/>
      <c r="K13" s="2"/>
      <c r="L13" s="2">
        <f t="shared" si="0"/>
        <v>-515415.60866000003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2670496.3838599999</v>
      </c>
      <c r="U13" s="2"/>
      <c r="V13" s="19"/>
      <c r="W13" s="2"/>
      <c r="X13" s="2">
        <f t="shared" si="2"/>
        <v>-2670496.3838599999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--31204.32</f>
        <v>31204.32</v>
      </c>
      <c r="E14" s="2"/>
      <c r="F14" s="19"/>
      <c r="G14" s="2"/>
      <c r="H14" s="2"/>
      <c r="I14" s="2"/>
      <c r="J14" s="19"/>
      <c r="K14" s="2"/>
      <c r="L14" s="2">
        <f t="shared" si="0"/>
        <v>31204.32</v>
      </c>
      <c r="M14" s="2"/>
      <c r="N14" s="19">
        <f t="shared" si="1"/>
        <v>0</v>
      </c>
      <c r="O14" s="11"/>
      <c r="P14" s="2">
        <f>--1495159.74</f>
        <v>1495159.74</v>
      </c>
      <c r="Q14" s="2"/>
      <c r="R14" s="19"/>
      <c r="S14" s="2"/>
      <c r="T14" s="2"/>
      <c r="U14" s="2"/>
      <c r="V14" s="19"/>
      <c r="W14" s="2"/>
      <c r="X14" s="2">
        <f t="shared" si="2"/>
        <v>1495159.74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--8985.78</f>
        <v>8985.7800000000007</v>
      </c>
      <c r="E15" s="2"/>
      <c r="F15" s="19"/>
      <c r="G15" s="2"/>
      <c r="H15" s="2"/>
      <c r="I15" s="2"/>
      <c r="J15" s="19"/>
      <c r="K15" s="2"/>
      <c r="L15" s="2">
        <f t="shared" si="0"/>
        <v>8985.7800000000007</v>
      </c>
      <c r="M15" s="2"/>
      <c r="N15" s="19">
        <f t="shared" si="1"/>
        <v>0</v>
      </c>
      <c r="O15" s="11"/>
      <c r="P15" s="2">
        <f>--666296.36</f>
        <v>666296.36</v>
      </c>
      <c r="Q15" s="2"/>
      <c r="R15" s="19"/>
      <c r="S15" s="2"/>
      <c r="T15" s="2"/>
      <c r="U15" s="2"/>
      <c r="V15" s="19"/>
      <c r="W15" s="2"/>
      <c r="X15" s="2">
        <f t="shared" si="2"/>
        <v>666296.36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--307.97</f>
        <v>307.97000000000003</v>
      </c>
      <c r="E16" s="2"/>
      <c r="F16" s="19"/>
      <c r="G16" s="2"/>
      <c r="H16" s="2"/>
      <c r="I16" s="2"/>
      <c r="J16" s="19"/>
      <c r="K16" s="2"/>
      <c r="L16" s="2">
        <f t="shared" si="0"/>
        <v>307.97000000000003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--460.04</f>
        <v>460.04</v>
      </c>
      <c r="E17" s="2"/>
      <c r="F17" s="19"/>
      <c r="G17" s="2"/>
      <c r="H17" s="2"/>
      <c r="I17" s="2"/>
      <c r="J17" s="19"/>
      <c r="K17" s="2"/>
      <c r="L17" s="2">
        <f t="shared" si="0"/>
        <v>460.04</v>
      </c>
      <c r="M17" s="2"/>
      <c r="N17" s="19">
        <f t="shared" si="1"/>
        <v>0</v>
      </c>
      <c r="O17" s="11"/>
      <c r="P17" s="2">
        <f>--30160.48</f>
        <v>30160.48</v>
      </c>
      <c r="Q17" s="2"/>
      <c r="R17" s="19"/>
      <c r="S17" s="2"/>
      <c r="T17" s="2"/>
      <c r="U17" s="2"/>
      <c r="V17" s="19"/>
      <c r="W17" s="2"/>
      <c r="X17" s="2">
        <f t="shared" si="2"/>
        <v>30160.48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--686.63</f>
        <v>686.63</v>
      </c>
      <c r="E19" s="2"/>
      <c r="F19" s="19"/>
      <c r="G19" s="2"/>
      <c r="H19" s="2"/>
      <c r="I19" s="2"/>
      <c r="J19" s="19"/>
      <c r="K19" s="2"/>
      <c r="L19" s="2">
        <f t="shared" si="0"/>
        <v>686.63</v>
      </c>
      <c r="M19" s="2"/>
      <c r="N19" s="19">
        <f t="shared" si="1"/>
        <v>0</v>
      </c>
      <c r="O19" s="11"/>
      <c r="P19" s="2">
        <f>--827.39</f>
        <v>827.39</v>
      </c>
      <c r="Q19" s="2"/>
      <c r="R19" s="19"/>
      <c r="S19" s="2"/>
      <c r="T19" s="2"/>
      <c r="U19" s="2"/>
      <c r="V19" s="19"/>
      <c r="W19" s="2"/>
      <c r="X19" s="2">
        <f t="shared" si="2"/>
        <v>827.39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--171.13</f>
        <v>171.13</v>
      </c>
      <c r="E20" s="2"/>
      <c r="F20" s="19"/>
      <c r="G20" s="2"/>
      <c r="H20" s="2"/>
      <c r="I20" s="2"/>
      <c r="J20" s="19"/>
      <c r="K20" s="2"/>
      <c r="L20" s="2">
        <f t="shared" si="0"/>
        <v>171.13</v>
      </c>
      <c r="M20" s="2"/>
      <c r="N20" s="19">
        <f t="shared" si="1"/>
        <v>0</v>
      </c>
      <c r="O20" s="11"/>
      <c r="P20" s="2">
        <f>--694.22</f>
        <v>694.22</v>
      </c>
      <c r="Q20" s="2"/>
      <c r="R20" s="19"/>
      <c r="S20" s="2"/>
      <c r="T20" s="2"/>
      <c r="U20" s="2"/>
      <c r="V20" s="19"/>
      <c r="W20" s="2"/>
      <c r="X20" s="2">
        <f t="shared" si="2"/>
        <v>694.22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--2.98</f>
        <v>2.98</v>
      </c>
      <c r="E21" s="2"/>
      <c r="F21" s="19"/>
      <c r="G21" s="2"/>
      <c r="H21" s="2"/>
      <c r="I21" s="2"/>
      <c r="J21" s="19"/>
      <c r="K21" s="2"/>
      <c r="L21" s="2">
        <f t="shared" si="0"/>
        <v>2.98</v>
      </c>
      <c r="M21" s="2"/>
      <c r="N21" s="19">
        <f t="shared" si="1"/>
        <v>0</v>
      </c>
      <c r="O21" s="11"/>
      <c r="P21" s="2">
        <f>--225.67</f>
        <v>225.67</v>
      </c>
      <c r="Q21" s="2"/>
      <c r="R21" s="19"/>
      <c r="S21" s="2"/>
      <c r="T21" s="2"/>
      <c r="U21" s="2"/>
      <c r="V21" s="19"/>
      <c r="W21" s="2"/>
      <c r="X21" s="2">
        <f t="shared" si="2"/>
        <v>225.67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--394.68</f>
        <v>394.68</v>
      </c>
      <c r="E22" s="2"/>
      <c r="F22" s="19"/>
      <c r="G22" s="2"/>
      <c r="H22" s="2"/>
      <c r="I22" s="2"/>
      <c r="J22" s="19"/>
      <c r="K22" s="2"/>
      <c r="L22" s="2">
        <f t="shared" si="0"/>
        <v>394.68</v>
      </c>
      <c r="M22" s="2"/>
      <c r="N22" s="19">
        <f t="shared" si="1"/>
        <v>0</v>
      </c>
      <c r="O22" s="11"/>
      <c r="P22" s="2">
        <f>--2454.83</f>
        <v>2454.83</v>
      </c>
      <c r="Q22" s="2"/>
      <c r="R22" s="19"/>
      <c r="S22" s="2"/>
      <c r="T22" s="2"/>
      <c r="U22" s="2"/>
      <c r="V22" s="19"/>
      <c r="W22" s="2"/>
      <c r="X22" s="2">
        <f t="shared" si="2"/>
        <v>2454.83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--14.95</f>
        <v>14.95</v>
      </c>
      <c r="E23" s="2"/>
      <c r="F23" s="19"/>
      <c r="G23" s="2"/>
      <c r="H23" s="2"/>
      <c r="I23" s="2"/>
      <c r="J23" s="19"/>
      <c r="K23" s="2"/>
      <c r="L23" s="2">
        <f t="shared" si="0"/>
        <v>14.95</v>
      </c>
      <c r="M23" s="2"/>
      <c r="N23" s="19">
        <f t="shared" si="1"/>
        <v>0</v>
      </c>
      <c r="O23" s="11"/>
      <c r="P23" s="2">
        <f>--29.9</f>
        <v>29.9</v>
      </c>
      <c r="Q23" s="2"/>
      <c r="R23" s="19"/>
      <c r="S23" s="2"/>
      <c r="T23" s="2"/>
      <c r="U23" s="2"/>
      <c r="V23" s="19"/>
      <c r="W23" s="2"/>
      <c r="X23" s="2">
        <f t="shared" si="2"/>
        <v>29.9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--10035.97</f>
        <v>10035.969999999999</v>
      </c>
      <c r="E24" s="2"/>
      <c r="F24" s="19"/>
      <c r="G24" s="2"/>
      <c r="H24" s="2"/>
      <c r="I24" s="2"/>
      <c r="J24" s="19"/>
      <c r="K24" s="2"/>
      <c r="L24" s="2">
        <f t="shared" si="0"/>
        <v>10035.969999999999</v>
      </c>
      <c r="M24" s="2"/>
      <c r="N24" s="19">
        <f t="shared" si="1"/>
        <v>0</v>
      </c>
      <c r="O24" s="11"/>
      <c r="P24" s="2">
        <f>--26332.04</f>
        <v>26332.04</v>
      </c>
      <c r="Q24" s="2"/>
      <c r="R24" s="19"/>
      <c r="S24" s="2"/>
      <c r="T24" s="2"/>
      <c r="U24" s="2"/>
      <c r="V24" s="19"/>
      <c r="W24" s="2"/>
      <c r="X24" s="2">
        <f t="shared" si="2"/>
        <v>26332.04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--12565.24</f>
        <v>12565.24</v>
      </c>
      <c r="E25" s="2"/>
      <c r="F25" s="19"/>
      <c r="G25" s="2"/>
      <c r="H25" s="2"/>
      <c r="I25" s="2"/>
      <c r="J25" s="19"/>
      <c r="K25" s="2"/>
      <c r="L25" s="2">
        <f t="shared" si="0"/>
        <v>12565.24</v>
      </c>
      <c r="M25" s="2"/>
      <c r="N25" s="19">
        <f t="shared" si="1"/>
        <v>0</v>
      </c>
      <c r="O25" s="11"/>
      <c r="P25" s="2">
        <f>--37064.54</f>
        <v>37064.54</v>
      </c>
      <c r="Q25" s="2"/>
      <c r="R25" s="19"/>
      <c r="S25" s="2"/>
      <c r="T25" s="2"/>
      <c r="U25" s="2"/>
      <c r="V25" s="19"/>
      <c r="W25" s="2"/>
      <c r="X25" s="2">
        <f t="shared" si="2"/>
        <v>37064.54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--20952.95</f>
        <v>20952.95</v>
      </c>
      <c r="E26" s="2"/>
      <c r="F26" s="19"/>
      <c r="G26" s="2"/>
      <c r="H26" s="2"/>
      <c r="I26" s="2"/>
      <c r="J26" s="19"/>
      <c r="K26" s="2"/>
      <c r="L26" s="2">
        <f t="shared" si="0"/>
        <v>20952.95</v>
      </c>
      <c r="M26" s="2"/>
      <c r="N26" s="19">
        <f t="shared" si="1"/>
        <v>0</v>
      </c>
      <c r="O26" s="11"/>
      <c r="P26" s="2">
        <f>--144273.54</f>
        <v>144273.54</v>
      </c>
      <c r="Q26" s="2"/>
      <c r="R26" s="19"/>
      <c r="S26" s="2"/>
      <c r="T26" s="2"/>
      <c r="U26" s="2"/>
      <c r="V26" s="19"/>
      <c r="W26" s="2"/>
      <c r="X26" s="2">
        <f t="shared" si="2"/>
        <v>144273.54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--45836.99</f>
        <v>45836.99</v>
      </c>
      <c r="E27" s="2"/>
      <c r="F27" s="19"/>
      <c r="G27" s="2"/>
      <c r="H27" s="2"/>
      <c r="I27" s="2"/>
      <c r="J27" s="19"/>
      <c r="K27" s="2"/>
      <c r="L27" s="2">
        <f t="shared" si="0"/>
        <v>45836.99</v>
      </c>
      <c r="M27" s="2"/>
      <c r="N27" s="19">
        <f t="shared" si="1"/>
        <v>0</v>
      </c>
      <c r="O27" s="11"/>
      <c r="P27" s="2">
        <f>--146564.67</f>
        <v>146564.67000000001</v>
      </c>
      <c r="Q27" s="2"/>
      <c r="R27" s="19"/>
      <c r="S27" s="2"/>
      <c r="T27" s="2"/>
      <c r="U27" s="2"/>
      <c r="V27" s="19"/>
      <c r="W27" s="2"/>
      <c r="X27" s="2">
        <f t="shared" si="2"/>
        <v>146564.67000000001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--100.46</f>
        <v>100.46</v>
      </c>
      <c r="E28" s="2"/>
      <c r="F28" s="19"/>
      <c r="G28" s="2"/>
      <c r="H28" s="2"/>
      <c r="I28" s="2"/>
      <c r="J28" s="19"/>
      <c r="K28" s="2"/>
      <c r="L28" s="2">
        <f t="shared" si="0"/>
        <v>100.46</v>
      </c>
      <c r="M28" s="2"/>
      <c r="N28" s="19">
        <f t="shared" si="1"/>
        <v>0</v>
      </c>
      <c r="O28" s="11"/>
      <c r="P28" s="2">
        <f>--221.28</f>
        <v>221.28</v>
      </c>
      <c r="Q28" s="2"/>
      <c r="R28" s="19"/>
      <c r="S28" s="2"/>
      <c r="T28" s="2"/>
      <c r="U28" s="2"/>
      <c r="V28" s="19"/>
      <c r="W28" s="2"/>
      <c r="X28" s="2">
        <f t="shared" si="2"/>
        <v>221.28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--32.07</f>
        <v>32.07</v>
      </c>
      <c r="E29" s="2"/>
      <c r="F29" s="19"/>
      <c r="G29" s="2"/>
      <c r="H29" s="2"/>
      <c r="I29" s="2"/>
      <c r="J29" s="19"/>
      <c r="K29" s="2"/>
      <c r="L29" s="2">
        <f t="shared" si="0"/>
        <v>32.07</v>
      </c>
      <c r="M29" s="2"/>
      <c r="N29" s="19">
        <f t="shared" si="1"/>
        <v>0</v>
      </c>
      <c r="O29" s="11"/>
      <c r="P29" s="2">
        <f>--53.42</f>
        <v>53.42</v>
      </c>
      <c r="Q29" s="2"/>
      <c r="R29" s="19"/>
      <c r="S29" s="2"/>
      <c r="T29" s="2"/>
      <c r="U29" s="2"/>
      <c r="V29" s="19"/>
      <c r="W29" s="2"/>
      <c r="X29" s="2">
        <f t="shared" si="2"/>
        <v>53.42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--44.43</f>
        <v>44.43</v>
      </c>
      <c r="E30" s="2"/>
      <c r="F30" s="19"/>
      <c r="G30" s="2"/>
      <c r="H30" s="2"/>
      <c r="I30" s="2"/>
      <c r="J30" s="19"/>
      <c r="K30" s="2"/>
      <c r="L30" s="2">
        <f t="shared" si="0"/>
        <v>44.43</v>
      </c>
      <c r="M30" s="2"/>
      <c r="N30" s="19">
        <f t="shared" si="1"/>
        <v>0</v>
      </c>
      <c r="O30" s="11"/>
      <c r="P30" s="2">
        <f>--85.4</f>
        <v>85.4</v>
      </c>
      <c r="Q30" s="2"/>
      <c r="R30" s="19"/>
      <c r="S30" s="2"/>
      <c r="T30" s="2"/>
      <c r="U30" s="2"/>
      <c r="V30" s="19"/>
      <c r="W30" s="2"/>
      <c r="X30" s="2">
        <f t="shared" si="2"/>
        <v>85.4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--1854.69</f>
        <v>1854.69</v>
      </c>
      <c r="E31" s="2"/>
      <c r="F31" s="19"/>
      <c r="G31" s="2"/>
      <c r="H31" s="2"/>
      <c r="I31" s="2"/>
      <c r="J31" s="19"/>
      <c r="K31" s="2"/>
      <c r="L31" s="2">
        <f t="shared" si="0"/>
        <v>1854.69</v>
      </c>
      <c r="M31" s="2"/>
      <c r="N31" s="19">
        <f t="shared" si="1"/>
        <v>0</v>
      </c>
      <c r="O31" s="11"/>
      <c r="P31" s="2">
        <f>--3714.24</f>
        <v>3714.24</v>
      </c>
      <c r="Q31" s="2"/>
      <c r="R31" s="19"/>
      <c r="S31" s="2"/>
      <c r="T31" s="2"/>
      <c r="U31" s="2"/>
      <c r="V31" s="19"/>
      <c r="W31" s="2"/>
      <c r="X31" s="2">
        <f t="shared" si="2"/>
        <v>3714.24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--425.93</f>
        <v>425.93</v>
      </c>
      <c r="E32" s="2"/>
      <c r="F32" s="19"/>
      <c r="G32" s="2"/>
      <c r="H32" s="2"/>
      <c r="I32" s="2"/>
      <c r="J32" s="19"/>
      <c r="K32" s="2"/>
      <c r="L32" s="2">
        <f t="shared" si="0"/>
        <v>425.93</v>
      </c>
      <c r="M32" s="2"/>
      <c r="N32" s="19">
        <f t="shared" si="1"/>
        <v>0</v>
      </c>
      <c r="O32" s="11"/>
      <c r="P32" s="2">
        <f>--864.36</f>
        <v>864.36</v>
      </c>
      <c r="Q32" s="2"/>
      <c r="R32" s="19"/>
      <c r="S32" s="2"/>
      <c r="T32" s="2"/>
      <c r="U32" s="2"/>
      <c r="V32" s="19"/>
      <c r="W32" s="2"/>
      <c r="X32" s="2">
        <f t="shared" si="2"/>
        <v>864.36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--128.42</f>
        <v>128.41999999999999</v>
      </c>
      <c r="E33" s="2"/>
      <c r="F33" s="19"/>
      <c r="G33" s="2"/>
      <c r="H33" s="2"/>
      <c r="I33" s="2"/>
      <c r="J33" s="19"/>
      <c r="K33" s="2"/>
      <c r="L33" s="2">
        <f t="shared" si="0"/>
        <v>128.41999999999999</v>
      </c>
      <c r="M33" s="2"/>
      <c r="N33" s="19">
        <f t="shared" si="1"/>
        <v>0</v>
      </c>
      <c r="O33" s="11"/>
      <c r="P33" s="2">
        <f>--302.57</f>
        <v>302.57</v>
      </c>
      <c r="Q33" s="2"/>
      <c r="R33" s="19"/>
      <c r="S33" s="2"/>
      <c r="T33" s="2"/>
      <c r="U33" s="2"/>
      <c r="V33" s="19"/>
      <c r="W33" s="2"/>
      <c r="X33" s="2">
        <f t="shared" si="2"/>
        <v>302.57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--215340.93</f>
        <v>215340.93</v>
      </c>
      <c r="E34" s="2"/>
      <c r="F34" s="19"/>
      <c r="G34" s="2"/>
      <c r="H34" s="2"/>
      <c r="I34" s="2"/>
      <c r="J34" s="19"/>
      <c r="K34" s="2"/>
      <c r="L34" s="2">
        <f t="shared" si="0"/>
        <v>215340.93</v>
      </c>
      <c r="M34" s="2"/>
      <c r="N34" s="19">
        <f t="shared" si="1"/>
        <v>0</v>
      </c>
      <c r="O34" s="11"/>
      <c r="P34" s="2">
        <f>--848240.45</f>
        <v>848240.45</v>
      </c>
      <c r="Q34" s="2"/>
      <c r="R34" s="19"/>
      <c r="S34" s="2"/>
      <c r="T34" s="2"/>
      <c r="U34" s="2"/>
      <c r="V34" s="19"/>
      <c r="W34" s="2"/>
      <c r="X34" s="2">
        <f t="shared" si="2"/>
        <v>848240.45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--27181.29</f>
        <v>27181.29</v>
      </c>
      <c r="E35" s="2"/>
      <c r="F35" s="19"/>
      <c r="G35" s="2"/>
      <c r="H35" s="2"/>
      <c r="I35" s="2"/>
      <c r="J35" s="19"/>
      <c r="K35" s="2"/>
      <c r="L35" s="2">
        <f t="shared" si="0"/>
        <v>27181.29</v>
      </c>
      <c r="M35" s="2"/>
      <c r="N35" s="19">
        <f t="shared" si="1"/>
        <v>0</v>
      </c>
      <c r="O35" s="11"/>
      <c r="P35" s="2">
        <f>--228813.9</f>
        <v>228813.9</v>
      </c>
      <c r="Q35" s="2"/>
      <c r="R35" s="19"/>
      <c r="S35" s="2"/>
      <c r="T35" s="2"/>
      <c r="U35" s="2"/>
      <c r="V35" s="19"/>
      <c r="W35" s="2"/>
      <c r="X35" s="2">
        <f t="shared" si="2"/>
        <v>228813.9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--29192.1</f>
        <v>29192.1</v>
      </c>
      <c r="E36" s="2"/>
      <c r="F36" s="19"/>
      <c r="G36" s="2"/>
      <c r="H36" s="2"/>
      <c r="I36" s="2"/>
      <c r="J36" s="19"/>
      <c r="K36" s="2"/>
      <c r="L36" s="2">
        <f t="shared" si="0"/>
        <v>29192.1</v>
      </c>
      <c r="M36" s="2"/>
      <c r="N36" s="19">
        <f t="shared" si="1"/>
        <v>0</v>
      </c>
      <c r="O36" s="11"/>
      <c r="P36" s="2">
        <f>--124310.37</f>
        <v>124310.37</v>
      </c>
      <c r="Q36" s="2"/>
      <c r="R36" s="19"/>
      <c r="S36" s="2"/>
      <c r="T36" s="2"/>
      <c r="U36" s="2"/>
      <c r="V36" s="19"/>
      <c r="W36" s="2"/>
      <c r="X36" s="2">
        <f t="shared" si="2"/>
        <v>124310.37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--63.04</f>
        <v>63.04</v>
      </c>
      <c r="E37" s="2"/>
      <c r="F37" s="19"/>
      <c r="G37" s="2"/>
      <c r="H37" s="2"/>
      <c r="I37" s="2"/>
      <c r="J37" s="19"/>
      <c r="K37" s="2"/>
      <c r="L37" s="2">
        <f t="shared" si="0"/>
        <v>63.04</v>
      </c>
      <c r="M37" s="2"/>
      <c r="N37" s="19">
        <f t="shared" si="1"/>
        <v>0</v>
      </c>
      <c r="O37" s="11"/>
      <c r="P37" s="2">
        <f>--520.85</f>
        <v>520.85</v>
      </c>
      <c r="Q37" s="2"/>
      <c r="R37" s="19"/>
      <c r="S37" s="2"/>
      <c r="T37" s="2"/>
      <c r="U37" s="2"/>
      <c r="V37" s="19"/>
      <c r="W37" s="2"/>
      <c r="X37" s="2">
        <f t="shared" si="2"/>
        <v>520.85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--4838.74</f>
        <v>4838.74</v>
      </c>
      <c r="E38" s="2"/>
      <c r="F38" s="19"/>
      <c r="G38" s="2"/>
      <c r="H38" s="2"/>
      <c r="I38" s="2"/>
      <c r="J38" s="19"/>
      <c r="K38" s="2"/>
      <c r="L38" s="2">
        <f t="shared" si="0"/>
        <v>4838.74</v>
      </c>
      <c r="M38" s="2"/>
      <c r="N38" s="19">
        <f t="shared" si="1"/>
        <v>0</v>
      </c>
      <c r="O38" s="11"/>
      <c r="P38" s="2">
        <f>--33067.15</f>
        <v>33067.15</v>
      </c>
      <c r="Q38" s="2"/>
      <c r="R38" s="19"/>
      <c r="S38" s="2"/>
      <c r="T38" s="2"/>
      <c r="U38" s="2"/>
      <c r="V38" s="19"/>
      <c r="W38" s="2"/>
      <c r="X38" s="2">
        <f t="shared" si="2"/>
        <v>33067.15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--4525.99</f>
        <v>4525.99</v>
      </c>
      <c r="E39" s="2"/>
      <c r="F39" s="19"/>
      <c r="G39" s="2"/>
      <c r="H39" s="2"/>
      <c r="I39" s="2"/>
      <c r="J39" s="19"/>
      <c r="K39" s="2"/>
      <c r="L39" s="2">
        <f t="shared" si="0"/>
        <v>4525.99</v>
      </c>
      <c r="M39" s="2"/>
      <c r="N39" s="19">
        <f t="shared" si="1"/>
        <v>0</v>
      </c>
      <c r="O39" s="11"/>
      <c r="P39" s="2">
        <f>--35853.1</f>
        <v>35853.1</v>
      </c>
      <c r="Q39" s="2"/>
      <c r="R39" s="19"/>
      <c r="S39" s="2"/>
      <c r="T39" s="2"/>
      <c r="U39" s="2"/>
      <c r="V39" s="19"/>
      <c r="W39" s="2"/>
      <c r="X39" s="2">
        <f t="shared" si="2"/>
        <v>35853.1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--402.65</f>
        <v>402.65</v>
      </c>
      <c r="E40" s="2"/>
      <c r="F40" s="19"/>
      <c r="G40" s="2"/>
      <c r="H40" s="2"/>
      <c r="I40" s="2"/>
      <c r="J40" s="19"/>
      <c r="K40" s="2"/>
      <c r="L40" s="2">
        <f t="shared" si="0"/>
        <v>402.65</v>
      </c>
      <c r="M40" s="2"/>
      <c r="N40" s="19">
        <f t="shared" si="1"/>
        <v>0</v>
      </c>
      <c r="O40" s="11"/>
      <c r="P40" s="2">
        <f>--1374</f>
        <v>1374</v>
      </c>
      <c r="Q40" s="2"/>
      <c r="R40" s="19"/>
      <c r="S40" s="2"/>
      <c r="T40" s="2"/>
      <c r="U40" s="2"/>
      <c r="V40" s="19"/>
      <c r="W40" s="2"/>
      <c r="X40" s="2">
        <f t="shared" si="2"/>
        <v>1374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--25652.98</f>
        <v>25652.98</v>
      </c>
      <c r="E41" s="2"/>
      <c r="F41" s="19"/>
      <c r="G41" s="2"/>
      <c r="H41" s="2"/>
      <c r="I41" s="2"/>
      <c r="J41" s="19"/>
      <c r="K41" s="2"/>
      <c r="L41" s="2">
        <f t="shared" si="0"/>
        <v>25652.98</v>
      </c>
      <c r="M41" s="2"/>
      <c r="N41" s="19">
        <f t="shared" si="1"/>
        <v>0</v>
      </c>
      <c r="O41" s="11"/>
      <c r="P41" s="2">
        <f>--215249.72</f>
        <v>215249.72</v>
      </c>
      <c r="Q41" s="2"/>
      <c r="R41" s="19"/>
      <c r="S41" s="2"/>
      <c r="T41" s="2"/>
      <c r="U41" s="2"/>
      <c r="V41" s="19"/>
      <c r="W41" s="2"/>
      <c r="X41" s="2">
        <f t="shared" si="2"/>
        <v>215249.72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--109645.14</f>
        <v>109645.14</v>
      </c>
      <c r="E42" s="2"/>
      <c r="F42" s="19"/>
      <c r="G42" s="2"/>
      <c r="H42" s="2"/>
      <c r="I42" s="2"/>
      <c r="J42" s="19"/>
      <c r="K42" s="2"/>
      <c r="L42" s="2">
        <f t="shared" si="0"/>
        <v>109645.14</v>
      </c>
      <c r="M42" s="2"/>
      <c r="N42" s="19">
        <f t="shared" si="1"/>
        <v>0</v>
      </c>
      <c r="O42" s="11"/>
      <c r="P42" s="2">
        <f>--1148561.63</f>
        <v>1148561.6299999999</v>
      </c>
      <c r="Q42" s="2"/>
      <c r="R42" s="19"/>
      <c r="S42" s="2"/>
      <c r="T42" s="2"/>
      <c r="U42" s="2"/>
      <c r="V42" s="19"/>
      <c r="W42" s="2"/>
      <c r="X42" s="2">
        <f t="shared" si="2"/>
        <v>1148561.6299999999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--12779.9</f>
        <v>12779.9</v>
      </c>
      <c r="E43" s="2"/>
      <c r="F43" s="19"/>
      <c r="G43" s="2"/>
      <c r="H43" s="2"/>
      <c r="I43" s="2"/>
      <c r="J43" s="19"/>
      <c r="K43" s="2"/>
      <c r="L43" s="2">
        <f t="shared" si="0"/>
        <v>12779.9</v>
      </c>
      <c r="M43" s="2"/>
      <c r="N43" s="19">
        <f t="shared" si="1"/>
        <v>0</v>
      </c>
      <c r="O43" s="11"/>
      <c r="P43" s="2">
        <f>--54035.91</f>
        <v>54035.91</v>
      </c>
      <c r="Q43" s="2"/>
      <c r="R43" s="19"/>
      <c r="S43" s="2"/>
      <c r="T43" s="2"/>
      <c r="U43" s="2"/>
      <c r="V43" s="19"/>
      <c r="W43" s="2"/>
      <c r="X43" s="2">
        <f t="shared" si="2"/>
        <v>54035.91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--3913.99</f>
        <v>3913.99</v>
      </c>
      <c r="E45" s="2"/>
      <c r="F45" s="19"/>
      <c r="G45" s="2"/>
      <c r="H45" s="2"/>
      <c r="I45" s="2"/>
      <c r="J45" s="19"/>
      <c r="K45" s="2"/>
      <c r="L45" s="2">
        <f t="shared" si="0"/>
        <v>3913.99</v>
      </c>
      <c r="M45" s="2"/>
      <c r="N45" s="19">
        <f t="shared" si="1"/>
        <v>0</v>
      </c>
      <c r="O45" s="11"/>
      <c r="P45" s="2">
        <f>--4407.94</f>
        <v>4407.9399999999996</v>
      </c>
      <c r="Q45" s="2"/>
      <c r="R45" s="19"/>
      <c r="S45" s="2"/>
      <c r="T45" s="2"/>
      <c r="U45" s="2"/>
      <c r="V45" s="19"/>
      <c r="W45" s="2"/>
      <c r="X45" s="2">
        <f t="shared" si="2"/>
        <v>4407.9399999999996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--6696.06</f>
        <v>6696.06</v>
      </c>
      <c r="E46" s="2"/>
      <c r="F46" s="19"/>
      <c r="G46" s="2"/>
      <c r="H46" s="2"/>
      <c r="I46" s="2"/>
      <c r="J46" s="19"/>
      <c r="K46" s="2"/>
      <c r="L46" s="2">
        <f t="shared" si="0"/>
        <v>6696.06</v>
      </c>
      <c r="M46" s="2"/>
      <c r="N46" s="19">
        <f t="shared" si="1"/>
        <v>0</v>
      </c>
      <c r="O46" s="11"/>
      <c r="P46" s="2">
        <f>--27133.09</f>
        <v>27133.09</v>
      </c>
      <c r="Q46" s="2"/>
      <c r="R46" s="19"/>
      <c r="S46" s="2"/>
      <c r="T46" s="2"/>
      <c r="U46" s="2"/>
      <c r="V46" s="19"/>
      <c r="W46" s="2"/>
      <c r="X46" s="2">
        <f t="shared" si="2"/>
        <v>27133.09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--281.98</f>
        <v>281.98</v>
      </c>
      <c r="E47" s="2"/>
      <c r="F47" s="19"/>
      <c r="G47" s="2"/>
      <c r="H47" s="2"/>
      <c r="I47" s="2"/>
      <c r="J47" s="19"/>
      <c r="K47" s="2"/>
      <c r="L47" s="2">
        <f t="shared" si="0"/>
        <v>281.98</v>
      </c>
      <c r="M47" s="2"/>
      <c r="N47" s="19">
        <f t="shared" si="1"/>
        <v>0</v>
      </c>
      <c r="O47" s="11"/>
      <c r="P47" s="2">
        <f>--817.94</f>
        <v>817.94</v>
      </c>
      <c r="Q47" s="2"/>
      <c r="R47" s="19"/>
      <c r="S47" s="2"/>
      <c r="T47" s="2"/>
      <c r="U47" s="2"/>
      <c r="V47" s="19"/>
      <c r="W47" s="2"/>
      <c r="X47" s="2">
        <f t="shared" si="2"/>
        <v>817.94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--1178.45</f>
        <v>1178.45</v>
      </c>
      <c r="E48" s="2"/>
      <c r="F48" s="19"/>
      <c r="G48" s="2"/>
      <c r="H48" s="2"/>
      <c r="I48" s="2"/>
      <c r="J48" s="19"/>
      <c r="K48" s="2"/>
      <c r="L48" s="2">
        <f t="shared" si="0"/>
        <v>1178.45</v>
      </c>
      <c r="M48" s="2"/>
      <c r="N48" s="19">
        <f t="shared" si="1"/>
        <v>0</v>
      </c>
      <c r="O48" s="11"/>
      <c r="P48" s="2">
        <f>--5051.08</f>
        <v>5051.08</v>
      </c>
      <c r="Q48" s="2"/>
      <c r="R48" s="19"/>
      <c r="S48" s="2"/>
      <c r="T48" s="2"/>
      <c r="U48" s="2"/>
      <c r="V48" s="19"/>
      <c r="W48" s="2"/>
      <c r="X48" s="2">
        <f t="shared" si="2"/>
        <v>5051.08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--43.76</f>
        <v>43.76</v>
      </c>
      <c r="E49" s="2"/>
      <c r="F49" s="19"/>
      <c r="G49" s="2"/>
      <c r="H49" s="2"/>
      <c r="I49" s="2"/>
      <c r="J49" s="19"/>
      <c r="K49" s="2"/>
      <c r="L49" s="2">
        <f t="shared" si="0"/>
        <v>43.76</v>
      </c>
      <c r="M49" s="2"/>
      <c r="N49" s="19">
        <f t="shared" si="1"/>
        <v>0</v>
      </c>
      <c r="O49" s="11"/>
      <c r="P49" s="2">
        <f>--244.61</f>
        <v>244.61</v>
      </c>
      <c r="Q49" s="2"/>
      <c r="R49" s="19"/>
      <c r="S49" s="2"/>
      <c r="T49" s="2"/>
      <c r="U49" s="2"/>
      <c r="V49" s="19"/>
      <c r="W49" s="2"/>
      <c r="X49" s="2">
        <f t="shared" si="2"/>
        <v>244.61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--3713.9</f>
        <v>3713.9</v>
      </c>
      <c r="E50" s="2"/>
      <c r="F50" s="19"/>
      <c r="G50" s="2"/>
      <c r="H50" s="2">
        <v>104581</v>
      </c>
      <c r="I50" s="2"/>
      <c r="J50" s="19"/>
      <c r="K50" s="2"/>
      <c r="L50" s="2">
        <f t="shared" si="0"/>
        <v>-100867.1</v>
      </c>
      <c r="M50" s="2"/>
      <c r="N50" s="19">
        <f t="shared" si="1"/>
        <v>-0.96448781327392175</v>
      </c>
      <c r="O50" s="11"/>
      <c r="P50" s="2">
        <f>--335381.67</f>
        <v>335381.67</v>
      </c>
      <c r="Q50" s="2"/>
      <c r="R50" s="19"/>
      <c r="S50" s="2"/>
      <c r="T50" s="2">
        <v>3350373</v>
      </c>
      <c r="U50" s="2"/>
      <c r="V50" s="19"/>
      <c r="W50" s="2"/>
      <c r="X50" s="2">
        <f t="shared" si="2"/>
        <v>-3014991.33</v>
      </c>
      <c r="Y50" s="2"/>
      <c r="Z50" s="19">
        <f t="shared" si="3"/>
        <v>-0.89989721442955761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--8438.54</f>
        <v>8438.5400000000009</v>
      </c>
      <c r="E51" s="2"/>
      <c r="F51" s="19"/>
      <c r="G51" s="2"/>
      <c r="H51" s="2"/>
      <c r="I51" s="2"/>
      <c r="J51" s="19"/>
      <c r="K51" s="2"/>
      <c r="L51" s="2">
        <f t="shared" si="0"/>
        <v>8438.5400000000009</v>
      </c>
      <c r="M51" s="2"/>
      <c r="N51" s="19">
        <f t="shared" si="1"/>
        <v>0</v>
      </c>
      <c r="O51" s="11"/>
      <c r="P51" s="2">
        <f>--92331.09</f>
        <v>92331.09</v>
      </c>
      <c r="Q51" s="2"/>
      <c r="R51" s="19"/>
      <c r="S51" s="2"/>
      <c r="T51" s="2"/>
      <c r="U51" s="2"/>
      <c r="V51" s="19"/>
      <c r="W51" s="2"/>
      <c r="X51" s="2">
        <f t="shared" si="2"/>
        <v>92331.09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--578.81</f>
        <v>578.80999999999995</v>
      </c>
      <c r="E52" s="2"/>
      <c r="F52" s="19"/>
      <c r="G52" s="2"/>
      <c r="H52" s="2"/>
      <c r="I52" s="2"/>
      <c r="J52" s="19"/>
      <c r="K52" s="2"/>
      <c r="L52" s="2">
        <f t="shared" si="0"/>
        <v>578.80999999999995</v>
      </c>
      <c r="M52" s="2"/>
      <c r="N52" s="19">
        <f t="shared" si="1"/>
        <v>0</v>
      </c>
      <c r="O52" s="11"/>
      <c r="P52" s="2">
        <f>--37022.32</f>
        <v>37022.32</v>
      </c>
      <c r="Q52" s="2"/>
      <c r="R52" s="19"/>
      <c r="S52" s="2"/>
      <c r="T52" s="2"/>
      <c r="U52" s="2"/>
      <c r="V52" s="19"/>
      <c r="W52" s="2"/>
      <c r="X52" s="2">
        <f t="shared" si="2"/>
        <v>37022.32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--329.98</f>
        <v>329.98</v>
      </c>
      <c r="Q53" s="2"/>
      <c r="R53" s="19"/>
      <c r="S53" s="2"/>
      <c r="T53" s="2"/>
      <c r="U53" s="2"/>
      <c r="V53" s="19"/>
      <c r="W53" s="2"/>
      <c r="X53" s="2">
        <f t="shared" si="2"/>
        <v>329.98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--1559.03</f>
        <v>1559.03</v>
      </c>
      <c r="E54" s="2"/>
      <c r="F54" s="19"/>
      <c r="G54" s="2"/>
      <c r="H54" s="2"/>
      <c r="I54" s="2"/>
      <c r="J54" s="19"/>
      <c r="K54" s="2"/>
      <c r="L54" s="2">
        <f t="shared" si="0"/>
        <v>1559.03</v>
      </c>
      <c r="M54" s="2"/>
      <c r="N54" s="19">
        <f t="shared" si="1"/>
        <v>0</v>
      </c>
      <c r="O54" s="11"/>
      <c r="P54" s="2">
        <f>--320492.85</f>
        <v>320492.84999999998</v>
      </c>
      <c r="Q54" s="2"/>
      <c r="R54" s="19"/>
      <c r="S54" s="2"/>
      <c r="T54" s="2"/>
      <c r="U54" s="2"/>
      <c r="V54" s="19"/>
      <c r="W54" s="2"/>
      <c r="X54" s="2">
        <f t="shared" si="2"/>
        <v>320492.84999999998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--757.3</f>
        <v>757.3</v>
      </c>
      <c r="E55" s="2"/>
      <c r="F55" s="19"/>
      <c r="G55" s="2"/>
      <c r="H55" s="2"/>
      <c r="I55" s="2"/>
      <c r="J55" s="19"/>
      <c r="K55" s="2"/>
      <c r="L55" s="2">
        <f t="shared" si="0"/>
        <v>757.3</v>
      </c>
      <c r="M55" s="2"/>
      <c r="N55" s="19">
        <f t="shared" si="1"/>
        <v>0</v>
      </c>
      <c r="O55" s="11"/>
      <c r="P55" s="2">
        <f>--7099.47</f>
        <v>7099.47</v>
      </c>
      <c r="Q55" s="2"/>
      <c r="R55" s="19"/>
      <c r="S55" s="2"/>
      <c r="T55" s="2"/>
      <c r="U55" s="2"/>
      <c r="V55" s="19"/>
      <c r="W55" s="2"/>
      <c r="X55" s="2">
        <f t="shared" si="2"/>
        <v>7099.47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 t="shared" ref="D56:D58" si="4"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/>
      <c r="U56" s="2"/>
      <c r="V56" s="19"/>
      <c r="W56" s="2"/>
      <c r="X56" s="2">
        <f t="shared" si="2"/>
        <v>1146.72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 t="shared" si="4"/>
        <v>0</v>
      </c>
      <c r="E57" s="2"/>
      <c r="F57" s="19"/>
      <c r="G57" s="2"/>
      <c r="H57" s="2"/>
      <c r="I57" s="2"/>
      <c r="J57" s="19"/>
      <c r="K57" s="2"/>
      <c r="L57" s="2">
        <f t="shared" si="0"/>
        <v>0</v>
      </c>
      <c r="M57" s="2"/>
      <c r="N57" s="19">
        <f t="shared" si="1"/>
        <v>0</v>
      </c>
      <c r="O57" s="11"/>
      <c r="P57" s="2">
        <f>--20.92</f>
        <v>20.92</v>
      </c>
      <c r="Q57" s="2"/>
      <c r="R57" s="19"/>
      <c r="S57" s="2"/>
      <c r="T57" s="2"/>
      <c r="U57" s="2"/>
      <c r="V57" s="19"/>
      <c r="W57" s="2"/>
      <c r="X57" s="2">
        <f t="shared" si="2"/>
        <v>20.92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si="4"/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--124.18</f>
        <v>124.18</v>
      </c>
      <c r="Q58" s="2"/>
      <c r="R58" s="19"/>
      <c r="S58" s="2"/>
      <c r="T58" s="2"/>
      <c r="U58" s="2"/>
      <c r="V58" s="19"/>
      <c r="W58" s="2"/>
      <c r="X58" s="2">
        <f t="shared" si="2"/>
        <v>124.18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--115.27</f>
        <v>115.27</v>
      </c>
      <c r="E59" s="2"/>
      <c r="F59" s="19"/>
      <c r="G59" s="2"/>
      <c r="H59" s="2"/>
      <c r="I59" s="2"/>
      <c r="J59" s="19"/>
      <c r="K59" s="2"/>
      <c r="L59" s="2">
        <f t="shared" si="0"/>
        <v>115.27</v>
      </c>
      <c r="M59" s="2"/>
      <c r="N59" s="19">
        <f t="shared" si="1"/>
        <v>0</v>
      </c>
      <c r="O59" s="11"/>
      <c r="P59" s="2">
        <f>--1458.53</f>
        <v>1458.53</v>
      </c>
      <c r="Q59" s="2"/>
      <c r="R59" s="19"/>
      <c r="S59" s="2"/>
      <c r="T59" s="2"/>
      <c r="U59" s="2"/>
      <c r="V59" s="19"/>
      <c r="W59" s="2"/>
      <c r="X59" s="2">
        <f t="shared" si="2"/>
        <v>1458.53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--179.63</f>
        <v>179.63</v>
      </c>
      <c r="E60" s="2"/>
      <c r="F60" s="19"/>
      <c r="G60" s="2"/>
      <c r="H60" s="2"/>
      <c r="I60" s="2"/>
      <c r="J60" s="19"/>
      <c r="K60" s="2"/>
      <c r="L60" s="2">
        <f t="shared" si="0"/>
        <v>179.63</v>
      </c>
      <c r="M60" s="2"/>
      <c r="N60" s="19">
        <f t="shared" si="1"/>
        <v>0</v>
      </c>
      <c r="O60" s="11"/>
      <c r="P60" s="2">
        <f>--2597.12</f>
        <v>2597.12</v>
      </c>
      <c r="Q60" s="2"/>
      <c r="R60" s="19"/>
      <c r="S60" s="2"/>
      <c r="T60" s="2"/>
      <c r="U60" s="2"/>
      <c r="V60" s="19"/>
      <c r="W60" s="2"/>
      <c r="X60" s="2">
        <f t="shared" si="2"/>
        <v>2597.12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--85.82</f>
        <v>85.82</v>
      </c>
      <c r="E61" s="2"/>
      <c r="F61" s="19"/>
      <c r="G61" s="2"/>
      <c r="H61" s="2"/>
      <c r="I61" s="2"/>
      <c r="J61" s="19"/>
      <c r="K61" s="2"/>
      <c r="L61" s="2">
        <f t="shared" si="0"/>
        <v>85.82</v>
      </c>
      <c r="M61" s="2"/>
      <c r="N61" s="19">
        <f t="shared" si="1"/>
        <v>0</v>
      </c>
      <c r="O61" s="11"/>
      <c r="P61" s="2">
        <f>--348.72</f>
        <v>348.72</v>
      </c>
      <c r="Q61" s="2"/>
      <c r="R61" s="19"/>
      <c r="S61" s="2"/>
      <c r="T61" s="2"/>
      <c r="U61" s="2"/>
      <c r="V61" s="19"/>
      <c r="W61" s="2"/>
      <c r="X61" s="2">
        <f t="shared" si="2"/>
        <v>348.72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--13457.13</f>
        <v>13457.13</v>
      </c>
      <c r="E62" s="2"/>
      <c r="F62" s="19"/>
      <c r="G62" s="2"/>
      <c r="H62" s="2"/>
      <c r="I62" s="2"/>
      <c r="J62" s="19"/>
      <c r="K62" s="2"/>
      <c r="L62" s="2">
        <f t="shared" si="0"/>
        <v>13457.13</v>
      </c>
      <c r="M62" s="2"/>
      <c r="N62" s="19">
        <f t="shared" si="1"/>
        <v>0</v>
      </c>
      <c r="O62" s="11"/>
      <c r="P62" s="2">
        <f>--26722.42</f>
        <v>26722.42</v>
      </c>
      <c r="Q62" s="2"/>
      <c r="R62" s="19"/>
      <c r="S62" s="2"/>
      <c r="T62" s="2"/>
      <c r="U62" s="2"/>
      <c r="V62" s="19"/>
      <c r="W62" s="2"/>
      <c r="X62" s="2">
        <f t="shared" si="2"/>
        <v>26722.42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--3958.43</f>
        <v>3958.43</v>
      </c>
      <c r="E63" s="2"/>
      <c r="F63" s="19"/>
      <c r="G63" s="2"/>
      <c r="H63" s="2"/>
      <c r="I63" s="2"/>
      <c r="J63" s="19"/>
      <c r="K63" s="2"/>
      <c r="L63" s="2">
        <f t="shared" si="0"/>
        <v>3958.43</v>
      </c>
      <c r="M63" s="2"/>
      <c r="N63" s="19">
        <f t="shared" si="1"/>
        <v>0</v>
      </c>
      <c r="O63" s="11"/>
      <c r="P63" s="2">
        <f>--7768.8</f>
        <v>7768.8</v>
      </c>
      <c r="Q63" s="2"/>
      <c r="R63" s="19"/>
      <c r="S63" s="2"/>
      <c r="T63" s="2"/>
      <c r="U63" s="2"/>
      <c r="V63" s="19"/>
      <c r="W63" s="2"/>
      <c r="X63" s="2">
        <f t="shared" si="2"/>
        <v>7768.8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--3801.88</f>
        <v>3801.88</v>
      </c>
      <c r="E64" s="2"/>
      <c r="F64" s="19"/>
      <c r="G64" s="2"/>
      <c r="H64" s="2"/>
      <c r="I64" s="2"/>
      <c r="J64" s="19"/>
      <c r="K64" s="2"/>
      <c r="L64" s="2">
        <f t="shared" si="0"/>
        <v>3801.88</v>
      </c>
      <c r="M64" s="2"/>
      <c r="N64" s="19">
        <f t="shared" si="1"/>
        <v>0</v>
      </c>
      <c r="O64" s="11"/>
      <c r="P64" s="2">
        <f>--8466.86</f>
        <v>8466.86</v>
      </c>
      <c r="Q64" s="2"/>
      <c r="R64" s="19"/>
      <c r="S64" s="2"/>
      <c r="T64" s="2"/>
      <c r="U64" s="2"/>
      <c r="V64" s="19"/>
      <c r="W64" s="2"/>
      <c r="X64" s="2">
        <f t="shared" si="2"/>
        <v>8466.86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--17.9</f>
        <v>17.899999999999999</v>
      </c>
      <c r="E65" s="2"/>
      <c r="F65" s="19"/>
      <c r="G65" s="2"/>
      <c r="H65" s="2"/>
      <c r="I65" s="2"/>
      <c r="J65" s="19"/>
      <c r="K65" s="2"/>
      <c r="L65" s="2">
        <f t="shared" si="0"/>
        <v>17.899999999999999</v>
      </c>
      <c r="M65" s="2"/>
      <c r="N65" s="19">
        <f t="shared" si="1"/>
        <v>0</v>
      </c>
      <c r="O65" s="11"/>
      <c r="P65" s="2">
        <f>--103.96</f>
        <v>103.96</v>
      </c>
      <c r="Q65" s="2"/>
      <c r="R65" s="19"/>
      <c r="S65" s="2"/>
      <c r="T65" s="2"/>
      <c r="U65" s="2"/>
      <c r="V65" s="19"/>
      <c r="W65" s="2"/>
      <c r="X65" s="2">
        <f t="shared" si="2"/>
        <v>103.96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--2024.43</f>
        <v>2024.43</v>
      </c>
      <c r="E66" s="2"/>
      <c r="F66" s="19"/>
      <c r="G66" s="2"/>
      <c r="H66" s="2"/>
      <c r="I66" s="2"/>
      <c r="J66" s="19"/>
      <c r="K66" s="2"/>
      <c r="L66" s="2">
        <f t="shared" si="0"/>
        <v>2024.43</v>
      </c>
      <c r="M66" s="2"/>
      <c r="N66" s="19">
        <f t="shared" si="1"/>
        <v>0</v>
      </c>
      <c r="O66" s="11"/>
      <c r="P66" s="2">
        <f>--4265.3</f>
        <v>4265.3</v>
      </c>
      <c r="Q66" s="2"/>
      <c r="R66" s="19"/>
      <c r="S66" s="2"/>
      <c r="T66" s="2"/>
      <c r="U66" s="2"/>
      <c r="V66" s="19"/>
      <c r="W66" s="2"/>
      <c r="X66" s="2">
        <f t="shared" si="2"/>
        <v>4265.3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--4377.82</f>
        <v>4377.82</v>
      </c>
      <c r="E67" s="2"/>
      <c r="F67" s="19"/>
      <c r="G67" s="2"/>
      <c r="H67" s="2"/>
      <c r="I67" s="2"/>
      <c r="J67" s="19"/>
      <c r="K67" s="2"/>
      <c r="L67" s="2">
        <f t="shared" si="0"/>
        <v>4377.82</v>
      </c>
      <c r="M67" s="2"/>
      <c r="N67" s="19">
        <f t="shared" si="1"/>
        <v>0</v>
      </c>
      <c r="O67" s="11"/>
      <c r="P67" s="2">
        <f>--12635.52</f>
        <v>12635.52</v>
      </c>
      <c r="Q67" s="2"/>
      <c r="R67" s="19"/>
      <c r="S67" s="2"/>
      <c r="T67" s="2"/>
      <c r="U67" s="2"/>
      <c r="V67" s="19"/>
      <c r="W67" s="2"/>
      <c r="X67" s="2">
        <f t="shared" si="2"/>
        <v>12635.52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--581.29</f>
        <v>581.29</v>
      </c>
      <c r="E68" s="2"/>
      <c r="F68" s="19"/>
      <c r="G68" s="2"/>
      <c r="H68" s="2"/>
      <c r="I68" s="2"/>
      <c r="J68" s="19"/>
      <c r="K68" s="2"/>
      <c r="L68" s="2">
        <f t="shared" si="0"/>
        <v>581.29</v>
      </c>
      <c r="M68" s="2"/>
      <c r="N68" s="19">
        <f t="shared" si="1"/>
        <v>0</v>
      </c>
      <c r="O68" s="11"/>
      <c r="P68" s="2">
        <f>--1395.93</f>
        <v>1395.93</v>
      </c>
      <c r="Q68" s="2"/>
      <c r="R68" s="19"/>
      <c r="S68" s="2"/>
      <c r="T68" s="2"/>
      <c r="U68" s="2"/>
      <c r="V68" s="19"/>
      <c r="W68" s="2"/>
      <c r="X68" s="2">
        <f t="shared" si="2"/>
        <v>1395.93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--2883.11</f>
        <v>2883.11</v>
      </c>
      <c r="E69" s="2"/>
      <c r="F69" s="19"/>
      <c r="G69" s="2"/>
      <c r="H69" s="2"/>
      <c r="I69" s="2"/>
      <c r="J69" s="19"/>
      <c r="K69" s="2"/>
      <c r="L69" s="2">
        <f t="shared" si="0"/>
        <v>2883.11</v>
      </c>
      <c r="M69" s="2"/>
      <c r="N69" s="19">
        <f t="shared" si="1"/>
        <v>0</v>
      </c>
      <c r="O69" s="11"/>
      <c r="P69" s="2">
        <f>--5919.61</f>
        <v>5919.61</v>
      </c>
      <c r="Q69" s="2"/>
      <c r="R69" s="19"/>
      <c r="S69" s="2"/>
      <c r="T69" s="2"/>
      <c r="U69" s="2"/>
      <c r="V69" s="19"/>
      <c r="W69" s="2"/>
      <c r="X69" s="2">
        <f t="shared" si="2"/>
        <v>5919.61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--71.85</f>
        <v>71.849999999999994</v>
      </c>
      <c r="E70" s="2"/>
      <c r="F70" s="19"/>
      <c r="G70" s="2"/>
      <c r="H70" s="2"/>
      <c r="I70" s="2"/>
      <c r="J70" s="19"/>
      <c r="K70" s="2"/>
      <c r="L70" s="2">
        <f t="shared" si="0"/>
        <v>71.849999999999994</v>
      </c>
      <c r="M70" s="2"/>
      <c r="N70" s="19">
        <f t="shared" si="1"/>
        <v>0</v>
      </c>
      <c r="O70" s="11"/>
      <c r="P70" s="2">
        <f>--211.61</f>
        <v>211.61</v>
      </c>
      <c r="Q70" s="2"/>
      <c r="R70" s="19"/>
      <c r="S70" s="2"/>
      <c r="T70" s="2"/>
      <c r="U70" s="2"/>
      <c r="V70" s="19"/>
      <c r="W70" s="2"/>
      <c r="X70" s="2">
        <f t="shared" si="2"/>
        <v>211.61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--90</f>
        <v>90</v>
      </c>
      <c r="Q71" s="2"/>
      <c r="R71" s="19"/>
      <c r="S71" s="2"/>
      <c r="T71" s="2"/>
      <c r="U71" s="2"/>
      <c r="V71" s="19"/>
      <c r="W71" s="2"/>
      <c r="X71" s="2">
        <f t="shared" si="2"/>
        <v>90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--40316.8</f>
        <v>40316.800000000003</v>
      </c>
      <c r="E72" s="2"/>
      <c r="F72" s="19"/>
      <c r="G72" s="2"/>
      <c r="H72" s="2"/>
      <c r="I72" s="2"/>
      <c r="J72" s="19"/>
      <c r="K72" s="2"/>
      <c r="L72" s="2">
        <f t="shared" si="0"/>
        <v>40316.800000000003</v>
      </c>
      <c r="M72" s="2"/>
      <c r="N72" s="19">
        <f t="shared" si="1"/>
        <v>0</v>
      </c>
      <c r="O72" s="11"/>
      <c r="P72" s="2">
        <f>--90410.3</f>
        <v>90410.3</v>
      </c>
      <c r="Q72" s="2"/>
      <c r="R72" s="19"/>
      <c r="S72" s="2"/>
      <c r="T72" s="2"/>
      <c r="U72" s="2"/>
      <c r="V72" s="19"/>
      <c r="W72" s="2"/>
      <c r="X72" s="2">
        <f t="shared" si="2"/>
        <v>90410.3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-240</f>
        <v>-240</v>
      </c>
      <c r="E73" s="2"/>
      <c r="F73" s="19"/>
      <c r="G73" s="2"/>
      <c r="H73" s="2"/>
      <c r="I73" s="2"/>
      <c r="J73" s="19"/>
      <c r="K73" s="2"/>
      <c r="L73" s="2">
        <f t="shared" si="0"/>
        <v>-240</v>
      </c>
      <c r="M73" s="2"/>
      <c r="N73" s="19">
        <f t="shared" si="1"/>
        <v>0</v>
      </c>
      <c r="O73" s="11"/>
      <c r="P73" s="2">
        <f>--174.9</f>
        <v>174.9</v>
      </c>
      <c r="Q73" s="2"/>
      <c r="R73" s="19"/>
      <c r="S73" s="2"/>
      <c r="T73" s="2"/>
      <c r="U73" s="2"/>
      <c r="V73" s="19"/>
      <c r="W73" s="2"/>
      <c r="X73" s="2">
        <f t="shared" si="2"/>
        <v>174.9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--7.99</f>
        <v>7.99</v>
      </c>
      <c r="E74" s="2"/>
      <c r="F74" s="19"/>
      <c r="G74" s="2"/>
      <c r="H74" s="2"/>
      <c r="I74" s="2"/>
      <c r="J74" s="19"/>
      <c r="K74" s="2"/>
      <c r="L74" s="2">
        <f t="shared" si="0"/>
        <v>7.99</v>
      </c>
      <c r="M74" s="2"/>
      <c r="N74" s="19">
        <f t="shared" si="1"/>
        <v>0</v>
      </c>
      <c r="O74" s="11"/>
      <c r="P74" s="2">
        <f>--1462.51</f>
        <v>1462.51</v>
      </c>
      <c r="Q74" s="2"/>
      <c r="R74" s="19"/>
      <c r="S74" s="2"/>
      <c r="T74" s="2"/>
      <c r="U74" s="2"/>
      <c r="V74" s="19"/>
      <c r="W74" s="2"/>
      <c r="X74" s="2">
        <f t="shared" si="2"/>
        <v>1462.51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--10758</f>
        <v>10758</v>
      </c>
      <c r="E75" s="2"/>
      <c r="F75" s="19"/>
      <c r="G75" s="2"/>
      <c r="H75" s="2"/>
      <c r="I75" s="2"/>
      <c r="J75" s="19"/>
      <c r="K75" s="2"/>
      <c r="L75" s="2">
        <f t="shared" si="0"/>
        <v>10758</v>
      </c>
      <c r="M75" s="2"/>
      <c r="N75" s="19">
        <f t="shared" si="1"/>
        <v>0</v>
      </c>
      <c r="O75" s="11"/>
      <c r="P75" s="2">
        <f>--56560</f>
        <v>56560</v>
      </c>
      <c r="Q75" s="2"/>
      <c r="R75" s="19"/>
      <c r="S75" s="2"/>
      <c r="T75" s="2"/>
      <c r="U75" s="2"/>
      <c r="V75" s="19"/>
      <c r="W75" s="2"/>
      <c r="X75" s="2">
        <f t="shared" si="2"/>
        <v>56560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--1033.81</f>
        <v>1033.81</v>
      </c>
      <c r="E76" s="2"/>
      <c r="F76" s="19"/>
      <c r="G76" s="2"/>
      <c r="H76" s="2"/>
      <c r="I76" s="2"/>
      <c r="J76" s="19"/>
      <c r="K76" s="2"/>
      <c r="L76" s="2">
        <f t="shared" si="0"/>
        <v>1033.81</v>
      </c>
      <c r="M76" s="2"/>
      <c r="N76" s="19">
        <f t="shared" si="1"/>
        <v>0</v>
      </c>
      <c r="O76" s="11"/>
      <c r="P76" s="2">
        <f>--3054.92</f>
        <v>3054.92</v>
      </c>
      <c r="Q76" s="2"/>
      <c r="R76" s="19"/>
      <c r="S76" s="2"/>
      <c r="T76" s="2"/>
      <c r="U76" s="2"/>
      <c r="V76" s="19"/>
      <c r="W76" s="2"/>
      <c r="X76" s="2">
        <f t="shared" si="2"/>
        <v>3054.92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--1522</f>
        <v>1522</v>
      </c>
      <c r="Q77" s="2"/>
      <c r="R77" s="19"/>
      <c r="S77" s="2"/>
      <c r="T77" s="2"/>
      <c r="U77" s="2"/>
      <c r="V77" s="19"/>
      <c r="W77" s="2"/>
      <c r="X77" s="2">
        <f t="shared" si="2"/>
        <v>1522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--1389.95</f>
        <v>1389.95</v>
      </c>
      <c r="E78" s="2"/>
      <c r="F78" s="19"/>
      <c r="G78" s="2"/>
      <c r="H78" s="2"/>
      <c r="I78" s="2"/>
      <c r="J78" s="19"/>
      <c r="K78" s="2"/>
      <c r="L78" s="2">
        <f t="shared" si="0"/>
        <v>1389.95</v>
      </c>
      <c r="M78" s="2"/>
      <c r="N78" s="19">
        <f t="shared" si="1"/>
        <v>0</v>
      </c>
      <c r="O78" s="11"/>
      <c r="P78" s="2">
        <f>--8467.89</f>
        <v>8467.89</v>
      </c>
      <c r="Q78" s="2"/>
      <c r="R78" s="19"/>
      <c r="S78" s="2"/>
      <c r="T78" s="2"/>
      <c r="U78" s="2"/>
      <c r="V78" s="19"/>
      <c r="W78" s="2"/>
      <c r="X78" s="2">
        <f t="shared" si="2"/>
        <v>8467.89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--796.63</f>
        <v>796.63</v>
      </c>
      <c r="E79" s="2"/>
      <c r="F79" s="19"/>
      <c r="G79" s="2"/>
      <c r="H79" s="2"/>
      <c r="I79" s="2"/>
      <c r="J79" s="19"/>
      <c r="K79" s="2"/>
      <c r="L79" s="2">
        <f t="shared" si="0"/>
        <v>796.63</v>
      </c>
      <c r="M79" s="2"/>
      <c r="N79" s="19">
        <f t="shared" si="1"/>
        <v>0</v>
      </c>
      <c r="O79" s="11"/>
      <c r="P79" s="2">
        <f>--1522.41</f>
        <v>1522.41</v>
      </c>
      <c r="Q79" s="2"/>
      <c r="R79" s="19"/>
      <c r="S79" s="2"/>
      <c r="T79" s="2"/>
      <c r="U79" s="2"/>
      <c r="V79" s="19"/>
      <c r="W79" s="2"/>
      <c r="X79" s="2">
        <f t="shared" si="2"/>
        <v>1522.41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/>
      <c r="U80" s="2"/>
      <c r="V80" s="19"/>
      <c r="W80" s="2"/>
      <c r="X80" s="2">
        <f t="shared" si="2"/>
        <v>219.96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-4543.92</f>
        <v>-4543.92</v>
      </c>
      <c r="E81" s="2"/>
      <c r="F81" s="19"/>
      <c r="G81" s="2"/>
      <c r="H81" s="2"/>
      <c r="I81" s="2"/>
      <c r="J81" s="19"/>
      <c r="K81" s="2"/>
      <c r="L81" s="2">
        <f t="shared" si="0"/>
        <v>-4543.92</v>
      </c>
      <c r="M81" s="2"/>
      <c r="N81" s="19">
        <f t="shared" si="1"/>
        <v>0</v>
      </c>
      <c r="O81" s="11"/>
      <c r="P81" s="2">
        <f>-77783.67</f>
        <v>-77783.67</v>
      </c>
      <c r="Q81" s="2"/>
      <c r="R81" s="19"/>
      <c r="S81" s="2"/>
      <c r="T81" s="2"/>
      <c r="U81" s="2"/>
      <c r="V81" s="19"/>
      <c r="W81" s="2"/>
      <c r="X81" s="2">
        <f t="shared" si="2"/>
        <v>-77783.67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-3577.9</f>
        <v>-3577.9</v>
      </c>
      <c r="E82" s="2"/>
      <c r="F82" s="19"/>
      <c r="G82" s="2"/>
      <c r="H82" s="2"/>
      <c r="I82" s="2"/>
      <c r="J82" s="19"/>
      <c r="K82" s="2"/>
      <c r="L82" s="2">
        <f t="shared" si="0"/>
        <v>-3577.9</v>
      </c>
      <c r="M82" s="2"/>
      <c r="N82" s="19">
        <f t="shared" si="1"/>
        <v>0</v>
      </c>
      <c r="O82" s="11"/>
      <c r="P82" s="2">
        <f>-26929</f>
        <v>-26929</v>
      </c>
      <c r="Q82" s="2"/>
      <c r="R82" s="19"/>
      <c r="S82" s="2"/>
      <c r="T82" s="2"/>
      <c r="U82" s="2"/>
      <c r="V82" s="19"/>
      <c r="W82" s="2"/>
      <c r="X82" s="2">
        <f t="shared" si="2"/>
        <v>-26929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/>
      <c r="U83" s="2"/>
      <c r="V83" s="19"/>
      <c r="W83" s="2"/>
      <c r="X83" s="2">
        <f t="shared" si="2"/>
        <v>-144.99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-193.34</f>
        <v>-193.34</v>
      </c>
      <c r="E84" s="2"/>
      <c r="F84" s="19"/>
      <c r="G84" s="2"/>
      <c r="H84" s="2"/>
      <c r="I84" s="2"/>
      <c r="J84" s="19"/>
      <c r="K84" s="2"/>
      <c r="L84" s="2">
        <f t="shared" si="0"/>
        <v>-193.34</v>
      </c>
      <c r="M84" s="2"/>
      <c r="N84" s="19">
        <f t="shared" si="1"/>
        <v>0</v>
      </c>
      <c r="O84" s="11"/>
      <c r="P84" s="2">
        <f>-11250.06</f>
        <v>-11250.06</v>
      </c>
      <c r="Q84" s="2"/>
      <c r="R84" s="19"/>
      <c r="S84" s="2"/>
      <c r="T84" s="2"/>
      <c r="U84" s="2"/>
      <c r="V84" s="19"/>
      <c r="W84" s="2"/>
      <c r="X84" s="2">
        <f t="shared" si="2"/>
        <v>-11250.06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>-35.37</f>
        <v>-35.369999999999997</v>
      </c>
      <c r="E85" s="2"/>
      <c r="F85" s="19"/>
      <c r="G85" s="2"/>
      <c r="H85" s="2"/>
      <c r="I85" s="2"/>
      <c r="J85" s="19"/>
      <c r="K85" s="2"/>
      <c r="L85" s="2">
        <f t="shared" si="0"/>
        <v>-35.369999999999997</v>
      </c>
      <c r="M85" s="2"/>
      <c r="N85" s="19">
        <f t="shared" si="1"/>
        <v>0</v>
      </c>
      <c r="O85" s="11"/>
      <c r="P85" s="2">
        <f>-35.37</f>
        <v>-35.369999999999997</v>
      </c>
      <c r="Q85" s="2"/>
      <c r="R85" s="19"/>
      <c r="S85" s="2"/>
      <c r="T85" s="2"/>
      <c r="U85" s="2"/>
      <c r="V85" s="19"/>
      <c r="W85" s="2"/>
      <c r="X85" s="2">
        <f t="shared" si="2"/>
        <v>-35.369999999999997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>-2.98</f>
        <v>-2.98</v>
      </c>
      <c r="E86" s="2"/>
      <c r="F86" s="19"/>
      <c r="G86" s="2"/>
      <c r="H86" s="2"/>
      <c r="I86" s="2"/>
      <c r="J86" s="19"/>
      <c r="K86" s="2"/>
      <c r="L86" s="2">
        <f t="shared" si="0"/>
        <v>-2.98</v>
      </c>
      <c r="M86" s="2"/>
      <c r="N86" s="19">
        <f t="shared" si="1"/>
        <v>0</v>
      </c>
      <c r="O86" s="11"/>
      <c r="P86" s="2">
        <f>-2.98</f>
        <v>-2.98</v>
      </c>
      <c r="Q86" s="2"/>
      <c r="R86" s="19"/>
      <c r="S86" s="2"/>
      <c r="T86" s="2"/>
      <c r="U86" s="2"/>
      <c r="V86" s="19"/>
      <c r="W86" s="2"/>
      <c r="X86" s="2">
        <f t="shared" si="2"/>
        <v>-2.98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>0</f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-32.75</f>
        <v>-32.75</v>
      </c>
      <c r="Q87" s="2"/>
      <c r="R87" s="19"/>
      <c r="S87" s="2"/>
      <c r="T87" s="2"/>
      <c r="U87" s="2"/>
      <c r="V87" s="19"/>
      <c r="W87" s="2"/>
      <c r="X87" s="2">
        <f t="shared" si="2"/>
        <v>-32.75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>-8.45</f>
        <v>-8.4499999999999993</v>
      </c>
      <c r="E88" s="2"/>
      <c r="F88" s="19"/>
      <c r="G88" s="2"/>
      <c r="H88" s="2"/>
      <c r="I88" s="2"/>
      <c r="J88" s="19"/>
      <c r="K88" s="2"/>
      <c r="L88" s="2">
        <f t="shared" si="0"/>
        <v>-8.4499999999999993</v>
      </c>
      <c r="M88" s="2"/>
      <c r="N88" s="19">
        <f t="shared" si="1"/>
        <v>0</v>
      </c>
      <c r="O88" s="11"/>
      <c r="P88" s="2">
        <f>-41.55</f>
        <v>-41.55</v>
      </c>
      <c r="Q88" s="2"/>
      <c r="R88" s="19"/>
      <c r="S88" s="2"/>
      <c r="T88" s="2"/>
      <c r="U88" s="2"/>
      <c r="V88" s="19"/>
      <c r="W88" s="2"/>
      <c r="X88" s="2">
        <f t="shared" si="2"/>
        <v>-41.55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-166.9</f>
        <v>-166.9</v>
      </c>
      <c r="E89" s="2"/>
      <c r="F89" s="19"/>
      <c r="G89" s="2"/>
      <c r="H89" s="2"/>
      <c r="I89" s="2"/>
      <c r="J89" s="19"/>
      <c r="K89" s="2"/>
      <c r="L89" s="2">
        <f t="shared" si="0"/>
        <v>-166.9</v>
      </c>
      <c r="M89" s="2"/>
      <c r="N89" s="19">
        <f t="shared" si="1"/>
        <v>0</v>
      </c>
      <c r="O89" s="11"/>
      <c r="P89" s="2">
        <f>-475.97</f>
        <v>-475.97</v>
      </c>
      <c r="Q89" s="2"/>
      <c r="R89" s="19"/>
      <c r="S89" s="2"/>
      <c r="T89" s="2"/>
      <c r="U89" s="2"/>
      <c r="V89" s="19"/>
      <c r="W89" s="2"/>
      <c r="X89" s="2">
        <f t="shared" si="2"/>
        <v>-475.97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-324.85</f>
        <v>-324.85000000000002</v>
      </c>
      <c r="E90" s="2"/>
      <c r="F90" s="19"/>
      <c r="G90" s="2"/>
      <c r="H90" s="2"/>
      <c r="I90" s="2"/>
      <c r="J90" s="19"/>
      <c r="K90" s="2"/>
      <c r="L90" s="2">
        <f t="shared" si="0"/>
        <v>-324.85000000000002</v>
      </c>
      <c r="M90" s="2"/>
      <c r="N90" s="19">
        <f t="shared" si="1"/>
        <v>0</v>
      </c>
      <c r="O90" s="11"/>
      <c r="P90" s="2">
        <f>-4826.48</f>
        <v>-4826.4799999999996</v>
      </c>
      <c r="Q90" s="2"/>
      <c r="R90" s="19"/>
      <c r="S90" s="2"/>
      <c r="T90" s="2"/>
      <c r="U90" s="2"/>
      <c r="V90" s="19"/>
      <c r="W90" s="2"/>
      <c r="X90" s="2">
        <f t="shared" si="2"/>
        <v>-4826.4799999999996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>-502.99</f>
        <v>-502.99</v>
      </c>
      <c r="E91" s="2"/>
      <c r="F91" s="19"/>
      <c r="G91" s="2"/>
      <c r="H91" s="2"/>
      <c r="I91" s="2"/>
      <c r="J91" s="19"/>
      <c r="K91" s="2"/>
      <c r="L91" s="2">
        <f t="shared" si="0"/>
        <v>-502.99</v>
      </c>
      <c r="M91" s="2"/>
      <c r="N91" s="19">
        <f t="shared" si="1"/>
        <v>0</v>
      </c>
      <c r="O91" s="11"/>
      <c r="P91" s="2">
        <f>-2430.26</f>
        <v>-2430.2600000000002</v>
      </c>
      <c r="Q91" s="2"/>
      <c r="R91" s="19"/>
      <c r="S91" s="2"/>
      <c r="T91" s="2"/>
      <c r="U91" s="2"/>
      <c r="V91" s="19"/>
      <c r="W91" s="2"/>
      <c r="X91" s="2">
        <f t="shared" si="2"/>
        <v>-2430.2600000000002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"4240", " - ", "SALES RETURN TAXABLE-LOGO CLOT")</f>
        <v xml:space="preserve">          4240 - SALES RETURN TAXABLE-LOGO CLOT</v>
      </c>
      <c r="C92" s="11"/>
      <c r="D92" s="2">
        <f>-9501.82</f>
        <v>-9501.82</v>
      </c>
      <c r="E92" s="2"/>
      <c r="F92" s="19"/>
      <c r="G92" s="2"/>
      <c r="H92" s="2"/>
      <c r="I92" s="2"/>
      <c r="J92" s="19"/>
      <c r="K92" s="2"/>
      <c r="L92" s="2">
        <f t="shared" si="0"/>
        <v>-9501.82</v>
      </c>
      <c r="M92" s="2"/>
      <c r="N92" s="19">
        <f t="shared" si="1"/>
        <v>0</v>
      </c>
      <c r="O92" s="11"/>
      <c r="P92" s="2">
        <f>-30294.8</f>
        <v>-30294.799999999999</v>
      </c>
      <c r="Q92" s="2"/>
      <c r="R92" s="19"/>
      <c r="S92" s="2"/>
      <c r="T92" s="2"/>
      <c r="U92" s="2"/>
      <c r="V92" s="19"/>
      <c r="W92" s="2"/>
      <c r="X92" s="2">
        <f t="shared" si="2"/>
        <v>-30294.799999999999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"4241", " - ", "SALES RETURN TAXABLE-LOGO GIFT")</f>
        <v xml:space="preserve">          4241 - SALES RETURN TAXABLE-LOGO GIFT</v>
      </c>
      <c r="C93" s="11"/>
      <c r="D93" s="2">
        <f>-327.07</f>
        <v>-327.07</v>
      </c>
      <c r="E93" s="2"/>
      <c r="F93" s="19"/>
      <c r="G93" s="2"/>
      <c r="H93" s="2"/>
      <c r="I93" s="2"/>
      <c r="J93" s="19"/>
      <c r="K93" s="2"/>
      <c r="L93" s="2">
        <f t="shared" si="0"/>
        <v>-327.07</v>
      </c>
      <c r="M93" s="2"/>
      <c r="N93" s="19">
        <f t="shared" si="1"/>
        <v>0</v>
      </c>
      <c r="O93" s="11"/>
      <c r="P93" s="2">
        <f>-2717.95</f>
        <v>-2717.95</v>
      </c>
      <c r="Q93" s="2"/>
      <c r="R93" s="19"/>
      <c r="S93" s="2"/>
      <c r="T93" s="2"/>
      <c r="U93" s="2"/>
      <c r="V93" s="19"/>
      <c r="W93" s="2"/>
      <c r="X93" s="2">
        <f t="shared" si="2"/>
        <v>-2717.95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"4242", " - ", "SALES RETURN TAXABLE-EVERYDAY")</f>
        <v xml:space="preserve">          4242 - SALES RETURN TAXABLE-EVERYDAY</v>
      </c>
      <c r="C94" s="11"/>
      <c r="D94" s="2">
        <f>-165.1</f>
        <v>-165.1</v>
      </c>
      <c r="E94" s="2"/>
      <c r="F94" s="19"/>
      <c r="G94" s="2"/>
      <c r="H94" s="2"/>
      <c r="I94" s="2"/>
      <c r="J94" s="19"/>
      <c r="K94" s="2"/>
      <c r="L94" s="2">
        <f t="shared" si="0"/>
        <v>-165.1</v>
      </c>
      <c r="M94" s="2"/>
      <c r="N94" s="19">
        <f t="shared" si="1"/>
        <v>0</v>
      </c>
      <c r="O94" s="11"/>
      <c r="P94" s="2">
        <f>-1159.57</f>
        <v>-1159.57</v>
      </c>
      <c r="Q94" s="2"/>
      <c r="R94" s="19"/>
      <c r="S94" s="2"/>
      <c r="T94" s="2"/>
      <c r="U94" s="2"/>
      <c r="V94" s="19"/>
      <c r="W94" s="2"/>
      <c r="X94" s="2">
        <f t="shared" si="2"/>
        <v>-1159.57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"4243", " - ", "SALES RETURN TAXABLE-CARDS")</f>
        <v xml:space="preserve">          4243 - SALES RETURN TAXABLE-CARDS</v>
      </c>
      <c r="C95" s="11"/>
      <c r="D95" s="2">
        <f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-4.5</f>
        <v>-4.5</v>
      </c>
      <c r="Q95" s="2"/>
      <c r="R95" s="19"/>
      <c r="S95" s="2"/>
      <c r="T95" s="2"/>
      <c r="U95" s="2"/>
      <c r="V95" s="19"/>
      <c r="W95" s="2"/>
      <c r="X95" s="2">
        <f t="shared" si="2"/>
        <v>-4.5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-177.85</f>
        <v>-177.85</v>
      </c>
      <c r="E96" s="2"/>
      <c r="F96" s="19"/>
      <c r="G96" s="2"/>
      <c r="H96" s="2"/>
      <c r="I96" s="2"/>
      <c r="J96" s="19"/>
      <c r="K96" s="2"/>
      <c r="L96" s="2">
        <f t="shared" si="0"/>
        <v>-177.85</v>
      </c>
      <c r="M96" s="2"/>
      <c r="N96" s="19">
        <f t="shared" si="1"/>
        <v>0</v>
      </c>
      <c r="O96" s="11"/>
      <c r="P96" s="2">
        <f>-1432.36</f>
        <v>-1432.36</v>
      </c>
      <c r="Q96" s="2"/>
      <c r="R96" s="19"/>
      <c r="S96" s="2"/>
      <c r="T96" s="2"/>
      <c r="U96" s="2"/>
      <c r="V96" s="19"/>
      <c r="W96" s="2"/>
      <c r="X96" s="2">
        <f t="shared" si="2"/>
        <v>-1432.36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"4245", " - ", "SALES RETURN TAXABLE-SPECIAL O")</f>
        <v xml:space="preserve">          4245 - SALES RETURN TAXABLE-SPECIAL O</v>
      </c>
      <c r="C97" s="11"/>
      <c r="D97" s="2">
        <f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-91.96</f>
        <v>-91.96</v>
      </c>
      <c r="Q97" s="2"/>
      <c r="R97" s="19"/>
      <c r="S97" s="2"/>
      <c r="T97" s="2"/>
      <c r="U97" s="2"/>
      <c r="V97" s="19"/>
      <c r="W97" s="2"/>
      <c r="X97" s="2">
        <f t="shared" si="2"/>
        <v>-91.96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"4281", " - ", "SALES RETURN TAXABLE-ELECTRONI")</f>
        <v xml:space="preserve">          4281 - SALES RETURN TAXABLE-ELECTRONI</v>
      </c>
      <c r="C98" s="11"/>
      <c r="D98" s="2">
        <f>-1301.67</f>
        <v>-1301.67</v>
      </c>
      <c r="E98" s="2"/>
      <c r="F98" s="19"/>
      <c r="G98" s="2"/>
      <c r="H98" s="2"/>
      <c r="I98" s="2"/>
      <c r="J98" s="19"/>
      <c r="K98" s="2"/>
      <c r="L98" s="2">
        <f t="shared" si="0"/>
        <v>-1301.67</v>
      </c>
      <c r="M98" s="2"/>
      <c r="N98" s="19">
        <f t="shared" si="1"/>
        <v>0</v>
      </c>
      <c r="O98" s="11"/>
      <c r="P98" s="2">
        <f>-4601.13</f>
        <v>-4601.13</v>
      </c>
      <c r="Q98" s="2"/>
      <c r="R98" s="19"/>
      <c r="S98" s="2"/>
      <c r="T98" s="2"/>
      <c r="U98" s="2"/>
      <c r="V98" s="19"/>
      <c r="W98" s="2"/>
      <c r="X98" s="2">
        <f t="shared" si="2"/>
        <v>-4601.13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"4282", " - ", "SALES RETURN TAXABLE-COMPUTER")</f>
        <v xml:space="preserve">          4282 - SALES RETURN TAXABLE-COMPUTER</v>
      </c>
      <c r="C99" s="11"/>
      <c r="D99" s="2">
        <f>-22491.01</f>
        <v>-22491.01</v>
      </c>
      <c r="E99" s="2"/>
      <c r="F99" s="19"/>
      <c r="G99" s="2"/>
      <c r="H99" s="2"/>
      <c r="I99" s="2"/>
      <c r="J99" s="19"/>
      <c r="K99" s="2"/>
      <c r="L99" s="2">
        <f t="shared" si="0"/>
        <v>-22491.01</v>
      </c>
      <c r="M99" s="2"/>
      <c r="N99" s="19">
        <f t="shared" si="1"/>
        <v>0</v>
      </c>
      <c r="O99" s="11"/>
      <c r="P99" s="2">
        <f>-170137.86</f>
        <v>-170137.86</v>
      </c>
      <c r="Q99" s="2"/>
      <c r="R99" s="19"/>
      <c r="S99" s="2"/>
      <c r="T99" s="2"/>
      <c r="U99" s="2"/>
      <c r="V99" s="19"/>
      <c r="W99" s="2"/>
      <c r="X99" s="2">
        <f t="shared" si="2"/>
        <v>-170137.86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"4283", " - ", "SALES RETURN TAXABLE-COMPUTER")</f>
        <v xml:space="preserve">          4283 - SALES RETURN TAXABLE-COMPUTER</v>
      </c>
      <c r="C100" s="11"/>
      <c r="D100" s="2">
        <f>-1247.85</f>
        <v>-1247.8499999999999</v>
      </c>
      <c r="E100" s="2"/>
      <c r="F100" s="19"/>
      <c r="G100" s="2"/>
      <c r="H100" s="2"/>
      <c r="I100" s="2"/>
      <c r="J100" s="19"/>
      <c r="K100" s="2"/>
      <c r="L100" s="2">
        <f t="shared" si="0"/>
        <v>-1247.8499999999999</v>
      </c>
      <c r="M100" s="2"/>
      <c r="N100" s="19">
        <f t="shared" si="1"/>
        <v>0</v>
      </c>
      <c r="O100" s="11"/>
      <c r="P100" s="2">
        <f>-2532.33</f>
        <v>-2532.33</v>
      </c>
      <c r="Q100" s="2"/>
      <c r="R100" s="19"/>
      <c r="S100" s="2"/>
      <c r="T100" s="2"/>
      <c r="U100" s="2"/>
      <c r="V100" s="19"/>
      <c r="W100" s="2"/>
      <c r="X100" s="2">
        <f t="shared" si="2"/>
        <v>-2532.33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"4284", " - ", "SALES RETURN TAXABLE-SOFTWARE")</f>
        <v xml:space="preserve">          4284 - SALES RETURN TAXABLE-SOFTWARE</v>
      </c>
      <c r="C101" s="11"/>
      <c r="D101" s="2">
        <f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-129</f>
        <v>-129</v>
      </c>
      <c r="Q101" s="2"/>
      <c r="R101" s="19"/>
      <c r="S101" s="2"/>
      <c r="T101" s="2"/>
      <c r="U101" s="2"/>
      <c r="V101" s="19"/>
      <c r="W101" s="2"/>
      <c r="X101" s="2">
        <f t="shared" si="2"/>
        <v>-129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"4285", " - ", "SALES RETURN TAXABLE-SOFTWARE")</f>
        <v xml:space="preserve">          4285 - SALES RETURN TAXABLE-SOFTWARE</v>
      </c>
      <c r="C102" s="11"/>
      <c r="D102" s="2">
        <f>-248.99</f>
        <v>-248.99</v>
      </c>
      <c r="E102" s="2"/>
      <c r="F102" s="19"/>
      <c r="G102" s="2"/>
      <c r="H102" s="2"/>
      <c r="I102" s="2"/>
      <c r="J102" s="19"/>
      <c r="K102" s="2"/>
      <c r="L102" s="2">
        <f t="shared" si="0"/>
        <v>-248.99</v>
      </c>
      <c r="M102" s="2"/>
      <c r="N102" s="19">
        <f t="shared" si="1"/>
        <v>0</v>
      </c>
      <c r="O102" s="11"/>
      <c r="P102" s="2">
        <f>-655.98</f>
        <v>-655.98</v>
      </c>
      <c r="Q102" s="2"/>
      <c r="R102" s="19"/>
      <c r="S102" s="2"/>
      <c r="T102" s="2"/>
      <c r="U102" s="2"/>
      <c r="V102" s="19"/>
      <c r="W102" s="2"/>
      <c r="X102" s="2">
        <f t="shared" si="2"/>
        <v>-655.98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"4286", " - ", "SALES RETURN TAXABLE-COMPUTER")</f>
        <v xml:space="preserve">          4286 - SALES RETURN TAXABLE-COMPUTER</v>
      </c>
      <c r="C103" s="11"/>
      <c r="D103" s="2">
        <f>-307.86</f>
        <v>-307.86</v>
      </c>
      <c r="E103" s="2"/>
      <c r="F103" s="19"/>
      <c r="G103" s="2"/>
      <c r="H103" s="2"/>
      <c r="I103" s="2"/>
      <c r="J103" s="19"/>
      <c r="K103" s="2"/>
      <c r="L103" s="2">
        <f t="shared" si="0"/>
        <v>-307.86</v>
      </c>
      <c r="M103" s="2"/>
      <c r="N103" s="19">
        <f t="shared" si="1"/>
        <v>0</v>
      </c>
      <c r="O103" s="11"/>
      <c r="P103" s="2">
        <f>-2451.6</f>
        <v>-2451.6</v>
      </c>
      <c r="Q103" s="2"/>
      <c r="R103" s="19"/>
      <c r="S103" s="2"/>
      <c r="T103" s="2"/>
      <c r="U103" s="2"/>
      <c r="V103" s="19"/>
      <c r="W103" s="2"/>
      <c r="X103" s="2">
        <f t="shared" si="2"/>
        <v>-2451.6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"4288", " - ", "TAXABLE SALES RETURN-MUSIC")</f>
        <v xml:space="preserve">          4288 - TAXABLE SALES RETURN-MUSIC</v>
      </c>
      <c r="C104" s="11"/>
      <c r="D104" s="2">
        <f>-3.99</f>
        <v>-3.99</v>
      </c>
      <c r="E104" s="2"/>
      <c r="F104" s="19"/>
      <c r="G104" s="2"/>
      <c r="H104" s="2"/>
      <c r="I104" s="2"/>
      <c r="J104" s="19"/>
      <c r="K104" s="2"/>
      <c r="L104" s="2">
        <f t="shared" si="0"/>
        <v>-3.99</v>
      </c>
      <c r="M104" s="2"/>
      <c r="N104" s="19">
        <f t="shared" si="1"/>
        <v>0</v>
      </c>
      <c r="O104" s="11"/>
      <c r="P104" s="2">
        <f>-3.99</f>
        <v>-3.99</v>
      </c>
      <c r="Q104" s="2"/>
      <c r="R104" s="19"/>
      <c r="S104" s="2"/>
      <c r="T104" s="2"/>
      <c r="U104" s="2"/>
      <c r="V104" s="19"/>
      <c r="W104" s="2"/>
      <c r="X104" s="2">
        <f t="shared" si="2"/>
        <v>-3.99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"4292", " - ", "SALES RETURN TAXABLE-GRAD MERC")</f>
        <v xml:space="preserve">          4292 - SALES RETURN TAXABLE-GRAD MERC</v>
      </c>
      <c r="C105" s="11"/>
      <c r="D105" s="2">
        <f>-39.95</f>
        <v>-39.950000000000003</v>
      </c>
      <c r="E105" s="2"/>
      <c r="F105" s="19"/>
      <c r="G105" s="2"/>
      <c r="H105" s="2"/>
      <c r="I105" s="2"/>
      <c r="J105" s="19"/>
      <c r="K105" s="2"/>
      <c r="L105" s="2">
        <f t="shared" si="0"/>
        <v>-39.950000000000003</v>
      </c>
      <c r="M105" s="2"/>
      <c r="N105" s="19">
        <f t="shared" si="1"/>
        <v>0</v>
      </c>
      <c r="O105" s="11"/>
      <c r="P105" s="2">
        <f>-409.1</f>
        <v>-409.1</v>
      </c>
      <c r="Q105" s="2"/>
      <c r="R105" s="19"/>
      <c r="S105" s="2"/>
      <c r="T105" s="2"/>
      <c r="U105" s="2"/>
      <c r="V105" s="19"/>
      <c r="W105" s="2"/>
      <c r="X105" s="2">
        <f t="shared" si="2"/>
        <v>-409.1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"4295", " - ", "SALES RETURN TAXABLE-CUSTOMER")</f>
        <v xml:space="preserve">          4295 - SALES RETURN TAXABLE-CUSTOMER</v>
      </c>
      <c r="C106" s="11"/>
      <c r="D106" s="2">
        <f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--0.99</f>
        <v>0.99</v>
      </c>
      <c r="Q106" s="2"/>
      <c r="R106" s="19"/>
      <c r="S106" s="2"/>
      <c r="T106" s="2"/>
      <c r="U106" s="2"/>
      <c r="V106" s="19"/>
      <c r="W106" s="2"/>
      <c r="X106" s="2">
        <f t="shared" si="2"/>
        <v>0.99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"4301", " - ", "SALES RETURN NON TAXABLE-NEW T")</f>
        <v xml:space="preserve">          4301 - SALES RETURN NON TAXABLE-NEW T</v>
      </c>
      <c r="C107" s="11"/>
      <c r="D107" s="2">
        <f>-5585.76</f>
        <v>-5585.76</v>
      </c>
      <c r="E107" s="2"/>
      <c r="F107" s="19"/>
      <c r="G107" s="2"/>
      <c r="H107" s="2"/>
      <c r="I107" s="2"/>
      <c r="J107" s="19"/>
      <c r="K107" s="2"/>
      <c r="L107" s="2">
        <f t="shared" si="0"/>
        <v>-5585.76</v>
      </c>
      <c r="M107" s="2"/>
      <c r="N107" s="19">
        <f t="shared" si="1"/>
        <v>0</v>
      </c>
      <c r="O107" s="11"/>
      <c r="P107" s="2">
        <f>-12310.98</f>
        <v>-12310.98</v>
      </c>
      <c r="Q107" s="2"/>
      <c r="R107" s="19"/>
      <c r="S107" s="2"/>
      <c r="T107" s="2"/>
      <c r="U107" s="2"/>
      <c r="V107" s="19"/>
      <c r="W107" s="2"/>
      <c r="X107" s="2">
        <f t="shared" si="2"/>
        <v>-12310.98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"4302", " - ", "SALES RETURN NON TAXABLE-TEXT")</f>
        <v xml:space="preserve">          4302 - SALES RETURN NON TAXABLE-TEXT</v>
      </c>
      <c r="C108" s="11"/>
      <c r="D108" s="2">
        <f>-35.1</f>
        <v>-35.1</v>
      </c>
      <c r="E108" s="2"/>
      <c r="F108" s="19"/>
      <c r="G108" s="2"/>
      <c r="H108" s="2"/>
      <c r="I108" s="2"/>
      <c r="J108" s="19"/>
      <c r="K108" s="2"/>
      <c r="L108" s="2">
        <f t="shared" si="0"/>
        <v>-35.1</v>
      </c>
      <c r="M108" s="2"/>
      <c r="N108" s="19">
        <f t="shared" si="1"/>
        <v>0</v>
      </c>
      <c r="O108" s="11"/>
      <c r="P108" s="2">
        <f>-683.8</f>
        <v>-683.8</v>
      </c>
      <c r="Q108" s="2"/>
      <c r="R108" s="19"/>
      <c r="S108" s="2"/>
      <c r="T108" s="2"/>
      <c r="U108" s="2"/>
      <c r="V108" s="19"/>
      <c r="W108" s="2"/>
      <c r="X108" s="2">
        <f t="shared" si="2"/>
        <v>-683.8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"4303", " - ", "SALES RETURN NON-TAXABLE-RENTA")</f>
        <v xml:space="preserve">          4303 - SALES RETURN NON-TAXABLE-RENTA</v>
      </c>
      <c r="C109" s="11"/>
      <c r="D109" s="2">
        <f>0</f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-184.99</f>
        <v>-184.99</v>
      </c>
      <c r="Q109" s="2"/>
      <c r="R109" s="19"/>
      <c r="S109" s="2"/>
      <c r="T109" s="2"/>
      <c r="U109" s="2"/>
      <c r="V109" s="19"/>
      <c r="W109" s="2"/>
      <c r="X109" s="2">
        <f t="shared" si="2"/>
        <v>-184.99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"4304", " - ", "SALES RETURN NON TAXABLE-DIGIT")</f>
        <v xml:space="preserve">          4304 - SALES RETURN NON TAXABLE-DIGIT</v>
      </c>
      <c r="C110" s="11"/>
      <c r="D110" s="2">
        <f>-617.98</f>
        <v>-617.98</v>
      </c>
      <c r="E110" s="2"/>
      <c r="F110" s="19"/>
      <c r="G110" s="2"/>
      <c r="H110" s="2"/>
      <c r="I110" s="2"/>
      <c r="J110" s="19"/>
      <c r="K110" s="2"/>
      <c r="L110" s="2">
        <f t="shared" si="0"/>
        <v>-617.98</v>
      </c>
      <c r="M110" s="2"/>
      <c r="N110" s="19">
        <f t="shared" si="1"/>
        <v>0</v>
      </c>
      <c r="O110" s="11"/>
      <c r="P110" s="2">
        <f>-13133.29</f>
        <v>-13133.29</v>
      </c>
      <c r="Q110" s="2"/>
      <c r="R110" s="19"/>
      <c r="S110" s="2"/>
      <c r="T110" s="2"/>
      <c r="U110" s="2"/>
      <c r="V110" s="19"/>
      <c r="W110" s="2"/>
      <c r="X110" s="2">
        <f t="shared" si="2"/>
        <v>-13133.29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"4311", " - ", "SALES RETURN NON TAXABLE-NO VA")</f>
        <v xml:space="preserve">          4311 - SALES RETURN NON TAXABLE-NO VA</v>
      </c>
      <c r="C111" s="11"/>
      <c r="D111" s="2">
        <f>-0.02</f>
        <v>-0.02</v>
      </c>
      <c r="E111" s="2"/>
      <c r="F111" s="19"/>
      <c r="G111" s="2"/>
      <c r="H111" s="2"/>
      <c r="I111" s="2"/>
      <c r="J111" s="19"/>
      <c r="K111" s="2"/>
      <c r="L111" s="2">
        <f t="shared" si="0"/>
        <v>-0.02</v>
      </c>
      <c r="M111" s="2"/>
      <c r="N111" s="19">
        <f t="shared" si="1"/>
        <v>0</v>
      </c>
      <c r="O111" s="11"/>
      <c r="P111" s="2">
        <f>-387.96</f>
        <v>-387.96</v>
      </c>
      <c r="Q111" s="2"/>
      <c r="R111" s="19"/>
      <c r="S111" s="2"/>
      <c r="T111" s="2"/>
      <c r="U111" s="2"/>
      <c r="V111" s="19"/>
      <c r="W111" s="2"/>
      <c r="X111" s="2">
        <f t="shared" si="2"/>
        <v>-387.96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"4327", " - ", "SALES RETURN NON TAXABLE-SCHOO")</f>
        <v xml:space="preserve">          4327 - SALES RETURN NON TAXABLE-SCHOO</v>
      </c>
      <c r="C112" s="11"/>
      <c r="D112" s="2">
        <f t="shared" ref="D112:D113" si="5"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-21.87</f>
        <v>-21.87</v>
      </c>
      <c r="Q112" s="2"/>
      <c r="R112" s="19"/>
      <c r="S112" s="2"/>
      <c r="T112" s="2"/>
      <c r="U112" s="2"/>
      <c r="V112" s="19"/>
      <c r="W112" s="2"/>
      <c r="X112" s="2">
        <f t="shared" si="2"/>
        <v>-21.87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"4340", " - ", "SALES RETURN NON TAXABLE-LOGO")</f>
        <v xml:space="preserve">          4340 - SALES RETURN NON TAXABLE-LOGO</v>
      </c>
      <c r="C113" s="11"/>
      <c r="D113" s="2">
        <f t="shared" si="5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-293.45</f>
        <v>-293.45</v>
      </c>
      <c r="Q113" s="2"/>
      <c r="R113" s="19"/>
      <c r="S113" s="2"/>
      <c r="T113" s="2"/>
      <c r="U113" s="2"/>
      <c r="V113" s="19"/>
      <c r="W113" s="2"/>
      <c r="X113" s="2">
        <f t="shared" si="2"/>
        <v>-293.45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"4341", " - ", "SALES RETURN NON TAXABLE-LOGO")</f>
        <v xml:space="preserve">          4341 - SALES RETURN NON TAXABLE-LOGO</v>
      </c>
      <c r="C114" s="11"/>
      <c r="D114" s="2">
        <f>-6.95</f>
        <v>-6.95</v>
      </c>
      <c r="E114" s="2"/>
      <c r="F114" s="19"/>
      <c r="G114" s="2"/>
      <c r="H114" s="2"/>
      <c r="I114" s="2"/>
      <c r="J114" s="19"/>
      <c r="K114" s="2"/>
      <c r="L114" s="2">
        <f t="shared" si="0"/>
        <v>-6.95</v>
      </c>
      <c r="M114" s="2"/>
      <c r="N114" s="19">
        <f t="shared" si="1"/>
        <v>0</v>
      </c>
      <c r="O114" s="11"/>
      <c r="P114" s="2">
        <f>-10.9</f>
        <v>-10.9</v>
      </c>
      <c r="Q114" s="2"/>
      <c r="R114" s="19"/>
      <c r="S114" s="2"/>
      <c r="T114" s="2"/>
      <c r="U114" s="2"/>
      <c r="V114" s="19"/>
      <c r="W114" s="2"/>
      <c r="X114" s="2">
        <f t="shared" si="2"/>
        <v>-10.9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"4342", " - ", "SALES RETURN NON TAXABLE-EVERY")</f>
        <v xml:space="preserve">          4342 - SALES RETURN NON TAXABLE-EVERY</v>
      </c>
      <c r="C115" s="11"/>
      <c r="D115" s="2">
        <f>-92.85</f>
        <v>-92.85</v>
      </c>
      <c r="E115" s="2"/>
      <c r="F115" s="19"/>
      <c r="G115" s="2"/>
      <c r="H115" s="2"/>
      <c r="I115" s="2"/>
      <c r="J115" s="19"/>
      <c r="K115" s="2"/>
      <c r="L115" s="2">
        <f t="shared" si="0"/>
        <v>-92.85</v>
      </c>
      <c r="M115" s="2"/>
      <c r="N115" s="19">
        <f t="shared" si="1"/>
        <v>0</v>
      </c>
      <c r="O115" s="11"/>
      <c r="P115" s="2">
        <f>-102.85</f>
        <v>-102.85</v>
      </c>
      <c r="Q115" s="2"/>
      <c r="R115" s="19"/>
      <c r="S115" s="2"/>
      <c r="T115" s="2"/>
      <c r="U115" s="2"/>
      <c r="V115" s="19"/>
      <c r="W115" s="2"/>
      <c r="X115" s="2">
        <f t="shared" si="2"/>
        <v>-102.85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"4346", " - ", "SALES RETURN NON TAXABLE-COIN-")</f>
        <v xml:space="preserve">          4346 - SALES RETURN NON TAXABLE-COIN-</v>
      </c>
      <c r="C116" s="11"/>
      <c r="D116" s="2">
        <f t="shared" ref="D116:D117" si="6">0</f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-8.15</f>
        <v>-8.15</v>
      </c>
      <c r="Q116" s="2"/>
      <c r="R116" s="19"/>
      <c r="S116" s="2"/>
      <c r="T116" s="2"/>
      <c r="U116" s="2"/>
      <c r="V116" s="19"/>
      <c r="W116" s="2"/>
      <c r="X116" s="2">
        <f t="shared" si="2"/>
        <v>-8.15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"4381", " - ", "SALES RETURN NON TAXABLE-ELECT")</f>
        <v xml:space="preserve">          4381 - SALES RETURN NON TAXABLE-ELECT</v>
      </c>
      <c r="C117" s="11"/>
      <c r="D117" s="2">
        <f t="shared" si="6"/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-1279.84</f>
        <v>-1279.8399999999999</v>
      </c>
      <c r="Q117" s="2"/>
      <c r="R117" s="19"/>
      <c r="S117" s="2"/>
      <c r="T117" s="2"/>
      <c r="U117" s="2"/>
      <c r="V117" s="19"/>
      <c r="W117" s="2"/>
      <c r="X117" s="2">
        <f t="shared" si="2"/>
        <v>-1279.8399999999999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"4383", " - ", "SALES RETURN NON TAXABLE-COMPU")</f>
        <v xml:space="preserve">          4383 - SALES RETURN NON TAXABLE-COMPU</v>
      </c>
      <c r="C118" s="11"/>
      <c r="D118" s="2">
        <f>-24.99</f>
        <v>-24.99</v>
      </c>
      <c r="E118" s="2"/>
      <c r="F118" s="19"/>
      <c r="G118" s="2"/>
      <c r="H118" s="2"/>
      <c r="I118" s="2"/>
      <c r="J118" s="19"/>
      <c r="K118" s="2"/>
      <c r="L118" s="2">
        <f t="shared" si="0"/>
        <v>-24.99</v>
      </c>
      <c r="M118" s="2"/>
      <c r="N118" s="19">
        <f t="shared" si="1"/>
        <v>0</v>
      </c>
      <c r="O118" s="11"/>
      <c r="P118" s="2">
        <f>-49.98</f>
        <v>-49.98</v>
      </c>
      <c r="Q118" s="2"/>
      <c r="R118" s="19"/>
      <c r="S118" s="2"/>
      <c r="T118" s="2"/>
      <c r="U118" s="2"/>
      <c r="V118" s="19"/>
      <c r="W118" s="2"/>
      <c r="X118" s="2">
        <f t="shared" si="2"/>
        <v>-49.98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"4386", " - ", "SALES RETURN NON TAXABLE-COMPU")</f>
        <v xml:space="preserve">          4386 - SALES RETURN NON TAXABLE-COMPU</v>
      </c>
      <c r="C119" s="11"/>
      <c r="D119" s="2">
        <f>-34.98</f>
        <v>-34.979999999999997</v>
      </c>
      <c r="E119" s="2"/>
      <c r="F119" s="19"/>
      <c r="G119" s="2"/>
      <c r="H119" s="2"/>
      <c r="I119" s="2"/>
      <c r="J119" s="19"/>
      <c r="K119" s="2"/>
      <c r="L119" s="2">
        <f t="shared" si="0"/>
        <v>-34.979999999999997</v>
      </c>
      <c r="M119" s="2"/>
      <c r="N119" s="19">
        <f t="shared" si="1"/>
        <v>0</v>
      </c>
      <c r="O119" s="11"/>
      <c r="P119" s="2">
        <f>-54.97</f>
        <v>-54.97</v>
      </c>
      <c r="Q119" s="2"/>
      <c r="R119" s="19"/>
      <c r="S119" s="2"/>
      <c r="T119" s="2"/>
      <c r="U119" s="2"/>
      <c r="V119" s="19"/>
      <c r="W119" s="2"/>
      <c r="X119" s="2">
        <f t="shared" si="2"/>
        <v>-54.97</v>
      </c>
      <c r="Y119" s="2"/>
      <c r="Z119" s="19">
        <f t="shared" si="3"/>
        <v>0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collapsed="1" x14ac:dyDescent="0.25">
      <c r="A121" s="10"/>
      <c r="B121" s="29" t="s">
        <v>8</v>
      </c>
      <c r="C121" s="10"/>
      <c r="D121" s="4">
        <f>SUM(OSRRefD16x_0)</f>
        <v>337011.44999999995</v>
      </c>
      <c r="E121" s="4"/>
      <c r="F121" s="12">
        <f t="shared" ref="F121:F177" si="7">IF(D$12=0,0,D121/D$12)</f>
        <v>0.53918427806141977</v>
      </c>
      <c r="G121" s="4"/>
      <c r="H121" s="4">
        <f>SUM(OSRRefH16x_0)</f>
        <v>314936.45127999998</v>
      </c>
      <c r="I121" s="4"/>
      <c r="J121" s="12">
        <f t="shared" ref="J121:J177" si="8">IF(H$12=0,0,H121/H$12)</f>
        <v>0.50796479671182848</v>
      </c>
      <c r="K121" s="4"/>
      <c r="L121" s="4">
        <f t="shared" ref="L121:L177" si="9">+D121-H121</f>
        <v>22074.998719999974</v>
      </c>
      <c r="M121" s="4"/>
      <c r="N121" s="12">
        <f t="shared" ref="N121:N177" si="10">IF(H121=0,0,L121/H121)</f>
        <v>7.0093501816891293E-2</v>
      </c>
      <c r="O121" s="10"/>
      <c r="P121" s="4">
        <f>SUM(OSRRefP16x_0)</f>
        <v>4015274.2199999988</v>
      </c>
      <c r="Q121" s="4"/>
      <c r="R121" s="12">
        <f t="shared" ref="R121:R177" si="11">IF(P$12=0,0,P121/P$12)</f>
        <v>0.67379181063983618</v>
      </c>
      <c r="S121" s="4"/>
      <c r="T121" s="4">
        <f>SUM(OSRRefT16x_0)</f>
        <v>3829681.7184700002</v>
      </c>
      <c r="U121" s="4"/>
      <c r="V121" s="12">
        <f t="shared" ref="V121:V177" si="12">IF(T$12=0,0,T121/T$12)</f>
        <v>0.63606789556606835</v>
      </c>
      <c r="W121" s="4"/>
      <c r="X121" s="4">
        <f t="shared" ref="X121:X177" si="13">+P121-T121</f>
        <v>185592.50152999861</v>
      </c>
      <c r="Y121" s="4"/>
      <c r="Z121" s="12">
        <f t="shared" ref="Z121:Z177" si="14">IF(T121=0,0,X121/T121)</f>
        <v>4.8461599467891248E-2</v>
      </c>
    </row>
    <row r="122" spans="1:26" s="24" customFormat="1" hidden="1" outlineLevel="1" x14ac:dyDescent="0.25">
      <c r="A122" s="44"/>
      <c r="B122" s="11" t="str">
        <f>CONCATENATE("          ", "5000", " - ", "PURCHASES @ COST")</f>
        <v xml:space="preserve">          5000 - PURCHASES @ COST</v>
      </c>
      <c r="C122" s="11"/>
      <c r="D122" s="2"/>
      <c r="E122" s="2"/>
      <c r="F122" s="19">
        <f t="shared" si="7"/>
        <v>0</v>
      </c>
      <c r="G122" s="2"/>
      <c r="H122" s="2">
        <v>314936.45127999998</v>
      </c>
      <c r="I122" s="2"/>
      <c r="J122" s="19">
        <f t="shared" si="8"/>
        <v>0.50796479671182848</v>
      </c>
      <c r="K122" s="2"/>
      <c r="L122" s="2">
        <f t="shared" si="9"/>
        <v>-314936.45127999998</v>
      </c>
      <c r="M122" s="2"/>
      <c r="N122" s="19">
        <f t="shared" si="10"/>
        <v>-1</v>
      </c>
      <c r="O122" s="11"/>
      <c r="P122" s="2"/>
      <c r="Q122" s="2"/>
      <c r="R122" s="19">
        <f t="shared" si="11"/>
        <v>0</v>
      </c>
      <c r="S122" s="2"/>
      <c r="T122" s="2">
        <v>3829681.7184700002</v>
      </c>
      <c r="U122" s="2"/>
      <c r="V122" s="19">
        <f t="shared" si="12"/>
        <v>0.63606789556606835</v>
      </c>
      <c r="W122" s="2"/>
      <c r="X122" s="2">
        <f t="shared" si="13"/>
        <v>-3829681.7184700002</v>
      </c>
      <c r="Y122" s="2"/>
      <c r="Z122" s="19">
        <f t="shared" si="14"/>
        <v>-1</v>
      </c>
    </row>
    <row r="123" spans="1:26" s="24" customFormat="1" hidden="1" outlineLevel="1" x14ac:dyDescent="0.25">
      <c r="A123" s="44"/>
      <c r="B123" s="11" t="str">
        <f>CONCATENATE("          ", "5001", " - ", "PURCHASES @ COST-NEW TEXT")</f>
        <v xml:space="preserve">          5001 - PURCHASES @ COST-NEW TEXT</v>
      </c>
      <c r="C123" s="11"/>
      <c r="D123" s="2">
        <v>-175502.53</v>
      </c>
      <c r="E123" s="2"/>
      <c r="F123" s="19">
        <f t="shared" si="7"/>
        <v>-0.28078632027488287</v>
      </c>
      <c r="G123" s="2"/>
      <c r="H123" s="2"/>
      <c r="I123" s="2"/>
      <c r="J123" s="19">
        <f t="shared" si="8"/>
        <v>0</v>
      </c>
      <c r="K123" s="2"/>
      <c r="L123" s="2">
        <f t="shared" si="9"/>
        <v>-175502.53</v>
      </c>
      <c r="M123" s="2"/>
      <c r="N123" s="19">
        <f t="shared" si="10"/>
        <v>0</v>
      </c>
      <c r="O123" s="11"/>
      <c r="P123" s="2">
        <v>1757148.42</v>
      </c>
      <c r="Q123" s="2"/>
      <c r="R123" s="19">
        <f t="shared" si="11"/>
        <v>0.29486210669684415</v>
      </c>
      <c r="S123" s="2"/>
      <c r="T123" s="2"/>
      <c r="U123" s="2"/>
      <c r="V123" s="19">
        <f t="shared" si="12"/>
        <v>0</v>
      </c>
      <c r="W123" s="2"/>
      <c r="X123" s="2">
        <f t="shared" si="13"/>
        <v>1757148.42</v>
      </c>
      <c r="Y123" s="2"/>
      <c r="Z123" s="19">
        <f t="shared" si="14"/>
        <v>0</v>
      </c>
    </row>
    <row r="124" spans="1:26" s="24" customFormat="1" hidden="1" outlineLevel="1" x14ac:dyDescent="0.25">
      <c r="A124" s="44"/>
      <c r="B124" s="11" t="str">
        <f>CONCATENATE("          ", "5002", " - ", "PURCHASES @ COST-USED TEXT")</f>
        <v xml:space="preserve">          5002 - PURCHASES @ COST-USED TEXT</v>
      </c>
      <c r="C124" s="11"/>
      <c r="D124" s="2">
        <v>14221.93</v>
      </c>
      <c r="E124" s="2"/>
      <c r="F124" s="19">
        <f t="shared" si="7"/>
        <v>2.2753651425463584E-2</v>
      </c>
      <c r="G124" s="2"/>
      <c r="H124" s="2"/>
      <c r="I124" s="2"/>
      <c r="J124" s="19">
        <f t="shared" si="8"/>
        <v>0</v>
      </c>
      <c r="K124" s="2"/>
      <c r="L124" s="2">
        <f t="shared" si="9"/>
        <v>14221.93</v>
      </c>
      <c r="M124" s="2"/>
      <c r="N124" s="19">
        <f t="shared" si="10"/>
        <v>0</v>
      </c>
      <c r="O124" s="11"/>
      <c r="P124" s="2">
        <v>368033.17</v>
      </c>
      <c r="Q124" s="2"/>
      <c r="R124" s="19">
        <f t="shared" si="11"/>
        <v>6.1758605366140772E-2</v>
      </c>
      <c r="S124" s="2"/>
      <c r="T124" s="2"/>
      <c r="U124" s="2"/>
      <c r="V124" s="19">
        <f t="shared" si="12"/>
        <v>0</v>
      </c>
      <c r="W124" s="2"/>
      <c r="X124" s="2">
        <f t="shared" si="13"/>
        <v>368033.17</v>
      </c>
      <c r="Y124" s="2"/>
      <c r="Z124" s="19">
        <f t="shared" si="14"/>
        <v>0</v>
      </c>
    </row>
    <row r="125" spans="1:26" s="24" customFormat="1" hidden="1" outlineLevel="1" x14ac:dyDescent="0.25">
      <c r="A125" s="44"/>
      <c r="B125" s="11" t="str">
        <f>CONCATENATE("          ", "5003", " - ", "PURCHASES @ COST-RENTAL TEXT")</f>
        <v xml:space="preserve">          5003 - PURCHASES @ COST-RENTAL TEXT</v>
      </c>
      <c r="C125" s="11"/>
      <c r="D125" s="2"/>
      <c r="E125" s="2"/>
      <c r="F125" s="19">
        <f t="shared" si="7"/>
        <v>0</v>
      </c>
      <c r="G125" s="2"/>
      <c r="H125" s="2"/>
      <c r="I125" s="2"/>
      <c r="J125" s="19">
        <f t="shared" si="8"/>
        <v>0</v>
      </c>
      <c r="K125" s="2"/>
      <c r="L125" s="2">
        <f t="shared" si="9"/>
        <v>0</v>
      </c>
      <c r="M125" s="2"/>
      <c r="N125" s="19">
        <f t="shared" si="10"/>
        <v>0</v>
      </c>
      <c r="O125" s="11"/>
      <c r="P125" s="2">
        <v>-78.400000000000006</v>
      </c>
      <c r="Q125" s="2"/>
      <c r="R125" s="19">
        <f t="shared" si="11"/>
        <v>-1.3156082264828024E-5</v>
      </c>
      <c r="S125" s="2"/>
      <c r="T125" s="2"/>
      <c r="U125" s="2"/>
      <c r="V125" s="19">
        <f t="shared" si="12"/>
        <v>0</v>
      </c>
      <c r="W125" s="2"/>
      <c r="X125" s="2">
        <f t="shared" si="13"/>
        <v>-78.400000000000006</v>
      </c>
      <c r="Y125" s="2"/>
      <c r="Z125" s="19">
        <f t="shared" si="14"/>
        <v>0</v>
      </c>
    </row>
    <row r="126" spans="1:26" s="24" customFormat="1" hidden="1" outlineLevel="1" x14ac:dyDescent="0.25">
      <c r="A126" s="44"/>
      <c r="B126" s="11" t="str">
        <f>CONCATENATE("          ", "5004", " - ", "PURCHASES @ COST-DIGITAL TEXT")</f>
        <v xml:space="preserve">          5004 - PURCHASES @ COST-DIGITAL TEXT</v>
      </c>
      <c r="C126" s="11"/>
      <c r="D126" s="2">
        <v>-30949.360000000001</v>
      </c>
      <c r="E126" s="2"/>
      <c r="F126" s="19">
        <f t="shared" si="7"/>
        <v>-4.951584976730905E-2</v>
      </c>
      <c r="G126" s="2"/>
      <c r="H126" s="2"/>
      <c r="I126" s="2"/>
      <c r="J126" s="19">
        <f t="shared" si="8"/>
        <v>0</v>
      </c>
      <c r="K126" s="2"/>
      <c r="L126" s="2">
        <f t="shared" si="9"/>
        <v>-30949.360000000001</v>
      </c>
      <c r="M126" s="2"/>
      <c r="N126" s="19">
        <f t="shared" si="10"/>
        <v>0</v>
      </c>
      <c r="O126" s="11"/>
      <c r="P126" s="2">
        <v>322779.02999999997</v>
      </c>
      <c r="Q126" s="2"/>
      <c r="R126" s="19">
        <f t="shared" si="11"/>
        <v>5.4164636122976936E-2</v>
      </c>
      <c r="S126" s="2"/>
      <c r="T126" s="2"/>
      <c r="U126" s="2"/>
      <c r="V126" s="19">
        <f t="shared" si="12"/>
        <v>0</v>
      </c>
      <c r="W126" s="2"/>
      <c r="X126" s="2">
        <f t="shared" si="13"/>
        <v>322779.02999999997</v>
      </c>
      <c r="Y126" s="2"/>
      <c r="Z126" s="19">
        <f t="shared" si="14"/>
        <v>0</v>
      </c>
    </row>
    <row r="127" spans="1:26" s="24" customFormat="1" hidden="1" outlineLevel="1" x14ac:dyDescent="0.25">
      <c r="A127" s="44"/>
      <c r="B127" s="11" t="str">
        <f>CONCATENATE("          ", "5011", " - ", "PURCHASES @ COST-NO VALUE TEXT")</f>
        <v xml:space="preserve">          5011 - PURCHASES @ COST-NO VALUE TEXT</v>
      </c>
      <c r="C127" s="11"/>
      <c r="D127" s="2">
        <v>90</v>
      </c>
      <c r="E127" s="2"/>
      <c r="F127" s="19">
        <f t="shared" si="7"/>
        <v>1.4399090898996989E-4</v>
      </c>
      <c r="G127" s="2"/>
      <c r="H127" s="2"/>
      <c r="I127" s="2"/>
      <c r="J127" s="19">
        <f t="shared" si="8"/>
        <v>0</v>
      </c>
      <c r="K127" s="2"/>
      <c r="L127" s="2">
        <f t="shared" si="9"/>
        <v>90</v>
      </c>
      <c r="M127" s="2"/>
      <c r="N127" s="19">
        <f t="shared" si="10"/>
        <v>0</v>
      </c>
      <c r="O127" s="11"/>
      <c r="P127" s="2">
        <v>3675</v>
      </c>
      <c r="Q127" s="2"/>
      <c r="R127" s="19">
        <f t="shared" si="11"/>
        <v>6.1669135616381355E-4</v>
      </c>
      <c r="S127" s="2"/>
      <c r="T127" s="2"/>
      <c r="U127" s="2"/>
      <c r="V127" s="19">
        <f t="shared" si="12"/>
        <v>0</v>
      </c>
      <c r="W127" s="2"/>
      <c r="X127" s="2">
        <f t="shared" si="13"/>
        <v>3675</v>
      </c>
      <c r="Y127" s="2"/>
      <c r="Z127" s="19">
        <f t="shared" si="14"/>
        <v>0</v>
      </c>
    </row>
    <row r="128" spans="1:26" s="24" customFormat="1" hidden="1" outlineLevel="1" x14ac:dyDescent="0.25">
      <c r="A128" s="44"/>
      <c r="B128" s="11" t="str">
        <f>CONCATENATE("          ", "5013", " - ", "PURCHASES @ COST-TRADE BOOKS")</f>
        <v xml:space="preserve">          5013 - PURCHASES @ COST-TRADE BOOKS</v>
      </c>
      <c r="C128" s="11"/>
      <c r="D128" s="2">
        <v>212.56</v>
      </c>
      <c r="E128" s="2"/>
      <c r="F128" s="19">
        <f t="shared" si="7"/>
        <v>3.4007452905453331E-4</v>
      </c>
      <c r="G128" s="2"/>
      <c r="H128" s="2"/>
      <c r="I128" s="2"/>
      <c r="J128" s="19">
        <f t="shared" si="8"/>
        <v>0</v>
      </c>
      <c r="K128" s="2"/>
      <c r="L128" s="2">
        <f t="shared" si="9"/>
        <v>212.56</v>
      </c>
      <c r="M128" s="2"/>
      <c r="N128" s="19">
        <f t="shared" si="10"/>
        <v>0</v>
      </c>
      <c r="O128" s="11"/>
      <c r="P128" s="2">
        <v>687.35</v>
      </c>
      <c r="Q128" s="2"/>
      <c r="R128" s="19">
        <f t="shared" si="11"/>
        <v>1.1534225949910131E-4</v>
      </c>
      <c r="S128" s="2"/>
      <c r="T128" s="2"/>
      <c r="U128" s="2"/>
      <c r="V128" s="19">
        <f t="shared" si="12"/>
        <v>0</v>
      </c>
      <c r="W128" s="2"/>
      <c r="X128" s="2">
        <f t="shared" si="13"/>
        <v>687.35</v>
      </c>
      <c r="Y128" s="2"/>
      <c r="Z128" s="19">
        <f t="shared" si="14"/>
        <v>0</v>
      </c>
    </row>
    <row r="129" spans="1:26" s="24" customFormat="1" hidden="1" outlineLevel="1" x14ac:dyDescent="0.25">
      <c r="A129" s="44"/>
      <c r="B129" s="11" t="str">
        <f>CONCATENATE("          ", "5014", " - ", "PURCHASES @ COST-REMAINDERS")</f>
        <v xml:space="preserve">          5014 - PURCHASES @ COST-REMAINDERS</v>
      </c>
      <c r="C129" s="11"/>
      <c r="D129" s="2">
        <v>52</v>
      </c>
      <c r="E129" s="2"/>
      <c r="F129" s="19">
        <f t="shared" si="7"/>
        <v>8.3194747416427038E-5</v>
      </c>
      <c r="G129" s="2"/>
      <c r="H129" s="2"/>
      <c r="I129" s="2"/>
      <c r="J129" s="19">
        <f t="shared" si="8"/>
        <v>0</v>
      </c>
      <c r="K129" s="2"/>
      <c r="L129" s="2">
        <f t="shared" si="9"/>
        <v>52</v>
      </c>
      <c r="M129" s="2"/>
      <c r="N129" s="19">
        <f t="shared" si="10"/>
        <v>0</v>
      </c>
      <c r="O129" s="11"/>
      <c r="P129" s="2">
        <v>341.97</v>
      </c>
      <c r="Q129" s="2"/>
      <c r="R129" s="19">
        <f t="shared" si="11"/>
        <v>5.7385018521724993E-5</v>
      </c>
      <c r="S129" s="2"/>
      <c r="T129" s="2"/>
      <c r="U129" s="2"/>
      <c r="V129" s="19">
        <f t="shared" si="12"/>
        <v>0</v>
      </c>
      <c r="W129" s="2"/>
      <c r="X129" s="2">
        <f t="shared" si="13"/>
        <v>341.97</v>
      </c>
      <c r="Y129" s="2"/>
      <c r="Z129" s="19">
        <f t="shared" si="14"/>
        <v>0</v>
      </c>
    </row>
    <row r="130" spans="1:26" s="24" customFormat="1" hidden="1" outlineLevel="1" x14ac:dyDescent="0.25">
      <c r="A130" s="44"/>
      <c r="B130" s="11" t="str">
        <f>CONCATENATE("          ", "5017", " - ", "PURCHASES @ COST-DORM/HOUSEWAR")</f>
        <v xml:space="preserve">          5017 - PURCHASES @ COST-DORM/HOUSEWAR</v>
      </c>
      <c r="C130" s="11"/>
      <c r="D130" s="2"/>
      <c r="E130" s="2"/>
      <c r="F130" s="19">
        <f t="shared" si="7"/>
        <v>0</v>
      </c>
      <c r="G130" s="2"/>
      <c r="H130" s="2"/>
      <c r="I130" s="2"/>
      <c r="J130" s="19">
        <f t="shared" si="8"/>
        <v>0</v>
      </c>
      <c r="K130" s="2"/>
      <c r="L130" s="2">
        <f t="shared" si="9"/>
        <v>0</v>
      </c>
      <c r="M130" s="2"/>
      <c r="N130" s="19">
        <f t="shared" si="10"/>
        <v>0</v>
      </c>
      <c r="O130" s="11"/>
      <c r="P130" s="2">
        <v>0</v>
      </c>
      <c r="Q130" s="2"/>
      <c r="R130" s="19">
        <f t="shared" si="11"/>
        <v>0</v>
      </c>
      <c r="S130" s="2"/>
      <c r="T130" s="2"/>
      <c r="U130" s="2"/>
      <c r="V130" s="19">
        <f t="shared" si="12"/>
        <v>0</v>
      </c>
      <c r="W130" s="2"/>
      <c r="X130" s="2">
        <f t="shared" si="13"/>
        <v>0</v>
      </c>
      <c r="Y130" s="2"/>
      <c r="Z130" s="19">
        <f t="shared" si="14"/>
        <v>0</v>
      </c>
    </row>
    <row r="131" spans="1:26" s="24" customFormat="1" hidden="1" outlineLevel="1" x14ac:dyDescent="0.25">
      <c r="A131" s="44"/>
      <c r="B131" s="11" t="str">
        <f>CONCATENATE("          ", "5018", " - ", "PURCHASES @ COST-STUDY GUIDES")</f>
        <v xml:space="preserve">          5018 - PURCHASES @ COST-STUDY GUIDES</v>
      </c>
      <c r="C131" s="11"/>
      <c r="D131" s="2">
        <v>298.16000000000003</v>
      </c>
      <c r="E131" s="2"/>
      <c r="F131" s="19">
        <f t="shared" si="7"/>
        <v>4.770258824938825E-4</v>
      </c>
      <c r="G131" s="2"/>
      <c r="H131" s="2"/>
      <c r="I131" s="2"/>
      <c r="J131" s="19">
        <f t="shared" si="8"/>
        <v>0</v>
      </c>
      <c r="K131" s="2"/>
      <c r="L131" s="2">
        <f t="shared" si="9"/>
        <v>298.16000000000003</v>
      </c>
      <c r="M131" s="2"/>
      <c r="N131" s="19">
        <f t="shared" si="10"/>
        <v>0</v>
      </c>
      <c r="O131" s="11"/>
      <c r="P131" s="2">
        <v>802.09</v>
      </c>
      <c r="Q131" s="2"/>
      <c r="R131" s="19">
        <f t="shared" si="11"/>
        <v>1.3459645438515191E-4</v>
      </c>
      <c r="S131" s="2"/>
      <c r="T131" s="2"/>
      <c r="U131" s="2"/>
      <c r="V131" s="19">
        <f t="shared" si="12"/>
        <v>0</v>
      </c>
      <c r="W131" s="2"/>
      <c r="X131" s="2">
        <f t="shared" si="13"/>
        <v>802.09</v>
      </c>
      <c r="Y131" s="2"/>
      <c r="Z131" s="19">
        <f t="shared" si="14"/>
        <v>0</v>
      </c>
    </row>
    <row r="132" spans="1:26" s="24" customFormat="1" hidden="1" outlineLevel="1" x14ac:dyDescent="0.25">
      <c r="A132" s="44"/>
      <c r="B132" s="11" t="str">
        <f>CONCATENATE("          ", "5025", " - ", "PURCHASES @ COST-TEST FORMS")</f>
        <v xml:space="preserve">          5025 - PURCHASES @ COST-TEST FORMS</v>
      </c>
      <c r="C132" s="11"/>
      <c r="D132" s="2">
        <v>0</v>
      </c>
      <c r="E132" s="2"/>
      <c r="F132" s="19">
        <f t="shared" si="7"/>
        <v>0</v>
      </c>
      <c r="G132" s="2"/>
      <c r="H132" s="2"/>
      <c r="I132" s="2"/>
      <c r="J132" s="19">
        <f t="shared" si="8"/>
        <v>0</v>
      </c>
      <c r="K132" s="2"/>
      <c r="L132" s="2">
        <f t="shared" si="9"/>
        <v>0</v>
      </c>
      <c r="M132" s="2"/>
      <c r="N132" s="19">
        <f t="shared" si="10"/>
        <v>0</v>
      </c>
      <c r="O132" s="11"/>
      <c r="P132" s="2">
        <v>3252.39</v>
      </c>
      <c r="Q132" s="2"/>
      <c r="R132" s="19">
        <f t="shared" si="11"/>
        <v>5.4577436731255121E-4</v>
      </c>
      <c r="S132" s="2"/>
      <c r="T132" s="2"/>
      <c r="U132" s="2"/>
      <c r="V132" s="19">
        <f t="shared" si="12"/>
        <v>0</v>
      </c>
      <c r="W132" s="2"/>
      <c r="X132" s="2">
        <f t="shared" si="13"/>
        <v>3252.39</v>
      </c>
      <c r="Y132" s="2"/>
      <c r="Z132" s="19">
        <f t="shared" si="14"/>
        <v>0</v>
      </c>
    </row>
    <row r="133" spans="1:26" s="24" customFormat="1" hidden="1" outlineLevel="1" x14ac:dyDescent="0.25">
      <c r="A133" s="44"/>
      <c r="B133" s="11" t="str">
        <f>CONCATENATE("          ", "5026", " - ", "PURCHASES @ COST-WRITING INSTR")</f>
        <v xml:space="preserve">          5026 - PURCHASES @ COST-WRITING INSTR</v>
      </c>
      <c r="C133" s="11"/>
      <c r="D133" s="2">
        <v>10530.19</v>
      </c>
      <c r="E133" s="2"/>
      <c r="F133" s="19">
        <f t="shared" si="7"/>
        <v>1.6847240332634347E-2</v>
      </c>
      <c r="G133" s="2"/>
      <c r="H133" s="2"/>
      <c r="I133" s="2"/>
      <c r="J133" s="19">
        <f t="shared" si="8"/>
        <v>0</v>
      </c>
      <c r="K133" s="2"/>
      <c r="L133" s="2">
        <f t="shared" si="9"/>
        <v>10530.19</v>
      </c>
      <c r="M133" s="2"/>
      <c r="N133" s="19">
        <f t="shared" si="10"/>
        <v>0</v>
      </c>
      <c r="O133" s="11"/>
      <c r="P133" s="2">
        <v>25317.57</v>
      </c>
      <c r="Q133" s="2"/>
      <c r="R133" s="19">
        <f t="shared" si="11"/>
        <v>4.2484698171625255E-3</v>
      </c>
      <c r="S133" s="2"/>
      <c r="T133" s="2"/>
      <c r="U133" s="2"/>
      <c r="V133" s="19">
        <f t="shared" si="12"/>
        <v>0</v>
      </c>
      <c r="W133" s="2"/>
      <c r="X133" s="2">
        <f t="shared" si="13"/>
        <v>25317.57</v>
      </c>
      <c r="Y133" s="2"/>
      <c r="Z133" s="19">
        <f t="shared" si="14"/>
        <v>0</v>
      </c>
    </row>
    <row r="134" spans="1:26" s="24" customFormat="1" hidden="1" outlineLevel="1" x14ac:dyDescent="0.25">
      <c r="A134" s="44"/>
      <c r="B134" s="11" t="str">
        <f>CONCATENATE("          ", "5027", " - ", "PURCHASES @ COST-SCHOOL SUPPLI")</f>
        <v xml:space="preserve">          5027 - PURCHASES @ COST-SCHOOL SUPPLI</v>
      </c>
      <c r="C134" s="11"/>
      <c r="D134" s="2">
        <v>9839.7000000000007</v>
      </c>
      <c r="E134" s="2"/>
      <c r="F134" s="19">
        <f t="shared" si="7"/>
        <v>1.574252607987341E-2</v>
      </c>
      <c r="G134" s="2"/>
      <c r="H134" s="2"/>
      <c r="I134" s="2"/>
      <c r="J134" s="19">
        <f t="shared" si="8"/>
        <v>0</v>
      </c>
      <c r="K134" s="2"/>
      <c r="L134" s="2">
        <f t="shared" si="9"/>
        <v>9839.7000000000007</v>
      </c>
      <c r="M134" s="2"/>
      <c r="N134" s="19">
        <f t="shared" si="10"/>
        <v>0</v>
      </c>
      <c r="O134" s="11"/>
      <c r="P134" s="2">
        <v>72022.38</v>
      </c>
      <c r="Q134" s="2"/>
      <c r="R134" s="19">
        <f t="shared" si="11"/>
        <v>1.2085871890162048E-2</v>
      </c>
      <c r="S134" s="2"/>
      <c r="T134" s="2"/>
      <c r="U134" s="2"/>
      <c r="V134" s="19">
        <f t="shared" si="12"/>
        <v>0</v>
      </c>
      <c r="W134" s="2"/>
      <c r="X134" s="2">
        <f t="shared" si="13"/>
        <v>72022.38</v>
      </c>
      <c r="Y134" s="2"/>
      <c r="Z134" s="19">
        <f t="shared" si="14"/>
        <v>0</v>
      </c>
    </row>
    <row r="135" spans="1:26" s="24" customFormat="1" hidden="1" outlineLevel="1" x14ac:dyDescent="0.25">
      <c r="A135" s="44"/>
      <c r="B135" s="11" t="str">
        <f>CONCATENATE("          ", "5028", " - ", "PURCHASES @ COST-ART/TECH")</f>
        <v xml:space="preserve">          5028 - PURCHASES @ COST-ART/TECH</v>
      </c>
      <c r="C135" s="11"/>
      <c r="D135" s="2">
        <v>19494.289999999997</v>
      </c>
      <c r="E135" s="2"/>
      <c r="F135" s="19">
        <f t="shared" si="7"/>
        <v>3.1188894857934218E-2</v>
      </c>
      <c r="G135" s="2"/>
      <c r="H135" s="2"/>
      <c r="I135" s="2"/>
      <c r="J135" s="19">
        <f t="shared" si="8"/>
        <v>0</v>
      </c>
      <c r="K135" s="2"/>
      <c r="L135" s="2">
        <f t="shared" si="9"/>
        <v>19494.289999999997</v>
      </c>
      <c r="M135" s="2"/>
      <c r="N135" s="19">
        <f t="shared" si="10"/>
        <v>0</v>
      </c>
      <c r="O135" s="11"/>
      <c r="P135" s="2">
        <v>90339.069999999992</v>
      </c>
      <c r="Q135" s="2"/>
      <c r="R135" s="19">
        <f t="shared" si="11"/>
        <v>1.5159543834796648E-2</v>
      </c>
      <c r="S135" s="2"/>
      <c r="T135" s="2"/>
      <c r="U135" s="2"/>
      <c r="V135" s="19">
        <f t="shared" si="12"/>
        <v>0</v>
      </c>
      <c r="W135" s="2"/>
      <c r="X135" s="2">
        <f t="shared" si="13"/>
        <v>90339.069999999992</v>
      </c>
      <c r="Y135" s="2"/>
      <c r="Z135" s="19">
        <f t="shared" si="14"/>
        <v>0</v>
      </c>
    </row>
    <row r="136" spans="1:26" s="24" customFormat="1" hidden="1" outlineLevel="1" x14ac:dyDescent="0.25">
      <c r="A136" s="44"/>
      <c r="B136" s="11" t="str">
        <f>CONCATENATE("          ", "5031", " - ", "PURCHASES @ COST-FOOD")</f>
        <v xml:space="preserve">          5031 - PURCHASES @ COST-FOOD</v>
      </c>
      <c r="C136" s="11"/>
      <c r="D136" s="2">
        <v>7839.04</v>
      </c>
      <c r="E136" s="2"/>
      <c r="F136" s="19">
        <f t="shared" si="7"/>
        <v>1.2541672168985928E-2</v>
      </c>
      <c r="G136" s="2"/>
      <c r="H136" s="2"/>
      <c r="I136" s="2"/>
      <c r="J136" s="19">
        <f t="shared" si="8"/>
        <v>0</v>
      </c>
      <c r="K136" s="2"/>
      <c r="L136" s="2">
        <f t="shared" si="9"/>
        <v>7839.04</v>
      </c>
      <c r="M136" s="2"/>
      <c r="N136" s="19">
        <f t="shared" si="10"/>
        <v>0</v>
      </c>
      <c r="O136" s="11"/>
      <c r="P136" s="2">
        <v>15989.089999999998</v>
      </c>
      <c r="Q136" s="2"/>
      <c r="R136" s="19">
        <f t="shared" si="11"/>
        <v>2.6830839716803453E-3</v>
      </c>
      <c r="S136" s="2"/>
      <c r="T136" s="2"/>
      <c r="U136" s="2"/>
      <c r="V136" s="19">
        <f t="shared" si="12"/>
        <v>0</v>
      </c>
      <c r="W136" s="2"/>
      <c r="X136" s="2">
        <f t="shared" si="13"/>
        <v>15989.089999999998</v>
      </c>
      <c r="Y136" s="2"/>
      <c r="Z136" s="19">
        <f t="shared" si="14"/>
        <v>0</v>
      </c>
    </row>
    <row r="137" spans="1:26" s="24" customFormat="1" hidden="1" outlineLevel="1" x14ac:dyDescent="0.25">
      <c r="A137" s="44"/>
      <c r="B137" s="11" t="str">
        <f>CONCATENATE("          ", "5032", " - ", "PURCHASES @ COST-JUICE")</f>
        <v xml:space="preserve">          5032 - PURCHASES @ COST-JUICE</v>
      </c>
      <c r="C137" s="11"/>
      <c r="D137" s="2">
        <v>2565.13</v>
      </c>
      <c r="E137" s="2"/>
      <c r="F137" s="19">
        <f t="shared" si="7"/>
        <v>4.103948893082683E-3</v>
      </c>
      <c r="G137" s="2"/>
      <c r="H137" s="2"/>
      <c r="I137" s="2"/>
      <c r="J137" s="19">
        <f t="shared" si="8"/>
        <v>0</v>
      </c>
      <c r="K137" s="2"/>
      <c r="L137" s="2">
        <f t="shared" si="9"/>
        <v>2565.13</v>
      </c>
      <c r="M137" s="2"/>
      <c r="N137" s="19">
        <f t="shared" si="10"/>
        <v>0</v>
      </c>
      <c r="O137" s="11"/>
      <c r="P137" s="2">
        <v>3384.28</v>
      </c>
      <c r="Q137" s="2"/>
      <c r="R137" s="19">
        <f t="shared" si="11"/>
        <v>5.6790645519403293E-4</v>
      </c>
      <c r="S137" s="2"/>
      <c r="T137" s="2"/>
      <c r="U137" s="2"/>
      <c r="V137" s="19">
        <f t="shared" si="12"/>
        <v>0</v>
      </c>
      <c r="W137" s="2"/>
      <c r="X137" s="2">
        <f t="shared" si="13"/>
        <v>3384.28</v>
      </c>
      <c r="Y137" s="2"/>
      <c r="Z137" s="19">
        <f t="shared" si="14"/>
        <v>0</v>
      </c>
    </row>
    <row r="138" spans="1:26" s="24" customFormat="1" hidden="1" outlineLevel="1" x14ac:dyDescent="0.25">
      <c r="A138" s="44"/>
      <c r="B138" s="11" t="str">
        <f>CONCATENATE("          ", "5033", " - ", "PURCHASES @ COST-CANDY")</f>
        <v xml:space="preserve">          5033 - PURCHASES @ COST-CANDY</v>
      </c>
      <c r="C138" s="11"/>
      <c r="D138" s="2">
        <v>2102.09</v>
      </c>
      <c r="E138" s="2"/>
      <c r="F138" s="19">
        <f t="shared" si="7"/>
        <v>3.3631316653191757E-3</v>
      </c>
      <c r="G138" s="2"/>
      <c r="H138" s="2"/>
      <c r="I138" s="2"/>
      <c r="J138" s="19">
        <f t="shared" si="8"/>
        <v>0</v>
      </c>
      <c r="K138" s="2"/>
      <c r="L138" s="2">
        <f t="shared" si="9"/>
        <v>2102.09</v>
      </c>
      <c r="M138" s="2"/>
      <c r="N138" s="19">
        <f t="shared" si="10"/>
        <v>0</v>
      </c>
      <c r="O138" s="11"/>
      <c r="P138" s="2">
        <v>4455.2</v>
      </c>
      <c r="Q138" s="2"/>
      <c r="R138" s="19">
        <f t="shared" si="11"/>
        <v>7.4761451155946185E-4</v>
      </c>
      <c r="S138" s="2"/>
      <c r="T138" s="2"/>
      <c r="U138" s="2"/>
      <c r="V138" s="19">
        <f t="shared" si="12"/>
        <v>0</v>
      </c>
      <c r="W138" s="2"/>
      <c r="X138" s="2">
        <f t="shared" si="13"/>
        <v>4455.2</v>
      </c>
      <c r="Y138" s="2"/>
      <c r="Z138" s="19">
        <f t="shared" si="14"/>
        <v>0</v>
      </c>
    </row>
    <row r="139" spans="1:26" s="24" customFormat="1" hidden="1" outlineLevel="1" x14ac:dyDescent="0.25">
      <c r="A139" s="44"/>
      <c r="B139" s="11" t="str">
        <f>CONCATENATE("          ", "5034", " - ", "PURCHASES @ COST-SODA")</f>
        <v xml:space="preserve">          5034 - PURCHASES @ COST-SODA</v>
      </c>
      <c r="C139" s="11"/>
      <c r="D139" s="2">
        <v>876</v>
      </c>
      <c r="E139" s="2"/>
      <c r="F139" s="19">
        <f t="shared" si="7"/>
        <v>1.4015115141690403E-3</v>
      </c>
      <c r="G139" s="2"/>
      <c r="H139" s="2"/>
      <c r="I139" s="2"/>
      <c r="J139" s="19">
        <f t="shared" si="8"/>
        <v>0</v>
      </c>
      <c r="K139" s="2"/>
      <c r="L139" s="2">
        <f t="shared" si="9"/>
        <v>876</v>
      </c>
      <c r="M139" s="2"/>
      <c r="N139" s="19">
        <f t="shared" si="10"/>
        <v>0</v>
      </c>
      <c r="O139" s="11"/>
      <c r="P139" s="2">
        <v>1494.54</v>
      </c>
      <c r="Q139" s="2"/>
      <c r="R139" s="19">
        <f t="shared" si="11"/>
        <v>2.5079453046015398E-4</v>
      </c>
      <c r="S139" s="2"/>
      <c r="T139" s="2"/>
      <c r="U139" s="2"/>
      <c r="V139" s="19">
        <f t="shared" si="12"/>
        <v>0</v>
      </c>
      <c r="W139" s="2"/>
      <c r="X139" s="2">
        <f t="shared" si="13"/>
        <v>1494.54</v>
      </c>
      <c r="Y139" s="2"/>
      <c r="Z139" s="19">
        <f t="shared" si="14"/>
        <v>0</v>
      </c>
    </row>
    <row r="140" spans="1:26" s="24" customFormat="1" hidden="1" outlineLevel="1" x14ac:dyDescent="0.25">
      <c r="A140" s="44"/>
      <c r="B140" s="11" t="str">
        <f>CONCATENATE("          ", "5035", " - ", "PURCHASES @ COST-HEALTH &amp; BEAU")</f>
        <v xml:space="preserve">          5035 - PURCHASES @ COST-HEALTH &amp; BEAU</v>
      </c>
      <c r="C140" s="11"/>
      <c r="D140" s="2">
        <v>291.13</v>
      </c>
      <c r="E140" s="2"/>
      <c r="F140" s="19">
        <f t="shared" si="7"/>
        <v>4.6577859260277704E-4</v>
      </c>
      <c r="G140" s="2"/>
      <c r="H140" s="2"/>
      <c r="I140" s="2"/>
      <c r="J140" s="19">
        <f t="shared" si="8"/>
        <v>0</v>
      </c>
      <c r="K140" s="2"/>
      <c r="L140" s="2">
        <f t="shared" si="9"/>
        <v>291.13</v>
      </c>
      <c r="M140" s="2"/>
      <c r="N140" s="19">
        <f t="shared" si="10"/>
        <v>0</v>
      </c>
      <c r="O140" s="11"/>
      <c r="P140" s="2">
        <v>578.69000000000005</v>
      </c>
      <c r="Q140" s="2"/>
      <c r="R140" s="19">
        <f t="shared" si="11"/>
        <v>9.7108332217261858E-5</v>
      </c>
      <c r="S140" s="2"/>
      <c r="T140" s="2"/>
      <c r="U140" s="2"/>
      <c r="V140" s="19">
        <f t="shared" si="12"/>
        <v>0</v>
      </c>
      <c r="W140" s="2"/>
      <c r="X140" s="2">
        <f t="shared" si="13"/>
        <v>578.69000000000005</v>
      </c>
      <c r="Y140" s="2"/>
      <c r="Z140" s="19">
        <f t="shared" si="14"/>
        <v>0</v>
      </c>
    </row>
    <row r="141" spans="1:26" s="24" customFormat="1" hidden="1" outlineLevel="1" x14ac:dyDescent="0.25">
      <c r="A141" s="44"/>
      <c r="B141" s="11" t="str">
        <f>CONCATENATE("          ", "5037", " - ", "PURCHASES @ COST-WATER")</f>
        <v xml:space="preserve">          5037 - PURCHASES @ COST-WATER</v>
      </c>
      <c r="C141" s="11"/>
      <c r="D141" s="2">
        <v>1463.27</v>
      </c>
      <c r="E141" s="2"/>
      <c r="F141" s="19">
        <f t="shared" si="7"/>
        <v>2.3410841933083691E-3</v>
      </c>
      <c r="G141" s="2"/>
      <c r="H141" s="2"/>
      <c r="I141" s="2"/>
      <c r="J141" s="19">
        <f t="shared" si="8"/>
        <v>0</v>
      </c>
      <c r="K141" s="2"/>
      <c r="L141" s="2">
        <f t="shared" si="9"/>
        <v>1463.27</v>
      </c>
      <c r="M141" s="2"/>
      <c r="N141" s="19">
        <f t="shared" si="10"/>
        <v>0</v>
      </c>
      <c r="O141" s="11"/>
      <c r="P141" s="2">
        <v>2855.85</v>
      </c>
      <c r="Q141" s="2"/>
      <c r="R141" s="19">
        <f t="shared" si="11"/>
        <v>4.7923211142868763E-4</v>
      </c>
      <c r="S141" s="2"/>
      <c r="T141" s="2"/>
      <c r="U141" s="2"/>
      <c r="V141" s="19">
        <f t="shared" si="12"/>
        <v>0</v>
      </c>
      <c r="W141" s="2"/>
      <c r="X141" s="2">
        <f t="shared" si="13"/>
        <v>2855.85</v>
      </c>
      <c r="Y141" s="2"/>
      <c r="Z141" s="19">
        <f t="shared" si="14"/>
        <v>0</v>
      </c>
    </row>
    <row r="142" spans="1:26" s="24" customFormat="1" hidden="1" outlineLevel="1" x14ac:dyDescent="0.25">
      <c r="A142" s="44"/>
      <c r="B142" s="11" t="str">
        <f>CONCATENATE("          ", "5040", " - ", "PURCHASES @ COST-LOGO CLOTHING")</f>
        <v xml:space="preserve">          5040 - PURCHASES @ COST-LOGO CLOTHING</v>
      </c>
      <c r="C142" s="11"/>
      <c r="D142" s="2">
        <v>176749.05</v>
      </c>
      <c r="E142" s="2"/>
      <c r="F142" s="19">
        <f t="shared" si="7"/>
        <v>0.28278062636237372</v>
      </c>
      <c r="G142" s="2"/>
      <c r="H142" s="2"/>
      <c r="I142" s="2"/>
      <c r="J142" s="19">
        <f t="shared" si="8"/>
        <v>0</v>
      </c>
      <c r="K142" s="2"/>
      <c r="L142" s="2">
        <f t="shared" si="9"/>
        <v>176749.05</v>
      </c>
      <c r="M142" s="2"/>
      <c r="N142" s="19">
        <f t="shared" si="10"/>
        <v>0</v>
      </c>
      <c r="O142" s="11"/>
      <c r="P142" s="2">
        <v>512600.91000000003</v>
      </c>
      <c r="Q142" s="2"/>
      <c r="R142" s="19">
        <f t="shared" si="11"/>
        <v>8.6018108941144214E-2</v>
      </c>
      <c r="S142" s="2"/>
      <c r="T142" s="2"/>
      <c r="U142" s="2"/>
      <c r="V142" s="19">
        <f t="shared" si="12"/>
        <v>0</v>
      </c>
      <c r="W142" s="2"/>
      <c r="X142" s="2">
        <f t="shared" si="13"/>
        <v>512600.91000000003</v>
      </c>
      <c r="Y142" s="2"/>
      <c r="Z142" s="19">
        <f t="shared" si="14"/>
        <v>0</v>
      </c>
    </row>
    <row r="143" spans="1:26" s="24" customFormat="1" hidden="1" outlineLevel="1" x14ac:dyDescent="0.25">
      <c r="A143" s="44"/>
      <c r="B143" s="11" t="str">
        <f>CONCATENATE("          ", "5041", " - ", "PURCHASES @ COST-LOGO GIFTS")</f>
        <v xml:space="preserve">          5041 - PURCHASES @ COST-LOGO GIFTS</v>
      </c>
      <c r="C143" s="11"/>
      <c r="D143" s="2">
        <v>27759.98</v>
      </c>
      <c r="E143" s="2"/>
      <c r="F143" s="19">
        <f t="shared" si="7"/>
        <v>4.4413163930482044E-2</v>
      </c>
      <c r="G143" s="2"/>
      <c r="H143" s="2"/>
      <c r="I143" s="2"/>
      <c r="J143" s="19">
        <f t="shared" si="8"/>
        <v>0</v>
      </c>
      <c r="K143" s="2"/>
      <c r="L143" s="2">
        <f t="shared" si="9"/>
        <v>27759.98</v>
      </c>
      <c r="M143" s="2"/>
      <c r="N143" s="19">
        <f t="shared" si="10"/>
        <v>0</v>
      </c>
      <c r="O143" s="11"/>
      <c r="P143" s="2">
        <v>70456.460000000006</v>
      </c>
      <c r="Q143" s="2"/>
      <c r="R143" s="19">
        <f t="shared" si="11"/>
        <v>1.1823099283782718E-2</v>
      </c>
      <c r="S143" s="2"/>
      <c r="T143" s="2"/>
      <c r="U143" s="2"/>
      <c r="V143" s="19">
        <f t="shared" si="12"/>
        <v>0</v>
      </c>
      <c r="W143" s="2"/>
      <c r="X143" s="2">
        <f t="shared" si="13"/>
        <v>70456.460000000006</v>
      </c>
      <c r="Y143" s="2"/>
      <c r="Z143" s="19">
        <f t="shared" si="14"/>
        <v>0</v>
      </c>
    </row>
    <row r="144" spans="1:26" s="24" customFormat="1" hidden="1" outlineLevel="1" x14ac:dyDescent="0.25">
      <c r="A144" s="44"/>
      <c r="B144" s="11" t="str">
        <f>CONCATENATE("          ", "5042", " - ", "PURCHASES @ COST-EVERYDAY GIFT")</f>
        <v xml:space="preserve">          5042 - PURCHASES @ COST-EVERYDAY GIFT</v>
      </c>
      <c r="C144" s="11"/>
      <c r="D144" s="2">
        <v>13956.79</v>
      </c>
      <c r="E144" s="2"/>
      <c r="F144" s="19">
        <f t="shared" si="7"/>
        <v>2.2329454207579133E-2</v>
      </c>
      <c r="G144" s="2"/>
      <c r="H144" s="2"/>
      <c r="I144" s="2"/>
      <c r="J144" s="19">
        <f t="shared" si="8"/>
        <v>0</v>
      </c>
      <c r="K144" s="2"/>
      <c r="L144" s="2">
        <f t="shared" si="9"/>
        <v>13956.79</v>
      </c>
      <c r="M144" s="2"/>
      <c r="N144" s="19">
        <f t="shared" si="10"/>
        <v>0</v>
      </c>
      <c r="O144" s="11"/>
      <c r="P144" s="2">
        <v>49248.47</v>
      </c>
      <c r="Q144" s="2"/>
      <c r="R144" s="19">
        <f t="shared" si="11"/>
        <v>8.2642464634810585E-3</v>
      </c>
      <c r="S144" s="2"/>
      <c r="T144" s="2"/>
      <c r="U144" s="2"/>
      <c r="V144" s="19">
        <f t="shared" si="12"/>
        <v>0</v>
      </c>
      <c r="W144" s="2"/>
      <c r="X144" s="2">
        <f t="shared" si="13"/>
        <v>49248.47</v>
      </c>
      <c r="Y144" s="2"/>
      <c r="Z144" s="19">
        <f t="shared" si="14"/>
        <v>0</v>
      </c>
    </row>
    <row r="145" spans="1:26" s="24" customFormat="1" hidden="1" outlineLevel="1" x14ac:dyDescent="0.25">
      <c r="A145" s="44"/>
      <c r="B145" s="11" t="str">
        <f>CONCATENATE("          ", "5043", " - ", "PURCHASES @ COST-CARDS")</f>
        <v xml:space="preserve">          5043 - PURCHASES @ COST-CARDS</v>
      </c>
      <c r="C145" s="11"/>
      <c r="D145" s="2">
        <v>331.09</v>
      </c>
      <c r="E145" s="2"/>
      <c r="F145" s="19">
        <f t="shared" si="7"/>
        <v>5.2971055619432364E-4</v>
      </c>
      <c r="G145" s="2"/>
      <c r="H145" s="2"/>
      <c r="I145" s="2"/>
      <c r="J145" s="19">
        <f t="shared" si="8"/>
        <v>0</v>
      </c>
      <c r="K145" s="2"/>
      <c r="L145" s="2">
        <f t="shared" si="9"/>
        <v>331.09</v>
      </c>
      <c r="M145" s="2"/>
      <c r="N145" s="19">
        <f t="shared" si="10"/>
        <v>0</v>
      </c>
      <c r="O145" s="11"/>
      <c r="P145" s="2">
        <v>1340.08</v>
      </c>
      <c r="Q145" s="2"/>
      <c r="R145" s="19">
        <f t="shared" si="11"/>
        <v>2.2487503471238184E-4</v>
      </c>
      <c r="S145" s="2"/>
      <c r="T145" s="2"/>
      <c r="U145" s="2"/>
      <c r="V145" s="19">
        <f t="shared" si="12"/>
        <v>0</v>
      </c>
      <c r="W145" s="2"/>
      <c r="X145" s="2">
        <f t="shared" si="13"/>
        <v>1340.08</v>
      </c>
      <c r="Y145" s="2"/>
      <c r="Z145" s="19">
        <f t="shared" si="14"/>
        <v>0</v>
      </c>
    </row>
    <row r="146" spans="1:26" s="24" customFormat="1" hidden="1" outlineLevel="1" x14ac:dyDescent="0.25">
      <c r="A146" s="44"/>
      <c r="B146" s="11" t="str">
        <f>CONCATENATE("          ", "5044", " - ", "PURCHASES @ COST-ACCESSORIES")</f>
        <v xml:space="preserve">          5044 - PURCHASES @ COST-ACCESSORIES</v>
      </c>
      <c r="C146" s="11"/>
      <c r="D146" s="2">
        <v>3747.48</v>
      </c>
      <c r="E146" s="2"/>
      <c r="F146" s="19">
        <f t="shared" si="7"/>
        <v>5.9955894624636923E-3</v>
      </c>
      <c r="G146" s="2"/>
      <c r="H146" s="2"/>
      <c r="I146" s="2"/>
      <c r="J146" s="19">
        <f t="shared" si="8"/>
        <v>0</v>
      </c>
      <c r="K146" s="2"/>
      <c r="L146" s="2">
        <f t="shared" si="9"/>
        <v>3747.48</v>
      </c>
      <c r="M146" s="2"/>
      <c r="N146" s="19">
        <f t="shared" si="10"/>
        <v>0</v>
      </c>
      <c r="O146" s="11"/>
      <c r="P146" s="2">
        <v>24151.129999999997</v>
      </c>
      <c r="Q146" s="2"/>
      <c r="R146" s="19">
        <f t="shared" si="11"/>
        <v>4.0527328197519892E-3</v>
      </c>
      <c r="S146" s="2"/>
      <c r="T146" s="2"/>
      <c r="U146" s="2"/>
      <c r="V146" s="19">
        <f t="shared" si="12"/>
        <v>0</v>
      </c>
      <c r="W146" s="2"/>
      <c r="X146" s="2">
        <f t="shared" si="13"/>
        <v>24151.129999999997</v>
      </c>
      <c r="Y146" s="2"/>
      <c r="Z146" s="19">
        <f t="shared" si="14"/>
        <v>0</v>
      </c>
    </row>
    <row r="147" spans="1:26" s="24" customFormat="1" hidden="1" outlineLevel="1" x14ac:dyDescent="0.25">
      <c r="A147" s="44"/>
      <c r="B147" s="11" t="str">
        <f>CONCATENATE("          ", "5045", " - ", "PURCHASES @ COST-SPECIAL ORDER")</f>
        <v xml:space="preserve">          5045 - PURCHASES @ COST-SPECIAL ORDER</v>
      </c>
      <c r="C147" s="11"/>
      <c r="D147" s="2">
        <v>3599.17</v>
      </c>
      <c r="E147" s="2"/>
      <c r="F147" s="19">
        <f t="shared" si="7"/>
        <v>5.7583084434381102E-3</v>
      </c>
      <c r="G147" s="2"/>
      <c r="H147" s="2"/>
      <c r="I147" s="2"/>
      <c r="J147" s="19">
        <f t="shared" si="8"/>
        <v>0</v>
      </c>
      <c r="K147" s="2"/>
      <c r="L147" s="2">
        <f t="shared" si="9"/>
        <v>3599.17</v>
      </c>
      <c r="M147" s="2"/>
      <c r="N147" s="19">
        <f t="shared" si="10"/>
        <v>0</v>
      </c>
      <c r="O147" s="11"/>
      <c r="P147" s="2">
        <v>28063.200000000001</v>
      </c>
      <c r="Q147" s="2"/>
      <c r="R147" s="19">
        <f t="shared" si="11"/>
        <v>4.7092062221214511E-3</v>
      </c>
      <c r="S147" s="2"/>
      <c r="T147" s="2"/>
      <c r="U147" s="2"/>
      <c r="V147" s="19">
        <f t="shared" si="12"/>
        <v>0</v>
      </c>
      <c r="W147" s="2"/>
      <c r="X147" s="2">
        <f t="shared" si="13"/>
        <v>28063.200000000001</v>
      </c>
      <c r="Y147" s="2"/>
      <c r="Z147" s="19">
        <f t="shared" si="14"/>
        <v>0</v>
      </c>
    </row>
    <row r="148" spans="1:26" s="24" customFormat="1" hidden="1" outlineLevel="1" x14ac:dyDescent="0.25">
      <c r="A148" s="44"/>
      <c r="B148" s="11" t="str">
        <f>CONCATENATE("          ", "5081", " - ", "PURCHASES @ COST-ELECTRONICS")</f>
        <v xml:space="preserve">          5081 - PURCHASES @ COST-ELECTRONICS</v>
      </c>
      <c r="C148" s="11"/>
      <c r="D148" s="2">
        <v>18978.52</v>
      </c>
      <c r="E148" s="2"/>
      <c r="F148" s="19">
        <f t="shared" si="7"/>
        <v>3.0363714956492482E-2</v>
      </c>
      <c r="G148" s="2"/>
      <c r="H148" s="2"/>
      <c r="I148" s="2"/>
      <c r="J148" s="19">
        <f t="shared" si="8"/>
        <v>0</v>
      </c>
      <c r="K148" s="2"/>
      <c r="L148" s="2">
        <f t="shared" si="9"/>
        <v>18978.52</v>
      </c>
      <c r="M148" s="2"/>
      <c r="N148" s="19">
        <f t="shared" si="10"/>
        <v>0</v>
      </c>
      <c r="O148" s="11"/>
      <c r="P148" s="2">
        <v>169136.69</v>
      </c>
      <c r="Q148" s="2"/>
      <c r="R148" s="19">
        <f t="shared" si="11"/>
        <v>2.8382349587254021E-2</v>
      </c>
      <c r="S148" s="2"/>
      <c r="T148" s="2"/>
      <c r="U148" s="2"/>
      <c r="V148" s="19">
        <f t="shared" si="12"/>
        <v>0</v>
      </c>
      <c r="W148" s="2"/>
      <c r="X148" s="2">
        <f t="shared" si="13"/>
        <v>169136.69</v>
      </c>
      <c r="Y148" s="2"/>
      <c r="Z148" s="19">
        <f t="shared" si="14"/>
        <v>0</v>
      </c>
    </row>
    <row r="149" spans="1:26" s="24" customFormat="1" hidden="1" outlineLevel="1" x14ac:dyDescent="0.25">
      <c r="A149" s="44"/>
      <c r="B149" s="11" t="str">
        <f>CONCATENATE("          ", "5082", " - ", "PURCHASES @ COST-COMPUTER HARD")</f>
        <v xml:space="preserve">          5082 - PURCHASES @ COST-COMPUTER HARD</v>
      </c>
      <c r="C149" s="11"/>
      <c r="D149" s="2">
        <v>94594.73</v>
      </c>
      <c r="E149" s="2"/>
      <c r="F149" s="19">
        <f t="shared" si="7"/>
        <v>0.15134201287067525</v>
      </c>
      <c r="G149" s="2"/>
      <c r="H149" s="2"/>
      <c r="I149" s="2"/>
      <c r="J149" s="19">
        <f t="shared" si="8"/>
        <v>0</v>
      </c>
      <c r="K149" s="2"/>
      <c r="L149" s="2">
        <f t="shared" si="9"/>
        <v>94594.73</v>
      </c>
      <c r="M149" s="2"/>
      <c r="N149" s="19">
        <f t="shared" si="10"/>
        <v>0</v>
      </c>
      <c r="O149" s="11"/>
      <c r="P149" s="2">
        <v>895787.3</v>
      </c>
      <c r="Q149" s="2"/>
      <c r="R149" s="19">
        <f t="shared" si="11"/>
        <v>0.15031953329831862</v>
      </c>
      <c r="S149" s="2"/>
      <c r="T149" s="2"/>
      <c r="U149" s="2"/>
      <c r="V149" s="19">
        <f t="shared" si="12"/>
        <v>0</v>
      </c>
      <c r="W149" s="2"/>
      <c r="X149" s="2">
        <f t="shared" si="13"/>
        <v>895787.3</v>
      </c>
      <c r="Y149" s="2"/>
      <c r="Z149" s="19">
        <f t="shared" si="14"/>
        <v>0</v>
      </c>
    </row>
    <row r="150" spans="1:26" s="24" customFormat="1" hidden="1" outlineLevel="1" x14ac:dyDescent="0.25">
      <c r="A150" s="44"/>
      <c r="B150" s="11" t="str">
        <f>CONCATENATE("          ", "5083", " - ", "PURCHASES @ COST-COMPUTER EQUI")</f>
        <v xml:space="preserve">          5083 - PURCHASES @ COST-COMPUTER EQUI</v>
      </c>
      <c r="C150" s="11"/>
      <c r="D150" s="2">
        <v>14172.43</v>
      </c>
      <c r="E150" s="2"/>
      <c r="F150" s="19">
        <f t="shared" si="7"/>
        <v>2.2674456425519098E-2</v>
      </c>
      <c r="G150" s="2"/>
      <c r="H150" s="2"/>
      <c r="I150" s="2"/>
      <c r="J150" s="19">
        <f t="shared" si="8"/>
        <v>0</v>
      </c>
      <c r="K150" s="2"/>
      <c r="L150" s="2">
        <f t="shared" si="9"/>
        <v>14172.43</v>
      </c>
      <c r="M150" s="2"/>
      <c r="N150" s="19">
        <f t="shared" si="10"/>
        <v>0</v>
      </c>
      <c r="O150" s="11"/>
      <c r="P150" s="2">
        <v>42040.84</v>
      </c>
      <c r="Q150" s="2"/>
      <c r="R150" s="19">
        <f t="shared" si="11"/>
        <v>7.0547544581948023E-3</v>
      </c>
      <c r="S150" s="2"/>
      <c r="T150" s="2"/>
      <c r="U150" s="2"/>
      <c r="V150" s="19">
        <f t="shared" si="12"/>
        <v>0</v>
      </c>
      <c r="W150" s="2"/>
      <c r="X150" s="2">
        <f t="shared" si="13"/>
        <v>42040.84</v>
      </c>
      <c r="Y150" s="2"/>
      <c r="Z150" s="19">
        <f t="shared" si="14"/>
        <v>0</v>
      </c>
    </row>
    <row r="151" spans="1:26" s="24" customFormat="1" hidden="1" outlineLevel="1" x14ac:dyDescent="0.25">
      <c r="A151" s="44"/>
      <c r="B151" s="11" t="str">
        <f>CONCATENATE("          ", "5084", " - ", "PURCHASES @ COST-SOFTWARE LICE")</f>
        <v xml:space="preserve">          5084 - PURCHASES @ COST-SOFTWARE LICE</v>
      </c>
      <c r="C151" s="11"/>
      <c r="D151" s="2">
        <v>1206</v>
      </c>
      <c r="E151" s="2"/>
      <c r="F151" s="19">
        <f t="shared" si="7"/>
        <v>1.9294781804655963E-3</v>
      </c>
      <c r="G151" s="2"/>
      <c r="H151" s="2"/>
      <c r="I151" s="2"/>
      <c r="J151" s="19">
        <f t="shared" si="8"/>
        <v>0</v>
      </c>
      <c r="K151" s="2"/>
      <c r="L151" s="2">
        <f t="shared" si="9"/>
        <v>1206</v>
      </c>
      <c r="M151" s="2"/>
      <c r="N151" s="19">
        <f t="shared" si="10"/>
        <v>0</v>
      </c>
      <c r="O151" s="11"/>
      <c r="P151" s="2">
        <v>2728</v>
      </c>
      <c r="Q151" s="2"/>
      <c r="R151" s="19">
        <f t="shared" si="11"/>
        <v>4.5777796452105675E-4</v>
      </c>
      <c r="S151" s="2"/>
      <c r="T151" s="2"/>
      <c r="U151" s="2"/>
      <c r="V151" s="19">
        <f t="shared" si="12"/>
        <v>0</v>
      </c>
      <c r="W151" s="2"/>
      <c r="X151" s="2">
        <f t="shared" si="13"/>
        <v>2728</v>
      </c>
      <c r="Y151" s="2"/>
      <c r="Z151" s="19">
        <f t="shared" si="14"/>
        <v>0</v>
      </c>
    </row>
    <row r="152" spans="1:26" s="24" customFormat="1" hidden="1" outlineLevel="1" x14ac:dyDescent="0.25">
      <c r="A152" s="44"/>
      <c r="B152" s="11" t="str">
        <f>CONCATENATE("          ", "5085", " - ", "PURCHASES @ COST-SOFTWARE")</f>
        <v xml:space="preserve">          5085 - PURCHASES @ COST-SOFTWARE</v>
      </c>
      <c r="C152" s="11"/>
      <c r="D152" s="2">
        <v>506.04</v>
      </c>
      <c r="E152" s="2"/>
      <c r="F152" s="19">
        <f t="shared" si="7"/>
        <v>8.0961288428093735E-4</v>
      </c>
      <c r="G152" s="2"/>
      <c r="H152" s="2"/>
      <c r="I152" s="2"/>
      <c r="J152" s="19">
        <f t="shared" si="8"/>
        <v>0</v>
      </c>
      <c r="K152" s="2"/>
      <c r="L152" s="2">
        <f t="shared" si="9"/>
        <v>506.04</v>
      </c>
      <c r="M152" s="2"/>
      <c r="N152" s="19">
        <f t="shared" si="10"/>
        <v>0</v>
      </c>
      <c r="O152" s="11"/>
      <c r="P152" s="2">
        <v>6932.04</v>
      </c>
      <c r="Q152" s="2"/>
      <c r="R152" s="19">
        <f t="shared" si="11"/>
        <v>1.1632460268249803E-3</v>
      </c>
      <c r="S152" s="2"/>
      <c r="T152" s="2"/>
      <c r="U152" s="2"/>
      <c r="V152" s="19">
        <f t="shared" si="12"/>
        <v>0</v>
      </c>
      <c r="W152" s="2"/>
      <c r="X152" s="2">
        <f t="shared" si="13"/>
        <v>6932.04</v>
      </c>
      <c r="Y152" s="2"/>
      <c r="Z152" s="19">
        <f t="shared" si="14"/>
        <v>0</v>
      </c>
    </row>
    <row r="153" spans="1:26" s="24" customFormat="1" hidden="1" outlineLevel="1" x14ac:dyDescent="0.25">
      <c r="A153" s="44"/>
      <c r="B153" s="11" t="str">
        <f>CONCATENATE("          ", "5086", " - ", "PURCHASES @ COST-COMPUTER SUPP")</f>
        <v xml:space="preserve">          5086 - PURCHASES @ COST-COMPUTER SUPP</v>
      </c>
      <c r="C153" s="11"/>
      <c r="D153" s="2">
        <v>5942.35</v>
      </c>
      <c r="E153" s="2"/>
      <c r="F153" s="19">
        <f t="shared" si="7"/>
        <v>9.5071597559616399E-3</v>
      </c>
      <c r="G153" s="2"/>
      <c r="H153" s="2"/>
      <c r="I153" s="2"/>
      <c r="J153" s="19">
        <f t="shared" si="8"/>
        <v>0</v>
      </c>
      <c r="K153" s="2"/>
      <c r="L153" s="2">
        <f t="shared" si="9"/>
        <v>5942.35</v>
      </c>
      <c r="M153" s="2"/>
      <c r="N153" s="19">
        <f t="shared" si="10"/>
        <v>0</v>
      </c>
      <c r="O153" s="11"/>
      <c r="P153" s="2">
        <v>18509.099999999999</v>
      </c>
      <c r="Q153" s="2"/>
      <c r="R153" s="19">
        <f t="shared" si="11"/>
        <v>3.1059597225501063E-3</v>
      </c>
      <c r="S153" s="2"/>
      <c r="T153" s="2"/>
      <c r="U153" s="2"/>
      <c r="V153" s="19">
        <f t="shared" si="12"/>
        <v>0</v>
      </c>
      <c r="W153" s="2"/>
      <c r="X153" s="2">
        <f t="shared" si="13"/>
        <v>18509.099999999999</v>
      </c>
      <c r="Y153" s="2"/>
      <c r="Z153" s="19">
        <f t="shared" si="14"/>
        <v>0</v>
      </c>
    </row>
    <row r="154" spans="1:26" s="24" customFormat="1" hidden="1" outlineLevel="1" x14ac:dyDescent="0.25">
      <c r="A154" s="44"/>
      <c r="B154" s="11" t="str">
        <f>CONCATENATE("          ", "5088", " - ", "PURCHASES @ COST-MUSIC")</f>
        <v xml:space="preserve">          5088 - PURCHASES @ COST-MUSIC</v>
      </c>
      <c r="C154" s="11"/>
      <c r="D154" s="2"/>
      <c r="E154" s="2"/>
      <c r="F154" s="19">
        <f t="shared" si="7"/>
        <v>0</v>
      </c>
      <c r="G154" s="2"/>
      <c r="H154" s="2"/>
      <c r="I154" s="2"/>
      <c r="J154" s="19">
        <f t="shared" si="8"/>
        <v>0</v>
      </c>
      <c r="K154" s="2"/>
      <c r="L154" s="2">
        <f t="shared" si="9"/>
        <v>0</v>
      </c>
      <c r="M154" s="2"/>
      <c r="N154" s="19">
        <f t="shared" si="10"/>
        <v>0</v>
      </c>
      <c r="O154" s="11"/>
      <c r="P154" s="2">
        <v>88.75</v>
      </c>
      <c r="Q154" s="2"/>
      <c r="R154" s="19">
        <f t="shared" si="11"/>
        <v>1.4892886492391417E-5</v>
      </c>
      <c r="S154" s="2"/>
      <c r="T154" s="2"/>
      <c r="U154" s="2"/>
      <c r="V154" s="19">
        <f t="shared" si="12"/>
        <v>0</v>
      </c>
      <c r="W154" s="2"/>
      <c r="X154" s="2">
        <f t="shared" si="13"/>
        <v>88.75</v>
      </c>
      <c r="Y154" s="2"/>
      <c r="Z154" s="19">
        <f t="shared" si="14"/>
        <v>0</v>
      </c>
    </row>
    <row r="155" spans="1:26" s="24" customFormat="1" hidden="1" outlineLevel="1" x14ac:dyDescent="0.25">
      <c r="A155" s="44"/>
      <c r="B155" s="11" t="str">
        <f>CONCATENATE("          ", "5092", " - ", "PURCHASES @ COST-GRAD MERCH")</f>
        <v xml:space="preserve">          5092 - PURCHASES @ COST-GRAD MERCH</v>
      </c>
      <c r="C155" s="11"/>
      <c r="D155" s="2">
        <v>1296.1400000000001</v>
      </c>
      <c r="E155" s="2"/>
      <c r="F155" s="19">
        <f t="shared" si="7"/>
        <v>2.0736930753139952E-3</v>
      </c>
      <c r="G155" s="2"/>
      <c r="H155" s="2"/>
      <c r="I155" s="2"/>
      <c r="J155" s="19">
        <f t="shared" si="8"/>
        <v>0</v>
      </c>
      <c r="K155" s="2"/>
      <c r="L155" s="2">
        <f t="shared" si="9"/>
        <v>1296.1400000000001</v>
      </c>
      <c r="M155" s="2"/>
      <c r="N155" s="19">
        <f t="shared" si="10"/>
        <v>0</v>
      </c>
      <c r="O155" s="11"/>
      <c r="P155" s="2">
        <v>1296.1400000000001</v>
      </c>
      <c r="Q155" s="2"/>
      <c r="R155" s="19">
        <f t="shared" si="11"/>
        <v>2.1750158758589535E-4</v>
      </c>
      <c r="S155" s="2"/>
      <c r="T155" s="2"/>
      <c r="U155" s="2"/>
      <c r="V155" s="19">
        <f t="shared" si="12"/>
        <v>0</v>
      </c>
      <c r="W155" s="2"/>
      <c r="X155" s="2">
        <f t="shared" si="13"/>
        <v>1296.1400000000001</v>
      </c>
      <c r="Y155" s="2"/>
      <c r="Z155" s="19">
        <f t="shared" si="14"/>
        <v>0</v>
      </c>
    </row>
    <row r="156" spans="1:26" s="24" customFormat="1" hidden="1" outlineLevel="1" x14ac:dyDescent="0.25">
      <c r="A156" s="44"/>
      <c r="B156" s="11" t="str">
        <f>CONCATENATE("          ", "5095", " - ", "PURCHASES @ COST-CUSTOMER SERV")</f>
        <v xml:space="preserve">          5095 - PURCHASES @ COST-CUSTOMER SERV</v>
      </c>
      <c r="C156" s="11"/>
      <c r="D156" s="2"/>
      <c r="E156" s="2"/>
      <c r="F156" s="19">
        <f t="shared" si="7"/>
        <v>0</v>
      </c>
      <c r="G156" s="2"/>
      <c r="H156" s="2"/>
      <c r="I156" s="2"/>
      <c r="J156" s="19">
        <f t="shared" si="8"/>
        <v>0</v>
      </c>
      <c r="K156" s="2"/>
      <c r="L156" s="2">
        <f t="shared" si="9"/>
        <v>0</v>
      </c>
      <c r="M156" s="2"/>
      <c r="N156" s="19">
        <f t="shared" si="10"/>
        <v>0</v>
      </c>
      <c r="O156" s="11"/>
      <c r="P156" s="2">
        <v>0</v>
      </c>
      <c r="Q156" s="2"/>
      <c r="R156" s="19">
        <f t="shared" si="11"/>
        <v>0</v>
      </c>
      <c r="S156" s="2"/>
      <c r="T156" s="2"/>
      <c r="U156" s="2"/>
      <c r="V156" s="19">
        <f t="shared" si="12"/>
        <v>0</v>
      </c>
      <c r="W156" s="2"/>
      <c r="X156" s="2">
        <f t="shared" si="13"/>
        <v>0</v>
      </c>
      <c r="Y156" s="2"/>
      <c r="Z156" s="19">
        <f t="shared" si="14"/>
        <v>0</v>
      </c>
    </row>
    <row r="157" spans="1:26" s="24" customFormat="1" hidden="1" outlineLevel="1" x14ac:dyDescent="0.25">
      <c r="A157" s="44"/>
      <c r="B157" s="11" t="str">
        <f>CONCATENATE("          ", "5200", " - ", "PURCHASES OFFSET")</f>
        <v xml:space="preserve">          5200 - PURCHASES OFFSET</v>
      </c>
      <c r="C157" s="11"/>
      <c r="D157" s="2">
        <v>-237338.99999999997</v>
      </c>
      <c r="E157" s="2"/>
      <c r="F157" s="19">
        <f t="shared" si="7"/>
        <v>-0.37971842609744955</v>
      </c>
      <c r="G157" s="2"/>
      <c r="H157" s="2"/>
      <c r="I157" s="2"/>
      <c r="J157" s="19">
        <f t="shared" si="8"/>
        <v>0</v>
      </c>
      <c r="K157" s="2"/>
      <c r="L157" s="2">
        <f t="shared" si="9"/>
        <v>-237338.99999999997</v>
      </c>
      <c r="M157" s="2"/>
      <c r="N157" s="19">
        <f t="shared" si="10"/>
        <v>0</v>
      </c>
      <c r="O157" s="11"/>
      <c r="P157" s="2">
        <v>-3872821</v>
      </c>
      <c r="Q157" s="2"/>
      <c r="R157" s="19">
        <f t="shared" si="11"/>
        <v>-0.64988713868563175</v>
      </c>
      <c r="S157" s="2"/>
      <c r="T157" s="2"/>
      <c r="U157" s="2"/>
      <c r="V157" s="19">
        <f t="shared" si="12"/>
        <v>0</v>
      </c>
      <c r="W157" s="2"/>
      <c r="X157" s="2">
        <f t="shared" si="13"/>
        <v>-3872821</v>
      </c>
      <c r="Y157" s="2"/>
      <c r="Z157" s="19">
        <f t="shared" si="14"/>
        <v>0</v>
      </c>
    </row>
    <row r="158" spans="1:26" s="24" customFormat="1" hidden="1" outlineLevel="1" x14ac:dyDescent="0.25">
      <c r="A158" s="44"/>
      <c r="B158" s="11" t="str">
        <f>CONCATENATE("          ", "5300", " - ", "COG$ OFFSET")</f>
        <v xml:space="preserve">          5300 - COG$ OFFSET</v>
      </c>
      <c r="C158" s="11"/>
      <c r="D158" s="2">
        <v>328565</v>
      </c>
      <c r="E158" s="2"/>
      <c r="F158" s="19">
        <f t="shared" si="7"/>
        <v>0.52567081124766057</v>
      </c>
      <c r="G158" s="2"/>
      <c r="H158" s="2"/>
      <c r="I158" s="2"/>
      <c r="J158" s="19">
        <f t="shared" si="8"/>
        <v>0</v>
      </c>
      <c r="K158" s="2"/>
      <c r="L158" s="2">
        <f t="shared" si="9"/>
        <v>328565</v>
      </c>
      <c r="M158" s="2"/>
      <c r="N158" s="19">
        <f t="shared" si="10"/>
        <v>0</v>
      </c>
      <c r="O158" s="11"/>
      <c r="P158" s="2">
        <v>3332472</v>
      </c>
      <c r="Q158" s="2"/>
      <c r="R158" s="19">
        <f t="shared" si="11"/>
        <v>0.55921270124025479</v>
      </c>
      <c r="S158" s="2"/>
      <c r="T158" s="2"/>
      <c r="U158" s="2"/>
      <c r="V158" s="19">
        <f t="shared" si="12"/>
        <v>0</v>
      </c>
      <c r="W158" s="2"/>
      <c r="X158" s="2">
        <f t="shared" si="13"/>
        <v>3332472</v>
      </c>
      <c r="Y158" s="2"/>
      <c r="Z158" s="19">
        <f t="shared" si="14"/>
        <v>0</v>
      </c>
    </row>
    <row r="159" spans="1:26" s="24" customFormat="1" hidden="1" outlineLevel="1" x14ac:dyDescent="0.25">
      <c r="A159" s="44"/>
      <c r="B159" s="11" t="str">
        <f>CONCATENATE("          ", "5500", " - ", "FREIGHT-IN")</f>
        <v xml:space="preserve">          5500 - FREIGHT-IN</v>
      </c>
      <c r="C159" s="11"/>
      <c r="D159" s="2">
        <v>35.229999999999997</v>
      </c>
      <c r="E159" s="2"/>
      <c r="F159" s="19">
        <f t="shared" si="7"/>
        <v>5.6364441374629314E-5</v>
      </c>
      <c r="G159" s="2"/>
      <c r="H159" s="2"/>
      <c r="I159" s="2"/>
      <c r="J159" s="19">
        <f t="shared" si="8"/>
        <v>0</v>
      </c>
      <c r="K159" s="2"/>
      <c r="L159" s="2">
        <f t="shared" si="9"/>
        <v>35.229999999999997</v>
      </c>
      <c r="M159" s="2"/>
      <c r="N159" s="19">
        <f t="shared" si="10"/>
        <v>0</v>
      </c>
      <c r="O159" s="11"/>
      <c r="P159" s="2">
        <v>35.229999999999997</v>
      </c>
      <c r="Q159" s="2"/>
      <c r="R159" s="19">
        <f t="shared" si="11"/>
        <v>5.9118466605853474E-6</v>
      </c>
      <c r="S159" s="2"/>
      <c r="T159" s="2"/>
      <c r="U159" s="2"/>
      <c r="V159" s="19">
        <f t="shared" si="12"/>
        <v>0</v>
      </c>
      <c r="W159" s="2"/>
      <c r="X159" s="2">
        <f t="shared" si="13"/>
        <v>35.229999999999997</v>
      </c>
      <c r="Y159" s="2"/>
      <c r="Z159" s="19">
        <f t="shared" si="14"/>
        <v>0</v>
      </c>
    </row>
    <row r="160" spans="1:26" s="24" customFormat="1" hidden="1" outlineLevel="1" x14ac:dyDescent="0.25">
      <c r="A160" s="44"/>
      <c r="B160" s="11" t="str">
        <f>CONCATENATE("          ", "5501", " - ", "FREIGHT-IN-NEW TEXT")</f>
        <v xml:space="preserve">          5501 - FREIGHT-IN-NEW TEXT</v>
      </c>
      <c r="C160" s="11"/>
      <c r="D160" s="2">
        <v>7434.02</v>
      </c>
      <c r="E160" s="2"/>
      <c r="F160" s="19">
        <f t="shared" si="7"/>
        <v>1.1893681080551289E-2</v>
      </c>
      <c r="G160" s="2"/>
      <c r="H160" s="2"/>
      <c r="I160" s="2"/>
      <c r="J160" s="19">
        <f t="shared" si="8"/>
        <v>0</v>
      </c>
      <c r="K160" s="2"/>
      <c r="L160" s="2">
        <f t="shared" si="9"/>
        <v>7434.02</v>
      </c>
      <c r="M160" s="2"/>
      <c r="N160" s="19">
        <f t="shared" si="10"/>
        <v>0</v>
      </c>
      <c r="O160" s="11"/>
      <c r="P160" s="2">
        <v>34017.480000000003</v>
      </c>
      <c r="Q160" s="2"/>
      <c r="R160" s="19">
        <f t="shared" si="11"/>
        <v>5.7083771087007911E-3</v>
      </c>
      <c r="S160" s="2"/>
      <c r="T160" s="2"/>
      <c r="U160" s="2"/>
      <c r="V160" s="19">
        <f t="shared" si="12"/>
        <v>0</v>
      </c>
      <c r="W160" s="2"/>
      <c r="X160" s="2">
        <f t="shared" si="13"/>
        <v>34017.480000000003</v>
      </c>
      <c r="Y160" s="2"/>
      <c r="Z160" s="19">
        <f t="shared" si="14"/>
        <v>0</v>
      </c>
    </row>
    <row r="161" spans="1:26" s="24" customFormat="1" hidden="1" outlineLevel="1" x14ac:dyDescent="0.25">
      <c r="A161" s="44"/>
      <c r="B161" s="11" t="str">
        <f>CONCATENATE("          ", "5502", " - ", "FREIGHT-IN-USED TEXT")</f>
        <v xml:space="preserve">          5502 - FREIGHT-IN-USED TEXT</v>
      </c>
      <c r="C161" s="11"/>
      <c r="D161" s="2">
        <v>591.29999999999995</v>
      </c>
      <c r="E161" s="2"/>
      <c r="F161" s="19">
        <f t="shared" si="7"/>
        <v>9.4602027206410204E-4</v>
      </c>
      <c r="G161" s="2"/>
      <c r="H161" s="2"/>
      <c r="I161" s="2"/>
      <c r="J161" s="19">
        <f t="shared" si="8"/>
        <v>0</v>
      </c>
      <c r="K161" s="2"/>
      <c r="L161" s="2">
        <f t="shared" si="9"/>
        <v>591.29999999999995</v>
      </c>
      <c r="M161" s="2"/>
      <c r="N161" s="19">
        <f t="shared" si="10"/>
        <v>0</v>
      </c>
      <c r="O161" s="11"/>
      <c r="P161" s="2">
        <v>6852.47</v>
      </c>
      <c r="Q161" s="2"/>
      <c r="R161" s="19">
        <f t="shared" si="11"/>
        <v>1.1498936101692102E-3</v>
      </c>
      <c r="S161" s="2"/>
      <c r="T161" s="2"/>
      <c r="U161" s="2"/>
      <c r="V161" s="19">
        <f t="shared" si="12"/>
        <v>0</v>
      </c>
      <c r="W161" s="2"/>
      <c r="X161" s="2">
        <f t="shared" si="13"/>
        <v>6852.47</v>
      </c>
      <c r="Y161" s="2"/>
      <c r="Z161" s="19">
        <f t="shared" si="14"/>
        <v>0</v>
      </c>
    </row>
    <row r="162" spans="1:26" s="24" customFormat="1" hidden="1" outlineLevel="1" x14ac:dyDescent="0.25">
      <c r="A162" s="44"/>
      <c r="B162" s="11" t="str">
        <f>CONCATENATE("          ", "5504", " - ", "FREIGHT-IN-DIGITAL TEXT")</f>
        <v xml:space="preserve">          5504 - FREIGHT-IN-DIGITAL TEXT</v>
      </c>
      <c r="C162" s="11"/>
      <c r="D162" s="2">
        <v>93.94</v>
      </c>
      <c r="E162" s="2"/>
      <c r="F162" s="19">
        <f t="shared" si="7"/>
        <v>1.5029451100575299E-4</v>
      </c>
      <c r="G162" s="2"/>
      <c r="H162" s="2"/>
      <c r="I162" s="2"/>
      <c r="J162" s="19">
        <f t="shared" si="8"/>
        <v>0</v>
      </c>
      <c r="K162" s="2"/>
      <c r="L162" s="2">
        <f t="shared" si="9"/>
        <v>93.94</v>
      </c>
      <c r="M162" s="2"/>
      <c r="N162" s="19">
        <f t="shared" si="10"/>
        <v>0</v>
      </c>
      <c r="O162" s="11"/>
      <c r="P162" s="2">
        <v>100.97</v>
      </c>
      <c r="Q162" s="2"/>
      <c r="R162" s="19">
        <f t="shared" si="11"/>
        <v>1.6943490131118438E-5</v>
      </c>
      <c r="S162" s="2"/>
      <c r="T162" s="2"/>
      <c r="U162" s="2"/>
      <c r="V162" s="19">
        <f t="shared" si="12"/>
        <v>0</v>
      </c>
      <c r="W162" s="2"/>
      <c r="X162" s="2">
        <f t="shared" si="13"/>
        <v>100.97</v>
      </c>
      <c r="Y162" s="2"/>
      <c r="Z162" s="19">
        <f t="shared" si="14"/>
        <v>0</v>
      </c>
    </row>
    <row r="163" spans="1:26" s="24" customFormat="1" hidden="1" outlineLevel="1" x14ac:dyDescent="0.25">
      <c r="A163" s="44"/>
      <c r="B163" s="11" t="str">
        <f>CONCATENATE("          ", "5525", " - ", "FREIGHT-IN-TEST FORMS")</f>
        <v xml:space="preserve">          5525 - FREIGHT-IN-TEST FORMS</v>
      </c>
      <c r="C163" s="11"/>
      <c r="D163" s="2">
        <v>39.22</v>
      </c>
      <c r="E163" s="2"/>
      <c r="F163" s="19">
        <f t="shared" si="7"/>
        <v>6.2748038339851316E-5</v>
      </c>
      <c r="G163" s="2"/>
      <c r="H163" s="2"/>
      <c r="I163" s="2"/>
      <c r="J163" s="19">
        <f t="shared" si="8"/>
        <v>0</v>
      </c>
      <c r="K163" s="2"/>
      <c r="L163" s="2">
        <f t="shared" si="9"/>
        <v>39.22</v>
      </c>
      <c r="M163" s="2"/>
      <c r="N163" s="19">
        <f t="shared" si="10"/>
        <v>0</v>
      </c>
      <c r="O163" s="11"/>
      <c r="P163" s="2">
        <v>39.22</v>
      </c>
      <c r="Q163" s="2"/>
      <c r="R163" s="19">
        <f t="shared" si="11"/>
        <v>6.5813972758489165E-6</v>
      </c>
      <c r="S163" s="2"/>
      <c r="T163" s="2"/>
      <c r="U163" s="2"/>
      <c r="V163" s="19">
        <f t="shared" si="12"/>
        <v>0</v>
      </c>
      <c r="W163" s="2"/>
      <c r="X163" s="2">
        <f t="shared" si="13"/>
        <v>39.22</v>
      </c>
      <c r="Y163" s="2"/>
      <c r="Z163" s="19">
        <f t="shared" si="14"/>
        <v>0</v>
      </c>
    </row>
    <row r="164" spans="1:26" s="24" customFormat="1" hidden="1" outlineLevel="1" x14ac:dyDescent="0.25">
      <c r="A164" s="44"/>
      <c r="B164" s="11" t="str">
        <f>CONCATENATE("          ", "5526", " - ", "FREIGHT-IN-WRITING INSTRUMENTS")</f>
        <v xml:space="preserve">          5526 - FREIGHT-IN-WRITING INSTRUMENTS</v>
      </c>
      <c r="C164" s="11"/>
      <c r="D164" s="2"/>
      <c r="E164" s="2"/>
      <c r="F164" s="19">
        <f t="shared" si="7"/>
        <v>0</v>
      </c>
      <c r="G164" s="2"/>
      <c r="H164" s="2"/>
      <c r="I164" s="2"/>
      <c r="J164" s="19">
        <f t="shared" si="8"/>
        <v>0</v>
      </c>
      <c r="K164" s="2"/>
      <c r="L164" s="2">
        <f t="shared" si="9"/>
        <v>0</v>
      </c>
      <c r="M164" s="2"/>
      <c r="N164" s="19">
        <f t="shared" si="10"/>
        <v>0</v>
      </c>
      <c r="O164" s="11"/>
      <c r="P164" s="2">
        <v>56.57</v>
      </c>
      <c r="Q164" s="2"/>
      <c r="R164" s="19">
        <f t="shared" si="11"/>
        <v>9.4928517056290971E-6</v>
      </c>
      <c r="S164" s="2"/>
      <c r="T164" s="2"/>
      <c r="U164" s="2"/>
      <c r="V164" s="19">
        <f t="shared" si="12"/>
        <v>0</v>
      </c>
      <c r="W164" s="2"/>
      <c r="X164" s="2">
        <f t="shared" si="13"/>
        <v>56.57</v>
      </c>
      <c r="Y164" s="2"/>
      <c r="Z164" s="19">
        <f t="shared" si="14"/>
        <v>0</v>
      </c>
    </row>
    <row r="165" spans="1:26" s="24" customFormat="1" hidden="1" outlineLevel="1" x14ac:dyDescent="0.25">
      <c r="A165" s="44"/>
      <c r="B165" s="11" t="str">
        <f>CONCATENATE("          ", "5527", " - ", "FREIGHT-IN-SCHOOL SUPPLIES")</f>
        <v xml:space="preserve">          5527 - FREIGHT-IN-SCHOOL SUPPLIES</v>
      </c>
      <c r="C165" s="11"/>
      <c r="D165" s="2">
        <v>344.59</v>
      </c>
      <c r="E165" s="2"/>
      <c r="F165" s="19">
        <f t="shared" si="7"/>
        <v>5.5130919254281908E-4</v>
      </c>
      <c r="G165" s="2"/>
      <c r="H165" s="2"/>
      <c r="I165" s="2"/>
      <c r="J165" s="19">
        <f t="shared" si="8"/>
        <v>0</v>
      </c>
      <c r="K165" s="2"/>
      <c r="L165" s="2">
        <f t="shared" si="9"/>
        <v>344.59</v>
      </c>
      <c r="M165" s="2"/>
      <c r="N165" s="19">
        <f t="shared" si="10"/>
        <v>0</v>
      </c>
      <c r="O165" s="11"/>
      <c r="P165" s="2">
        <v>738.49</v>
      </c>
      <c r="Q165" s="2"/>
      <c r="R165" s="19">
        <f t="shared" si="11"/>
        <v>1.2392391826215367E-4</v>
      </c>
      <c r="S165" s="2"/>
      <c r="T165" s="2"/>
      <c r="U165" s="2"/>
      <c r="V165" s="19">
        <f t="shared" si="12"/>
        <v>0</v>
      </c>
      <c r="W165" s="2"/>
      <c r="X165" s="2">
        <f t="shared" si="13"/>
        <v>738.49</v>
      </c>
      <c r="Y165" s="2"/>
      <c r="Z165" s="19">
        <f t="shared" si="14"/>
        <v>0</v>
      </c>
    </row>
    <row r="166" spans="1:26" s="24" customFormat="1" hidden="1" outlineLevel="1" x14ac:dyDescent="0.25">
      <c r="A166" s="44"/>
      <c r="B166" s="11" t="str">
        <f>CONCATENATE("          ", "5528", " - ", "FREIGHT-IN-ART/TECH")</f>
        <v xml:space="preserve">          5528 - FREIGHT-IN-ART/TECH</v>
      </c>
      <c r="C166" s="11"/>
      <c r="D166" s="2">
        <v>185.67</v>
      </c>
      <c r="E166" s="2"/>
      <c r="F166" s="19">
        <f t="shared" si="7"/>
        <v>2.9705324524630783E-4</v>
      </c>
      <c r="G166" s="2"/>
      <c r="H166" s="2"/>
      <c r="I166" s="2"/>
      <c r="J166" s="19">
        <f t="shared" si="8"/>
        <v>0</v>
      </c>
      <c r="K166" s="2"/>
      <c r="L166" s="2">
        <f t="shared" si="9"/>
        <v>185.67</v>
      </c>
      <c r="M166" s="2"/>
      <c r="N166" s="19">
        <f t="shared" si="10"/>
        <v>0</v>
      </c>
      <c r="O166" s="11"/>
      <c r="P166" s="2">
        <v>818.44</v>
      </c>
      <c r="Q166" s="2"/>
      <c r="R166" s="19">
        <f t="shared" si="11"/>
        <v>1.3734010164318682E-4</v>
      </c>
      <c r="S166" s="2"/>
      <c r="T166" s="2"/>
      <c r="U166" s="2"/>
      <c r="V166" s="19">
        <f t="shared" si="12"/>
        <v>0</v>
      </c>
      <c r="W166" s="2"/>
      <c r="X166" s="2">
        <f t="shared" si="13"/>
        <v>818.44</v>
      </c>
      <c r="Y166" s="2"/>
      <c r="Z166" s="19">
        <f t="shared" si="14"/>
        <v>0</v>
      </c>
    </row>
    <row r="167" spans="1:26" s="24" customFormat="1" hidden="1" outlineLevel="1" x14ac:dyDescent="0.25">
      <c r="A167" s="44"/>
      <c r="B167" s="11" t="str">
        <f>CONCATENATE("          ", "5540", " - ", "FREIGHT-IN-LOGO CLOTHING")</f>
        <v xml:space="preserve">          5540 - FREIGHT-IN-LOGO CLOTHING</v>
      </c>
      <c r="C167" s="11"/>
      <c r="D167" s="2">
        <v>9102.58</v>
      </c>
      <c r="E167" s="2"/>
      <c r="F167" s="19">
        <f t="shared" si="7"/>
        <v>1.4563208537265778E-2</v>
      </c>
      <c r="G167" s="2"/>
      <c r="H167" s="2"/>
      <c r="I167" s="2"/>
      <c r="J167" s="19">
        <f t="shared" si="8"/>
        <v>0</v>
      </c>
      <c r="K167" s="2"/>
      <c r="L167" s="2">
        <f t="shared" si="9"/>
        <v>9102.58</v>
      </c>
      <c r="M167" s="2"/>
      <c r="N167" s="19">
        <f t="shared" si="10"/>
        <v>0</v>
      </c>
      <c r="O167" s="11"/>
      <c r="P167" s="2">
        <v>14107.44</v>
      </c>
      <c r="Q167" s="2"/>
      <c r="R167" s="19">
        <f t="shared" si="11"/>
        <v>2.367329606965886E-3</v>
      </c>
      <c r="S167" s="2"/>
      <c r="T167" s="2"/>
      <c r="U167" s="2"/>
      <c r="V167" s="19">
        <f t="shared" si="12"/>
        <v>0</v>
      </c>
      <c r="W167" s="2"/>
      <c r="X167" s="2">
        <f t="shared" si="13"/>
        <v>14107.44</v>
      </c>
      <c r="Y167" s="2"/>
      <c r="Z167" s="19">
        <f t="shared" si="14"/>
        <v>0</v>
      </c>
    </row>
    <row r="168" spans="1:26" s="24" customFormat="1" hidden="1" outlineLevel="1" x14ac:dyDescent="0.25">
      <c r="A168" s="44"/>
      <c r="B168" s="11" t="str">
        <f>CONCATENATE("          ", "5541", " - ", "FREIGHT-IN-LOGO GIFTS")</f>
        <v xml:space="preserve">          5541 - FREIGHT-IN-LOGO GIFTS</v>
      </c>
      <c r="C168" s="11"/>
      <c r="D168" s="2">
        <v>718.84</v>
      </c>
      <c r="E168" s="2"/>
      <c r="F168" s="19">
        <f t="shared" si="7"/>
        <v>1.1500713890927772E-3</v>
      </c>
      <c r="G168" s="2"/>
      <c r="H168" s="2"/>
      <c r="I168" s="2"/>
      <c r="J168" s="19">
        <f t="shared" si="8"/>
        <v>0</v>
      </c>
      <c r="K168" s="2"/>
      <c r="L168" s="2">
        <f t="shared" si="9"/>
        <v>718.84</v>
      </c>
      <c r="M168" s="2"/>
      <c r="N168" s="19">
        <f t="shared" si="10"/>
        <v>0</v>
      </c>
      <c r="O168" s="11"/>
      <c r="P168" s="2">
        <v>1536.85</v>
      </c>
      <c r="Q168" s="2"/>
      <c r="R168" s="19">
        <f t="shared" si="11"/>
        <v>2.5789445189669573E-4</v>
      </c>
      <c r="S168" s="2"/>
      <c r="T168" s="2"/>
      <c r="U168" s="2"/>
      <c r="V168" s="19">
        <f t="shared" si="12"/>
        <v>0</v>
      </c>
      <c r="W168" s="2"/>
      <c r="X168" s="2">
        <f t="shared" si="13"/>
        <v>1536.85</v>
      </c>
      <c r="Y168" s="2"/>
      <c r="Z168" s="19">
        <f t="shared" si="14"/>
        <v>0</v>
      </c>
    </row>
    <row r="169" spans="1:26" s="24" customFormat="1" hidden="1" outlineLevel="1" x14ac:dyDescent="0.25">
      <c r="A169" s="44"/>
      <c r="B169" s="11" t="str">
        <f>CONCATENATE("          ", "5542", " - ", "FREIGHT-IN-EVERYDAY GIFTS")</f>
        <v xml:space="preserve">          5542 - FREIGHT-IN-EVERYDAY GIFTS</v>
      </c>
      <c r="C169" s="11"/>
      <c r="D169" s="2">
        <v>596.04999999999995</v>
      </c>
      <c r="E169" s="2"/>
      <c r="F169" s="19">
        <f t="shared" si="7"/>
        <v>9.536197922607949E-4</v>
      </c>
      <c r="G169" s="2"/>
      <c r="H169" s="2"/>
      <c r="I169" s="2"/>
      <c r="J169" s="19">
        <f t="shared" si="8"/>
        <v>0</v>
      </c>
      <c r="K169" s="2"/>
      <c r="L169" s="2">
        <f t="shared" si="9"/>
        <v>596.04999999999995</v>
      </c>
      <c r="M169" s="2"/>
      <c r="N169" s="19">
        <f t="shared" si="10"/>
        <v>0</v>
      </c>
      <c r="O169" s="11"/>
      <c r="P169" s="2">
        <v>767.73</v>
      </c>
      <c r="Q169" s="2"/>
      <c r="R169" s="19">
        <f t="shared" si="11"/>
        <v>1.2883059996398493E-4</v>
      </c>
      <c r="S169" s="2"/>
      <c r="T169" s="2"/>
      <c r="U169" s="2"/>
      <c r="V169" s="19">
        <f t="shared" si="12"/>
        <v>0</v>
      </c>
      <c r="W169" s="2"/>
      <c r="X169" s="2">
        <f t="shared" si="13"/>
        <v>767.73</v>
      </c>
      <c r="Y169" s="2"/>
      <c r="Z169" s="19">
        <f t="shared" si="14"/>
        <v>0</v>
      </c>
    </row>
    <row r="170" spans="1:26" s="24" customFormat="1" hidden="1" outlineLevel="1" x14ac:dyDescent="0.25">
      <c r="A170" s="44"/>
      <c r="B170" s="11" t="str">
        <f>CONCATENATE("          ", "5543", " - ", "FREIGHT-IN-CARDS")</f>
        <v xml:space="preserve">          5543 - FREIGHT-IN-CARDS</v>
      </c>
      <c r="C170" s="11"/>
      <c r="D170" s="2"/>
      <c r="E170" s="2"/>
      <c r="F170" s="19">
        <f t="shared" si="7"/>
        <v>0</v>
      </c>
      <c r="G170" s="2"/>
      <c r="H170" s="2"/>
      <c r="I170" s="2"/>
      <c r="J170" s="19">
        <f t="shared" si="8"/>
        <v>0</v>
      </c>
      <c r="K170" s="2"/>
      <c r="L170" s="2">
        <f t="shared" si="9"/>
        <v>0</v>
      </c>
      <c r="M170" s="2"/>
      <c r="N170" s="19">
        <f t="shared" si="10"/>
        <v>0</v>
      </c>
      <c r="O170" s="11"/>
      <c r="P170" s="2">
        <v>4.58</v>
      </c>
      <c r="Q170" s="2"/>
      <c r="R170" s="19">
        <f t="shared" si="11"/>
        <v>7.685568465932697E-7</v>
      </c>
      <c r="S170" s="2"/>
      <c r="T170" s="2"/>
      <c r="U170" s="2"/>
      <c r="V170" s="19">
        <f t="shared" si="12"/>
        <v>0</v>
      </c>
      <c r="W170" s="2"/>
      <c r="X170" s="2">
        <f t="shared" si="13"/>
        <v>4.58</v>
      </c>
      <c r="Y170" s="2"/>
      <c r="Z170" s="19">
        <f t="shared" si="14"/>
        <v>0</v>
      </c>
    </row>
    <row r="171" spans="1:26" s="24" customFormat="1" hidden="1" outlineLevel="1" x14ac:dyDescent="0.25">
      <c r="A171" s="44"/>
      <c r="B171" s="11" t="str">
        <f>CONCATENATE("          ", "5544", " - ", "FREIGHT-IN-ACCESSORIES")</f>
        <v xml:space="preserve">          5544 - FREIGHT-IN-ACCESSORIES</v>
      </c>
      <c r="C171" s="11"/>
      <c r="D171" s="2">
        <v>223.25</v>
      </c>
      <c r="E171" s="2"/>
      <c r="F171" s="19">
        <f t="shared" si="7"/>
        <v>3.5717744924456421E-4</v>
      </c>
      <c r="G171" s="2"/>
      <c r="H171" s="2"/>
      <c r="I171" s="2"/>
      <c r="J171" s="19">
        <f t="shared" si="8"/>
        <v>0</v>
      </c>
      <c r="K171" s="2"/>
      <c r="L171" s="2">
        <f t="shared" si="9"/>
        <v>223.25</v>
      </c>
      <c r="M171" s="2"/>
      <c r="N171" s="19">
        <f t="shared" si="10"/>
        <v>0</v>
      </c>
      <c r="O171" s="11"/>
      <c r="P171" s="2">
        <v>359.09</v>
      </c>
      <c r="Q171" s="2"/>
      <c r="R171" s="19">
        <f t="shared" si="11"/>
        <v>6.0257877302003758E-5</v>
      </c>
      <c r="S171" s="2"/>
      <c r="T171" s="2"/>
      <c r="U171" s="2"/>
      <c r="V171" s="19">
        <f t="shared" si="12"/>
        <v>0</v>
      </c>
      <c r="W171" s="2"/>
      <c r="X171" s="2">
        <f t="shared" si="13"/>
        <v>359.09</v>
      </c>
      <c r="Y171" s="2"/>
      <c r="Z171" s="19">
        <f t="shared" si="14"/>
        <v>0</v>
      </c>
    </row>
    <row r="172" spans="1:26" s="24" customFormat="1" hidden="1" outlineLevel="1" x14ac:dyDescent="0.25">
      <c r="A172" s="44"/>
      <c r="B172" s="11" t="str">
        <f>CONCATENATE("          ", "5545", " - ", "FREIGHT-IN-SPECIAL ORDERS")</f>
        <v xml:space="preserve">          5545 - FREIGHT-IN-SPECIAL ORDERS</v>
      </c>
      <c r="C172" s="11"/>
      <c r="D172" s="2">
        <v>84.47</v>
      </c>
      <c r="E172" s="2"/>
      <c r="F172" s="19">
        <f t="shared" si="7"/>
        <v>1.3514346758203063E-4</v>
      </c>
      <c r="G172" s="2"/>
      <c r="H172" s="2"/>
      <c r="I172" s="2"/>
      <c r="J172" s="19">
        <f t="shared" si="8"/>
        <v>0</v>
      </c>
      <c r="K172" s="2"/>
      <c r="L172" s="2">
        <f t="shared" si="9"/>
        <v>84.47</v>
      </c>
      <c r="M172" s="2"/>
      <c r="N172" s="19">
        <f t="shared" si="10"/>
        <v>0</v>
      </c>
      <c r="O172" s="11"/>
      <c r="P172" s="2">
        <v>346.98</v>
      </c>
      <c r="Q172" s="2"/>
      <c r="R172" s="19">
        <f t="shared" si="11"/>
        <v>5.822573245216872E-5</v>
      </c>
      <c r="S172" s="2"/>
      <c r="T172" s="2"/>
      <c r="U172" s="2"/>
      <c r="V172" s="19">
        <f t="shared" si="12"/>
        <v>0</v>
      </c>
      <c r="W172" s="2"/>
      <c r="X172" s="2">
        <f t="shared" si="13"/>
        <v>346.98</v>
      </c>
      <c r="Y172" s="2"/>
      <c r="Z172" s="19">
        <f t="shared" si="14"/>
        <v>0</v>
      </c>
    </row>
    <row r="173" spans="1:26" s="24" customFormat="1" hidden="1" outlineLevel="1" x14ac:dyDescent="0.25">
      <c r="A173" s="44"/>
      <c r="B173" s="11" t="str">
        <f>CONCATENATE("          ", "5581", " - ", "FREIGHT-IN-ELECTRONICS")</f>
        <v xml:space="preserve">          5581 - FREIGHT-IN-ELECTRONICS</v>
      </c>
      <c r="C173" s="11"/>
      <c r="D173" s="2">
        <v>12.8</v>
      </c>
      <c r="E173" s="2"/>
      <c r="F173" s="19">
        <f t="shared" si="7"/>
        <v>2.0478707056351272E-5</v>
      </c>
      <c r="G173" s="2"/>
      <c r="H173" s="2"/>
      <c r="I173" s="2"/>
      <c r="J173" s="19">
        <f t="shared" si="8"/>
        <v>0</v>
      </c>
      <c r="K173" s="2"/>
      <c r="L173" s="2">
        <f t="shared" si="9"/>
        <v>12.8</v>
      </c>
      <c r="M173" s="2"/>
      <c r="N173" s="19">
        <f t="shared" si="10"/>
        <v>0</v>
      </c>
      <c r="O173" s="11"/>
      <c r="P173" s="2">
        <v>105.75</v>
      </c>
      <c r="Q173" s="2"/>
      <c r="R173" s="19">
        <f t="shared" si="11"/>
        <v>1.774560841206076E-5</v>
      </c>
      <c r="S173" s="2"/>
      <c r="T173" s="2"/>
      <c r="U173" s="2"/>
      <c r="V173" s="19">
        <f t="shared" si="12"/>
        <v>0</v>
      </c>
      <c r="W173" s="2"/>
      <c r="X173" s="2">
        <f t="shared" si="13"/>
        <v>105.75</v>
      </c>
      <c r="Y173" s="2"/>
      <c r="Z173" s="19">
        <f t="shared" si="14"/>
        <v>0</v>
      </c>
    </row>
    <row r="174" spans="1:26" s="24" customFormat="1" hidden="1" outlineLevel="1" x14ac:dyDescent="0.25">
      <c r="A174" s="44"/>
      <c r="B174" s="11" t="str">
        <f>CONCATENATE("          ", "5582", " - ", "FREIGHT-IN-COMPUTER HARDWARE")</f>
        <v xml:space="preserve">          5582 - FREIGHT-IN-COMPUTER HARDWARE</v>
      </c>
      <c r="C174" s="11"/>
      <c r="D174" s="2"/>
      <c r="E174" s="2"/>
      <c r="F174" s="19">
        <f t="shared" si="7"/>
        <v>0</v>
      </c>
      <c r="G174" s="2"/>
      <c r="H174" s="2"/>
      <c r="I174" s="2"/>
      <c r="J174" s="19">
        <f t="shared" si="8"/>
        <v>0</v>
      </c>
      <c r="K174" s="2"/>
      <c r="L174" s="2">
        <f t="shared" si="9"/>
        <v>0</v>
      </c>
      <c r="M174" s="2"/>
      <c r="N174" s="19">
        <f t="shared" si="10"/>
        <v>0</v>
      </c>
      <c r="O174" s="11"/>
      <c r="P174" s="2">
        <v>4.84</v>
      </c>
      <c r="Q174" s="2"/>
      <c r="R174" s="19">
        <f t="shared" si="11"/>
        <v>8.121867112470361E-7</v>
      </c>
      <c r="S174" s="2"/>
      <c r="T174" s="2"/>
      <c r="U174" s="2"/>
      <c r="V174" s="19">
        <f t="shared" si="12"/>
        <v>0</v>
      </c>
      <c r="W174" s="2"/>
      <c r="X174" s="2">
        <f t="shared" si="13"/>
        <v>4.84</v>
      </c>
      <c r="Y174" s="2"/>
      <c r="Z174" s="19">
        <f t="shared" si="14"/>
        <v>0</v>
      </c>
    </row>
    <row r="175" spans="1:26" s="24" customFormat="1" hidden="1" outlineLevel="1" x14ac:dyDescent="0.25">
      <c r="A175" s="44"/>
      <c r="B175" s="11" t="str">
        <f>CONCATENATE("          ", "5583", " - ", "FREIGHT-IN-COMPUTER EQUIPMENT")</f>
        <v xml:space="preserve">          5583 - FREIGHT-IN-COMPUTER EQUIPMENT</v>
      </c>
      <c r="C175" s="11"/>
      <c r="D175" s="2"/>
      <c r="E175" s="2"/>
      <c r="F175" s="19">
        <f t="shared" si="7"/>
        <v>0</v>
      </c>
      <c r="G175" s="2"/>
      <c r="H175" s="2"/>
      <c r="I175" s="2"/>
      <c r="J175" s="19">
        <f t="shared" si="8"/>
        <v>0</v>
      </c>
      <c r="K175" s="2"/>
      <c r="L175" s="2">
        <f t="shared" si="9"/>
        <v>0</v>
      </c>
      <c r="M175" s="2"/>
      <c r="N175" s="19">
        <f t="shared" si="10"/>
        <v>0</v>
      </c>
      <c r="O175" s="11"/>
      <c r="P175" s="2">
        <v>41</v>
      </c>
      <c r="Q175" s="2"/>
      <c r="R175" s="19">
        <f t="shared" si="11"/>
        <v>6.8800940415554709E-6</v>
      </c>
      <c r="S175" s="2"/>
      <c r="T175" s="2"/>
      <c r="U175" s="2"/>
      <c r="V175" s="19">
        <f t="shared" si="12"/>
        <v>0</v>
      </c>
      <c r="W175" s="2"/>
      <c r="X175" s="2">
        <f t="shared" si="13"/>
        <v>41</v>
      </c>
      <c r="Y175" s="2"/>
      <c r="Z175" s="19">
        <f t="shared" si="14"/>
        <v>0</v>
      </c>
    </row>
    <row r="176" spans="1:26" s="24" customFormat="1" hidden="1" outlineLevel="1" x14ac:dyDescent="0.25">
      <c r="A176" s="44"/>
      <c r="B176" s="11" t="str">
        <f>CONCATENATE("          ", "5586", " - ", "FREIGHT-IN-COMPUTER SUPPLIES")</f>
        <v xml:space="preserve">          5586 - FREIGHT-IN-COMPUTER SUPPLIES</v>
      </c>
      <c r="C176" s="11"/>
      <c r="D176" s="2">
        <v>60.12</v>
      </c>
      <c r="E176" s="2"/>
      <c r="F176" s="19">
        <f t="shared" si="7"/>
        <v>9.6185927205299872E-5</v>
      </c>
      <c r="G176" s="2"/>
      <c r="H176" s="2"/>
      <c r="I176" s="2"/>
      <c r="J176" s="19">
        <f t="shared" si="8"/>
        <v>0</v>
      </c>
      <c r="K176" s="2"/>
      <c r="L176" s="2">
        <f t="shared" si="9"/>
        <v>60.12</v>
      </c>
      <c r="M176" s="2"/>
      <c r="N176" s="19">
        <f t="shared" si="10"/>
        <v>0</v>
      </c>
      <c r="O176" s="11"/>
      <c r="P176" s="2">
        <v>162.51</v>
      </c>
      <c r="Q176" s="2"/>
      <c r="R176" s="19">
        <f t="shared" si="11"/>
        <v>2.7270343480321454E-5</v>
      </c>
      <c r="S176" s="2"/>
      <c r="T176" s="2"/>
      <c r="U176" s="2"/>
      <c r="V176" s="19">
        <f t="shared" si="12"/>
        <v>0</v>
      </c>
      <c r="W176" s="2"/>
      <c r="X176" s="2">
        <f t="shared" si="13"/>
        <v>162.51</v>
      </c>
      <c r="Y176" s="2"/>
      <c r="Z176" s="19">
        <f t="shared" si="14"/>
        <v>0</v>
      </c>
    </row>
    <row r="177" spans="1:26" s="24" customFormat="1" hidden="1" outlineLevel="1" x14ac:dyDescent="0.25">
      <c r="A177" s="44"/>
      <c r="B177" s="11" t="str">
        <f>CONCATENATE("          ", "5592", " - ", "FREIGHT-IN-GRAD MERCH")</f>
        <v xml:space="preserve">          5592 - FREIGHT-IN-GRAD MERCH</v>
      </c>
      <c r="C177" s="11"/>
      <c r="D177" s="2"/>
      <c r="E177" s="2"/>
      <c r="F177" s="19">
        <f t="shared" si="7"/>
        <v>0</v>
      </c>
      <c r="G177" s="2"/>
      <c r="H177" s="2"/>
      <c r="I177" s="2"/>
      <c r="J177" s="19">
        <f t="shared" si="8"/>
        <v>0</v>
      </c>
      <c r="K177" s="2"/>
      <c r="L177" s="2">
        <f t="shared" si="9"/>
        <v>0</v>
      </c>
      <c r="M177" s="2"/>
      <c r="N177" s="19">
        <f t="shared" si="10"/>
        <v>0</v>
      </c>
      <c r="O177" s="11"/>
      <c r="P177" s="2">
        <v>70.78</v>
      </c>
      <c r="Q177" s="2"/>
      <c r="R177" s="19">
        <f t="shared" si="11"/>
        <v>1.1877391616129177E-5</v>
      </c>
      <c r="S177" s="2"/>
      <c r="T177" s="2"/>
      <c r="U177" s="2"/>
      <c r="V177" s="19">
        <f t="shared" si="12"/>
        <v>0</v>
      </c>
      <c r="W177" s="2"/>
      <c r="X177" s="2">
        <f t="shared" si="13"/>
        <v>70.78</v>
      </c>
      <c r="Y177" s="2"/>
      <c r="Z177" s="19">
        <f t="shared" si="14"/>
        <v>0</v>
      </c>
    </row>
    <row r="178" spans="1:26" x14ac:dyDescent="0.25">
      <c r="A178" s="9"/>
      <c r="B178" s="10"/>
      <c r="C178" s="10"/>
      <c r="D178" s="3"/>
      <c r="E178" s="3"/>
      <c r="F178" s="8"/>
      <c r="G178" s="3"/>
      <c r="H178" s="3"/>
      <c r="I178" s="3"/>
      <c r="J178" s="8"/>
      <c r="K178" s="3"/>
      <c r="L178" s="3"/>
      <c r="M178" s="3"/>
      <c r="N178" s="8"/>
      <c r="O178" s="10"/>
      <c r="P178" s="3"/>
      <c r="Q178" s="3"/>
      <c r="R178" s="8"/>
      <c r="S178" s="3"/>
      <c r="T178" s="3"/>
      <c r="U178" s="3"/>
      <c r="V178" s="8"/>
      <c r="W178" s="3"/>
      <c r="X178" s="3"/>
      <c r="Y178" s="3"/>
      <c r="Z178" s="8"/>
    </row>
    <row r="179" spans="1:26" s="23" customFormat="1" x14ac:dyDescent="0.25">
      <c r="A179" s="10"/>
      <c r="B179" s="28" t="s">
        <v>6</v>
      </c>
      <c r="C179" s="28"/>
      <c r="D179" s="22">
        <f>D12-D121</f>
        <v>288028.01000000059</v>
      </c>
      <c r="E179" s="14"/>
      <c r="F179" s="20">
        <f>IF(D$12=0,0,D179/D$12)</f>
        <v>0.46081572193858023</v>
      </c>
      <c r="G179" s="14"/>
      <c r="H179" s="22">
        <f>H12-H121</f>
        <v>305060.15738000005</v>
      </c>
      <c r="I179" s="14"/>
      <c r="J179" s="20">
        <f>IF(H$12=0,0,H179/H$12)</f>
        <v>0.49203520328817152</v>
      </c>
      <c r="K179" s="16"/>
      <c r="L179" s="22">
        <f>+D179-H179</f>
        <v>-17032.147379999456</v>
      </c>
      <c r="M179" s="16"/>
      <c r="N179" s="20">
        <f>IF(H179=0,0,L179/H179)</f>
        <v>-5.5832093991819647E-2</v>
      </c>
      <c r="O179" s="29"/>
      <c r="P179" s="22">
        <f>P12-P121</f>
        <v>1943946.6499999994</v>
      </c>
      <c r="Q179" s="14"/>
      <c r="R179" s="20">
        <f>IF(P$12=0,0,P179/P$12)</f>
        <v>0.32620818936016377</v>
      </c>
      <c r="S179" s="14"/>
      <c r="T179" s="22">
        <f>T12-T121</f>
        <v>2191187.6653899993</v>
      </c>
      <c r="U179" s="14"/>
      <c r="V179" s="20">
        <f>IF(T$12=0,0,T179/T$12)</f>
        <v>0.3639321044339317</v>
      </c>
      <c r="W179" s="16"/>
      <c r="X179" s="22">
        <f>+P179-T179</f>
        <v>-247241.01538999984</v>
      </c>
      <c r="Y179" s="16"/>
      <c r="Z179" s="20">
        <f>IF(T179=0,0,X179/T179)</f>
        <v>-0.11283424934121038</v>
      </c>
    </row>
    <row r="180" spans="1:26" x14ac:dyDescent="0.25">
      <c r="A180" s="9"/>
      <c r="B180" s="10"/>
      <c r="C180" s="9"/>
      <c r="D180" s="1"/>
      <c r="E180" s="1"/>
      <c r="F180" s="5"/>
      <c r="G180" s="1"/>
      <c r="H180" s="1"/>
      <c r="I180" s="1"/>
      <c r="J180" s="5"/>
      <c r="K180" s="1"/>
      <c r="L180" s="1"/>
      <c r="M180" s="1"/>
      <c r="N180" s="5"/>
      <c r="O180" s="36"/>
      <c r="P180" s="1"/>
      <c r="Q180" s="1"/>
      <c r="R180" s="5"/>
      <c r="S180" s="1"/>
      <c r="T180" s="1"/>
      <c r="U180" s="1"/>
      <c r="V180" s="5"/>
      <c r="W180" s="1"/>
      <c r="X180" s="1"/>
      <c r="Y180" s="1"/>
      <c r="Z180" s="5"/>
    </row>
    <row r="181" spans="1:26" s="23" customFormat="1" x14ac:dyDescent="0.25">
      <c r="A181" s="10"/>
      <c r="B181" s="29" t="s">
        <v>9</v>
      </c>
      <c r="C181" s="10"/>
      <c r="D181" s="21">
        <f>SUM(OSRRefD22x_0)</f>
        <v>420455.72000000009</v>
      </c>
      <c r="E181" s="21"/>
      <c r="F181" s="35">
        <f t="shared" ref="F181:F192" si="15">IF(D$12=0,0,D181/D$12)</f>
        <v>0.67268668125369191</v>
      </c>
      <c r="G181" s="21"/>
      <c r="H181" s="21">
        <f>SUM(OSRRefH22x_0)</f>
        <v>402591.48966021894</v>
      </c>
      <c r="I181" s="21"/>
      <c r="J181" s="35">
        <f t="shared" ref="J181:J192" si="16">IF(H$12=0,0,H181/H$12)</f>
        <v>0.64934466420766523</v>
      </c>
      <c r="K181" s="4"/>
      <c r="L181" s="21">
        <f t="shared" ref="L181:L192" si="17">+D181-H181</f>
        <v>17864.230339781148</v>
      </c>
      <c r="M181" s="4"/>
      <c r="N181" s="35">
        <f t="shared" ref="N181:N192" si="18">IF(H181=0,0,L181/H181)</f>
        <v>4.437309480848263E-2</v>
      </c>
      <c r="O181" s="10"/>
      <c r="P181" s="21">
        <f>SUM(OSRRefP22x_0)</f>
        <v>1642742.5599999994</v>
      </c>
      <c r="Q181" s="21"/>
      <c r="R181" s="35">
        <f t="shared" ref="R181:R192" si="19">IF(P$12=0,0,P181/P$12)</f>
        <v>0.27566398289916039</v>
      </c>
      <c r="S181" s="21"/>
      <c r="T181" s="21">
        <f>SUM(OSRRefT22x_0)</f>
        <v>1705289.6637059497</v>
      </c>
      <c r="U181" s="21"/>
      <c r="V181" s="35">
        <f t="shared" ref="V181:V192" si="20">IF(T$12=0,0,T181/T$12)</f>
        <v>0.28322980536287318</v>
      </c>
      <c r="W181" s="4"/>
      <c r="X181" s="21">
        <f t="shared" ref="X181:X192" si="21">+P181-T181</f>
        <v>-62547.103705950314</v>
      </c>
      <c r="Y181" s="4"/>
      <c r="Z181" s="35">
        <f t="shared" ref="Z181:Z192" si="22">IF(T181=0,0,X181/T181)</f>
        <v>-3.6678287001413255E-2</v>
      </c>
    </row>
    <row r="182" spans="1:26" s="26" customFormat="1" outlineLevel="1" collapsed="1" x14ac:dyDescent="0.25">
      <c r="A182" s="25"/>
      <c r="B182" s="13" t="str">
        <f>CONCATENATE("     ","*Benefits                                         ")</f>
        <v xml:space="preserve">     *Benefits                                         </v>
      </c>
      <c r="C182" s="13"/>
      <c r="D182" s="1">
        <f>SUM(OSRRefD22_0x_0)</f>
        <v>64355.5</v>
      </c>
      <c r="E182" s="1"/>
      <c r="F182" s="5">
        <f t="shared" si="15"/>
        <v>0.10296229937226674</v>
      </c>
      <c r="G182" s="1"/>
      <c r="H182" s="1">
        <f>SUM(OSRRefH22_0x_0)</f>
        <v>54331.914144152055</v>
      </c>
      <c r="I182" s="1"/>
      <c r="J182" s="5">
        <f t="shared" si="16"/>
        <v>8.7632598929177588E-2</v>
      </c>
      <c r="K182" s="1"/>
      <c r="L182" s="1">
        <f t="shared" si="17"/>
        <v>10023.585855847945</v>
      </c>
      <c r="M182" s="1"/>
      <c r="N182" s="5">
        <f t="shared" si="18"/>
        <v>0.18448799409594924</v>
      </c>
      <c r="O182" s="13"/>
      <c r="P182" s="1">
        <f>SUM(OSRRefP22_0x_0)</f>
        <v>229701.74</v>
      </c>
      <c r="Q182" s="1"/>
      <c r="R182" s="5">
        <f t="shared" si="19"/>
        <v>3.8545599334364002E-2</v>
      </c>
      <c r="S182" s="1"/>
      <c r="T182" s="1">
        <f>SUM(OSRRefT22_0x_0)</f>
        <v>215261.28040609253</v>
      </c>
      <c r="U182" s="1"/>
      <c r="V182" s="5">
        <f t="shared" si="20"/>
        <v>3.5752524541246201E-2</v>
      </c>
      <c r="W182" s="1"/>
      <c r="X182" s="1">
        <f t="shared" si="21"/>
        <v>14440.459593907464</v>
      </c>
      <c r="Y182" s="1"/>
      <c r="Z182" s="5">
        <f t="shared" si="22"/>
        <v>6.7083404719443254E-2</v>
      </c>
    </row>
    <row r="183" spans="1:26" s="24" customFormat="1" hidden="1" outlineLevel="2" x14ac:dyDescent="0.25">
      <c r="A183" s="27"/>
      <c r="B183" s="11" t="str">
        <f>CONCATENATE("          ", "6111", " - ", "F.I.C.A.")</f>
        <v xml:space="preserve">          6111 - F.I.C.A.</v>
      </c>
      <c r="C183" s="11"/>
      <c r="D183" s="6">
        <v>17165.099999999999</v>
      </c>
      <c r="E183" s="2"/>
      <c r="F183" s="7">
        <f t="shared" si="15"/>
        <v>2.7462426132263688E-2</v>
      </c>
      <c r="G183" s="2"/>
      <c r="H183" s="6">
        <v>9779.6016916716344</v>
      </c>
      <c r="I183" s="2"/>
      <c r="J183" s="7">
        <f t="shared" si="16"/>
        <v>1.5773637395869483E-2</v>
      </c>
      <c r="K183" s="2"/>
      <c r="L183" s="6">
        <f t="shared" si="17"/>
        <v>7385.4983083283641</v>
      </c>
      <c r="M183" s="2"/>
      <c r="N183" s="7">
        <f t="shared" si="18"/>
        <v>0.75519418286921614</v>
      </c>
      <c r="O183" s="11"/>
      <c r="P183" s="6">
        <v>51335.91</v>
      </c>
      <c r="Q183" s="2"/>
      <c r="R183" s="7">
        <f t="shared" si="19"/>
        <v>8.6145338660689741E-3</v>
      </c>
      <c r="S183" s="2"/>
      <c r="T183" s="6">
        <v>44580.693369093584</v>
      </c>
      <c r="U183" s="2"/>
      <c r="V183" s="7">
        <f t="shared" si="20"/>
        <v>7.4043614845058729E-3</v>
      </c>
      <c r="W183" s="2"/>
      <c r="X183" s="6">
        <f t="shared" si="21"/>
        <v>6755.2166309064196</v>
      </c>
      <c r="Y183" s="2"/>
      <c r="Z183" s="7">
        <f t="shared" si="22"/>
        <v>0.15152785029560806</v>
      </c>
    </row>
    <row r="184" spans="1:26" s="24" customFormat="1" hidden="1" outlineLevel="2" x14ac:dyDescent="0.25">
      <c r="A184" s="27"/>
      <c r="B184" s="11" t="str">
        <f>CONCATENATE("          ", "6112", " - ", "COMPENSATION INSURANCE")</f>
        <v xml:space="preserve">          6112 - COMPENSATION INSURANCE</v>
      </c>
      <c r="C184" s="11"/>
      <c r="D184" s="6">
        <v>136.85</v>
      </c>
      <c r="E184" s="2"/>
      <c r="F184" s="7">
        <f t="shared" si="15"/>
        <v>2.1894617661419308E-4</v>
      </c>
      <c r="G184" s="2"/>
      <c r="H184" s="6">
        <v>3816.9302870673041</v>
      </c>
      <c r="I184" s="2"/>
      <c r="J184" s="7">
        <f t="shared" si="16"/>
        <v>6.1563728474528972E-3</v>
      </c>
      <c r="K184" s="2"/>
      <c r="L184" s="6">
        <f t="shared" si="17"/>
        <v>-3680.0802870673042</v>
      </c>
      <c r="M184" s="2"/>
      <c r="N184" s="7">
        <f t="shared" si="18"/>
        <v>-0.96414658122950758</v>
      </c>
      <c r="O184" s="11"/>
      <c r="P184" s="6">
        <v>8760.44</v>
      </c>
      <c r="Q184" s="2"/>
      <c r="R184" s="7">
        <f t="shared" si="19"/>
        <v>1.4700646596440053E-3</v>
      </c>
      <c r="S184" s="2"/>
      <c r="T184" s="6">
        <v>15366.043163442302</v>
      </c>
      <c r="U184" s="2"/>
      <c r="V184" s="7">
        <f t="shared" si="20"/>
        <v>2.5521302961053574E-3</v>
      </c>
      <c r="W184" s="2"/>
      <c r="X184" s="6">
        <f t="shared" si="21"/>
        <v>-6605.6031634423016</v>
      </c>
      <c r="Y184" s="2"/>
      <c r="Z184" s="7">
        <f t="shared" si="22"/>
        <v>-0.42988315815471873</v>
      </c>
    </row>
    <row r="185" spans="1:26" s="24" customFormat="1" hidden="1" outlineLevel="2" x14ac:dyDescent="0.25">
      <c r="A185" s="27"/>
      <c r="B185" s="11" t="str">
        <f>CONCATENATE("          ", "6113", " - ", "GROUP INSURANCE")</f>
        <v xml:space="preserve">          6113 - GROUP INSURANCE</v>
      </c>
      <c r="C185" s="11"/>
      <c r="D185" s="6">
        <v>19970.38</v>
      </c>
      <c r="E185" s="2"/>
      <c r="F185" s="7">
        <f t="shared" si="15"/>
        <v>3.1950590767501279E-2</v>
      </c>
      <c r="G185" s="2"/>
      <c r="H185" s="6">
        <v>20168.711538461539</v>
      </c>
      <c r="I185" s="2"/>
      <c r="J185" s="7">
        <f t="shared" si="16"/>
        <v>3.2530357838653698E-2</v>
      </c>
      <c r="K185" s="2"/>
      <c r="L185" s="6">
        <f t="shared" si="17"/>
        <v>-198.331538461538</v>
      </c>
      <c r="M185" s="2"/>
      <c r="N185" s="7">
        <f t="shared" si="18"/>
        <v>-9.8336246261106798E-3</v>
      </c>
      <c r="O185" s="11"/>
      <c r="P185" s="6">
        <v>79429.119999999995</v>
      </c>
      <c r="Q185" s="2"/>
      <c r="R185" s="7">
        <f t="shared" si="19"/>
        <v>1.3328775981414499E-2</v>
      </c>
      <c r="S185" s="2"/>
      <c r="T185" s="6">
        <v>79731.461538461546</v>
      </c>
      <c r="U185" s="2"/>
      <c r="V185" s="7">
        <f t="shared" si="20"/>
        <v>1.3242516396750902E-2</v>
      </c>
      <c r="W185" s="2"/>
      <c r="X185" s="6">
        <f t="shared" si="21"/>
        <v>-302.34153846155095</v>
      </c>
      <c r="Y185" s="2"/>
      <c r="Z185" s="7">
        <f t="shared" si="22"/>
        <v>-3.7919979469547894E-3</v>
      </c>
    </row>
    <row r="186" spans="1:26" s="24" customFormat="1" hidden="1" outlineLevel="2" x14ac:dyDescent="0.25">
      <c r="A186" s="27"/>
      <c r="B186" s="11" t="str">
        <f>CONCATENATE("          ", "6114", " - ", "STATE UNEMPLOYMENT INSURANCE")</f>
        <v xml:space="preserve">          6114 - STATE UNEMPLOYMENT INSURANCE</v>
      </c>
      <c r="C186" s="11"/>
      <c r="D186" s="6">
        <v>634.78</v>
      </c>
      <c r="E186" s="2"/>
      <c r="F186" s="7">
        <f t="shared" si="15"/>
        <v>1.0155838800961453E-3</v>
      </c>
      <c r="G186" s="2"/>
      <c r="H186" s="6">
        <v>542.46439693842399</v>
      </c>
      <c r="I186" s="2"/>
      <c r="J186" s="7">
        <f t="shared" si="16"/>
        <v>8.7494736158453092E-4</v>
      </c>
      <c r="K186" s="2"/>
      <c r="L186" s="6">
        <f t="shared" si="17"/>
        <v>92.315603061575985</v>
      </c>
      <c r="M186" s="2"/>
      <c r="N186" s="7">
        <f t="shared" si="18"/>
        <v>0.17017817866497675</v>
      </c>
      <c r="O186" s="11"/>
      <c r="P186" s="6">
        <v>2102.64</v>
      </c>
      <c r="Q186" s="2"/>
      <c r="R186" s="7">
        <f t="shared" si="19"/>
        <v>3.5283807159844377E-4</v>
      </c>
      <c r="S186" s="2"/>
      <c r="T186" s="6">
        <v>2177.389077627568</v>
      </c>
      <c r="U186" s="2"/>
      <c r="V186" s="7">
        <f t="shared" si="20"/>
        <v>3.6164031119234087E-4</v>
      </c>
      <c r="W186" s="2"/>
      <c r="X186" s="6">
        <f t="shared" si="21"/>
        <v>-74.749077627568113</v>
      </c>
      <c r="Y186" s="2"/>
      <c r="Z186" s="7">
        <f t="shared" si="22"/>
        <v>-3.4329683378871795E-2</v>
      </c>
    </row>
    <row r="187" spans="1:26" s="24" customFormat="1" hidden="1" outlineLevel="2" x14ac:dyDescent="0.25">
      <c r="A187" s="27"/>
      <c r="B187" s="11" t="str">
        <f>CONCATENATE("          ", "6115", " - ", "P.E.R.S.")</f>
        <v xml:space="preserve">          6115 - P.E.R.S.</v>
      </c>
      <c r="C187" s="11"/>
      <c r="D187" s="6">
        <v>11147.32</v>
      </c>
      <c r="E187" s="2"/>
      <c r="F187" s="7">
        <f t="shared" si="15"/>
        <v>1.7834585995578568E-2</v>
      </c>
      <c r="G187" s="2"/>
      <c r="H187" s="6">
        <v>7878.1680506730709</v>
      </c>
      <c r="I187" s="2"/>
      <c r="J187" s="7">
        <f t="shared" si="16"/>
        <v>1.2706792167299386E-2</v>
      </c>
      <c r="K187" s="2"/>
      <c r="L187" s="6">
        <f t="shared" si="17"/>
        <v>3269.1519493269288</v>
      </c>
      <c r="M187" s="2"/>
      <c r="N187" s="7">
        <f t="shared" si="18"/>
        <v>0.41496346971776377</v>
      </c>
      <c r="O187" s="11"/>
      <c r="P187" s="6">
        <v>30400.329999999998</v>
      </c>
      <c r="Q187" s="2"/>
      <c r="R187" s="7">
        <f t="shared" si="19"/>
        <v>5.1013933974224396E-3</v>
      </c>
      <c r="S187" s="2"/>
      <c r="T187" s="6">
        <v>28361.40498242305</v>
      </c>
      <c r="U187" s="2"/>
      <c r="V187" s="7">
        <f t="shared" si="20"/>
        <v>4.7105165673334134E-3</v>
      </c>
      <c r="W187" s="2"/>
      <c r="X187" s="6">
        <f t="shared" si="21"/>
        <v>2038.9250175769484</v>
      </c>
      <c r="Y187" s="2"/>
      <c r="Z187" s="7">
        <f t="shared" si="22"/>
        <v>7.1890832588885137E-2</v>
      </c>
    </row>
    <row r="188" spans="1:26" s="24" customFormat="1" hidden="1" outlineLevel="2" x14ac:dyDescent="0.25">
      <c r="A188" s="27"/>
      <c r="B188" s="11" t="str">
        <f>CONCATENATE("          ", "6116", " - ", "EDUCATIONAL BENEFITS")</f>
        <v xml:space="preserve">          6116 - EDUCATIONAL BENEFITS</v>
      </c>
      <c r="C188" s="11"/>
      <c r="D188" s="6"/>
      <c r="E188" s="2"/>
      <c r="F188" s="7">
        <f t="shared" si="15"/>
        <v>0</v>
      </c>
      <c r="G188" s="2"/>
      <c r="H188" s="6">
        <v>0</v>
      </c>
      <c r="I188" s="2"/>
      <c r="J188" s="7">
        <f t="shared" si="16"/>
        <v>0</v>
      </c>
      <c r="K188" s="2"/>
      <c r="L188" s="6">
        <f t="shared" si="17"/>
        <v>0</v>
      </c>
      <c r="M188" s="2"/>
      <c r="N188" s="7">
        <f t="shared" si="18"/>
        <v>0</v>
      </c>
      <c r="O188" s="11"/>
      <c r="P188" s="6"/>
      <c r="Q188" s="2"/>
      <c r="R188" s="7">
        <f t="shared" si="19"/>
        <v>0</v>
      </c>
      <c r="S188" s="2"/>
      <c r="T188" s="6">
        <v>0</v>
      </c>
      <c r="U188" s="2"/>
      <c r="V188" s="7">
        <f t="shared" si="20"/>
        <v>0</v>
      </c>
      <c r="W188" s="2"/>
      <c r="X188" s="6">
        <f t="shared" si="21"/>
        <v>0</v>
      </c>
      <c r="Y188" s="2"/>
      <c r="Z188" s="7">
        <f t="shared" si="22"/>
        <v>0</v>
      </c>
    </row>
    <row r="189" spans="1:26" s="24" customFormat="1" hidden="1" outlineLevel="2" x14ac:dyDescent="0.25">
      <c r="A189" s="27"/>
      <c r="B189" s="11" t="str">
        <f>CONCATENATE("          ", "6117", " - ", "RETIREMENT STAFF HOURLY")</f>
        <v xml:space="preserve">          6117 - RETIREMENT STAFF HOURLY</v>
      </c>
      <c r="C189" s="11"/>
      <c r="D189" s="6">
        <v>237.99</v>
      </c>
      <c r="E189" s="2"/>
      <c r="F189" s="7">
        <f t="shared" si="15"/>
        <v>3.807599603391437E-4</v>
      </c>
      <c r="G189" s="2"/>
      <c r="H189" s="6"/>
      <c r="I189" s="2"/>
      <c r="J189" s="7">
        <f t="shared" si="16"/>
        <v>0</v>
      </c>
      <c r="K189" s="2"/>
      <c r="L189" s="6">
        <f t="shared" si="17"/>
        <v>237.99</v>
      </c>
      <c r="M189" s="2"/>
      <c r="N189" s="7">
        <f t="shared" si="18"/>
        <v>0</v>
      </c>
      <c r="O189" s="11"/>
      <c r="P189" s="6">
        <v>1251.3800000000001</v>
      </c>
      <c r="Q189" s="2"/>
      <c r="R189" s="7">
        <f t="shared" si="19"/>
        <v>2.0999053857857772E-4</v>
      </c>
      <c r="S189" s="2"/>
      <c r="T189" s="6"/>
      <c r="U189" s="2"/>
      <c r="V189" s="7">
        <f t="shared" si="20"/>
        <v>0</v>
      </c>
      <c r="W189" s="2"/>
      <c r="X189" s="6">
        <f t="shared" si="21"/>
        <v>1251.3800000000001</v>
      </c>
      <c r="Y189" s="2"/>
      <c r="Z189" s="7">
        <f t="shared" si="22"/>
        <v>0</v>
      </c>
    </row>
    <row r="190" spans="1:26" s="24" customFormat="1" hidden="1" outlineLevel="2" x14ac:dyDescent="0.25">
      <c r="A190" s="27"/>
      <c r="B190" s="11" t="str">
        <f>CONCATENATE("          ", "6118", " - ", "VACATION")</f>
        <v xml:space="preserve">          6118 - VACATION</v>
      </c>
      <c r="C190" s="11"/>
      <c r="D190" s="6">
        <v>7486.5</v>
      </c>
      <c r="E190" s="2"/>
      <c r="F190" s="7">
        <f t="shared" si="15"/>
        <v>1.1977643779482329E-2</v>
      </c>
      <c r="G190" s="2"/>
      <c r="H190" s="6">
        <v>5684.4326909807669</v>
      </c>
      <c r="I190" s="2"/>
      <c r="J190" s="7">
        <f t="shared" si="16"/>
        <v>9.1684899749154159E-3</v>
      </c>
      <c r="K190" s="2"/>
      <c r="L190" s="6">
        <f t="shared" si="17"/>
        <v>1802.0673090192331</v>
      </c>
      <c r="M190" s="2"/>
      <c r="N190" s="7">
        <f t="shared" si="18"/>
        <v>0.31701796942349092</v>
      </c>
      <c r="O190" s="11"/>
      <c r="P190" s="6">
        <v>25988.99</v>
      </c>
      <c r="Q190" s="2"/>
      <c r="R190" s="7">
        <f t="shared" si="19"/>
        <v>4.3611389084157251E-3</v>
      </c>
      <c r="S190" s="2"/>
      <c r="T190" s="6">
        <v>20463.957687530758</v>
      </c>
      <c r="U190" s="2"/>
      <c r="V190" s="7">
        <f t="shared" si="20"/>
        <v>3.3988376732416751E-3</v>
      </c>
      <c r="W190" s="2"/>
      <c r="X190" s="6">
        <f t="shared" si="21"/>
        <v>5525.0323124692441</v>
      </c>
      <c r="Y190" s="2"/>
      <c r="Z190" s="7">
        <f t="shared" si="22"/>
        <v>0.26998845466904947</v>
      </c>
    </row>
    <row r="191" spans="1:26" s="24" customFormat="1" hidden="1" outlineLevel="2" x14ac:dyDescent="0.25">
      <c r="A191" s="27"/>
      <c r="B191" s="11" t="str">
        <f>CONCATENATE("          ", "6119", " - ", "SICK LEAVE")</f>
        <v xml:space="preserve">          6119 - SICK LEAVE</v>
      </c>
      <c r="C191" s="11"/>
      <c r="D191" s="6">
        <v>5263.96</v>
      </c>
      <c r="E191" s="2"/>
      <c r="F191" s="7">
        <f t="shared" si="15"/>
        <v>8.4218042809649091E-3</v>
      </c>
      <c r="G191" s="2"/>
      <c r="H191" s="6">
        <v>4911.605488359316</v>
      </c>
      <c r="I191" s="2"/>
      <c r="J191" s="7">
        <f t="shared" si="16"/>
        <v>7.9219876685693164E-3</v>
      </c>
      <c r="K191" s="2"/>
      <c r="L191" s="6">
        <f t="shared" si="17"/>
        <v>352.354511640684</v>
      </c>
      <c r="M191" s="2"/>
      <c r="N191" s="7">
        <f t="shared" si="18"/>
        <v>7.1739172145600258E-2</v>
      </c>
      <c r="O191" s="11"/>
      <c r="P191" s="6">
        <v>21851.75</v>
      </c>
      <c r="Q191" s="2"/>
      <c r="R191" s="7">
        <f t="shared" si="19"/>
        <v>3.6668803651843849E-3</v>
      </c>
      <c r="S191" s="2"/>
      <c r="T191" s="6">
        <v>18380.330587513708</v>
      </c>
      <c r="U191" s="2"/>
      <c r="V191" s="7">
        <f t="shared" si="20"/>
        <v>3.0527701924219484E-3</v>
      </c>
      <c r="W191" s="2"/>
      <c r="X191" s="6">
        <f t="shared" si="21"/>
        <v>3471.4194124862915</v>
      </c>
      <c r="Y191" s="2"/>
      <c r="Z191" s="7">
        <f t="shared" si="22"/>
        <v>0.18886599432790002</v>
      </c>
    </row>
    <row r="192" spans="1:26" s="24" customFormat="1" hidden="1" outlineLevel="2" x14ac:dyDescent="0.25">
      <c r="A192" s="27"/>
      <c r="B192" s="11" t="str">
        <f>CONCATENATE("          ", "6156", " - ", "EMPLOYEE MEALS")</f>
        <v xml:space="preserve">          6156 - EMPLOYEE MEALS</v>
      </c>
      <c r="C192" s="11"/>
      <c r="D192" s="6">
        <v>2312.62</v>
      </c>
      <c r="E192" s="2"/>
      <c r="F192" s="7">
        <f t="shared" si="15"/>
        <v>3.6999583994264903E-3</v>
      </c>
      <c r="G192" s="2"/>
      <c r="H192" s="6">
        <v>1550</v>
      </c>
      <c r="I192" s="2"/>
      <c r="J192" s="7">
        <f t="shared" si="16"/>
        <v>2.5000136748328642E-3</v>
      </c>
      <c r="K192" s="2"/>
      <c r="L192" s="6">
        <f t="shared" si="17"/>
        <v>762.61999999999989</v>
      </c>
      <c r="M192" s="2"/>
      <c r="N192" s="7">
        <f t="shared" si="18"/>
        <v>0.49201290322580638</v>
      </c>
      <c r="O192" s="11"/>
      <c r="P192" s="6">
        <v>8581.18</v>
      </c>
      <c r="Q192" s="2"/>
      <c r="R192" s="7">
        <f t="shared" si="19"/>
        <v>1.4399835460369508E-3</v>
      </c>
      <c r="S192" s="2"/>
      <c r="T192" s="6">
        <v>6200</v>
      </c>
      <c r="U192" s="2"/>
      <c r="V192" s="7">
        <f t="shared" si="20"/>
        <v>1.0297516196946892E-3</v>
      </c>
      <c r="W192" s="2"/>
      <c r="X192" s="6">
        <f t="shared" si="21"/>
        <v>2381.1800000000003</v>
      </c>
      <c r="Y192" s="2"/>
      <c r="Z192" s="7">
        <f t="shared" si="22"/>
        <v>0.38406129032258068</v>
      </c>
    </row>
    <row r="193" spans="1:26" s="26" customFormat="1" outlineLevel="1" collapsed="1" x14ac:dyDescent="0.25">
      <c r="A193" s="25"/>
      <c r="B193" s="13" t="str">
        <f>CONCATENATE("     ","*Payroll                                          ")</f>
        <v xml:space="preserve">     *Payroll                                          </v>
      </c>
      <c r="C193" s="13"/>
      <c r="D193" s="1">
        <f>SUM(OSRRefD22_1x_0)</f>
        <v>196389.44</v>
      </c>
      <c r="E193" s="1"/>
      <c r="F193" s="5">
        <f t="shared" ref="F193:F203" si="23">IF(D$12=0,0,D193/D$12)</f>
        <v>0.31420326646256835</v>
      </c>
      <c r="G193" s="1"/>
      <c r="H193" s="1">
        <f>SUM(OSRRefH22_1x_0)</f>
        <v>199198.07551606692</v>
      </c>
      <c r="I193" s="1"/>
      <c r="J193" s="5">
        <f t="shared" ref="J193:J203" si="24">IF(H$12=0,0,H193/H$12)</f>
        <v>0.32128897599390766</v>
      </c>
      <c r="K193" s="1"/>
      <c r="L193" s="1">
        <f t="shared" ref="L193:L203" si="25">+D193-H193</f>
        <v>-2808.6355160669191</v>
      </c>
      <c r="M193" s="1"/>
      <c r="N193" s="5">
        <f t="shared" ref="N193:N203" si="26">IF(H193=0,0,L193/H193)</f>
        <v>-1.4099712102089964E-2</v>
      </c>
      <c r="O193" s="13"/>
      <c r="P193" s="1">
        <f>SUM(OSRRefP22_1x_0)</f>
        <v>790492.79999999993</v>
      </c>
      <c r="Q193" s="1"/>
      <c r="R193" s="5">
        <f t="shared" ref="R193:R203" si="27">IF(P$12=0,0,P193/P$12)</f>
        <v>0.1326503610529878</v>
      </c>
      <c r="S193" s="1"/>
      <c r="T193" s="1">
        <f>SUM(OSRRefT22_1x_0)</f>
        <v>803703.38329985691</v>
      </c>
      <c r="U193" s="1"/>
      <c r="V193" s="5">
        <f t="shared" ref="V193:V203" si="28">IF(T$12=0,0,T193/T$12)</f>
        <v>0.13348626785598861</v>
      </c>
      <c r="W193" s="1"/>
      <c r="X193" s="1">
        <f t="shared" ref="X193:X203" si="29">+P193-T193</f>
        <v>-13210.583299856982</v>
      </c>
      <c r="Y193" s="1"/>
      <c r="Z193" s="5">
        <f t="shared" ref="Z193:Z203" si="30">IF(T193=0,0,X193/T193)</f>
        <v>-1.6437137847568565E-2</v>
      </c>
    </row>
    <row r="194" spans="1:26" s="24" customFormat="1" hidden="1" outlineLevel="2" x14ac:dyDescent="0.25">
      <c r="A194" s="27"/>
      <c r="B194" s="11" t="str">
        <f>CONCATENATE("          ", "6001", " - ", "ADMINISTRATIVE SALARIES")</f>
        <v xml:space="preserve">          6001 - ADMINISTRATIVE SALARIES</v>
      </c>
      <c r="C194" s="11"/>
      <c r="D194" s="6">
        <v>12324.99</v>
      </c>
      <c r="E194" s="2"/>
      <c r="F194" s="7">
        <f t="shared" si="23"/>
        <v>1.9718739037692098E-2</v>
      </c>
      <c r="G194" s="2"/>
      <c r="H194" s="6">
        <v>34564.902865769225</v>
      </c>
      <c r="I194" s="2"/>
      <c r="J194" s="7">
        <f t="shared" si="24"/>
        <v>5.5750148279801758E-2</v>
      </c>
      <c r="K194" s="2"/>
      <c r="L194" s="6">
        <f t="shared" si="25"/>
        <v>-22239.912865769227</v>
      </c>
      <c r="M194" s="2"/>
      <c r="N194" s="7">
        <f t="shared" si="26"/>
        <v>-0.64342471761418296</v>
      </c>
      <c r="O194" s="11"/>
      <c r="P194" s="6">
        <v>46083.689999999995</v>
      </c>
      <c r="Q194" s="2"/>
      <c r="R194" s="7">
        <f t="shared" si="27"/>
        <v>7.7331736824851078E-3</v>
      </c>
      <c r="S194" s="2"/>
      <c r="T194" s="6">
        <v>124433.65031676923</v>
      </c>
      <c r="U194" s="2"/>
      <c r="V194" s="7">
        <f t="shared" si="28"/>
        <v>2.0667056928744466E-2</v>
      </c>
      <c r="W194" s="2"/>
      <c r="X194" s="6">
        <f t="shared" si="29"/>
        <v>-78349.960316769226</v>
      </c>
      <c r="Y194" s="2"/>
      <c r="Z194" s="7">
        <f t="shared" si="30"/>
        <v>-0.62965251053324145</v>
      </c>
    </row>
    <row r="195" spans="1:26" s="24" customFormat="1" hidden="1" outlineLevel="2" x14ac:dyDescent="0.25">
      <c r="A195" s="27"/>
      <c r="B195" s="11" t="str">
        <f>CONCATENATE("          ", "6002", " - ", "STAFF SALARIES")</f>
        <v xml:space="preserve">          6002 - STAFF SALARIES</v>
      </c>
      <c r="C195" s="11"/>
      <c r="D195" s="6">
        <v>68354.48</v>
      </c>
      <c r="E195" s="2"/>
      <c r="F195" s="7">
        <f t="shared" si="23"/>
        <v>0.10936026343040796</v>
      </c>
      <c r="G195" s="2"/>
      <c r="H195" s="6">
        <v>48915.043182057692</v>
      </c>
      <c r="I195" s="2"/>
      <c r="J195" s="7">
        <f t="shared" si="24"/>
        <v>7.8895662490441484E-2</v>
      </c>
      <c r="K195" s="2"/>
      <c r="L195" s="6">
        <f t="shared" si="25"/>
        <v>19439.436817942304</v>
      </c>
      <c r="M195" s="2"/>
      <c r="N195" s="7">
        <f t="shared" si="26"/>
        <v>0.39741223871745035</v>
      </c>
      <c r="O195" s="11"/>
      <c r="P195" s="6">
        <v>256907.28</v>
      </c>
      <c r="Q195" s="2"/>
      <c r="R195" s="7">
        <f t="shared" si="27"/>
        <v>4.3110884057566419E-2</v>
      </c>
      <c r="S195" s="2"/>
      <c r="T195" s="6">
        <v>176094.15545540774</v>
      </c>
      <c r="U195" s="2"/>
      <c r="V195" s="7">
        <f t="shared" si="28"/>
        <v>2.9247297064350728E-2</v>
      </c>
      <c r="W195" s="2"/>
      <c r="X195" s="6">
        <f t="shared" si="29"/>
        <v>80813.124544592254</v>
      </c>
      <c r="Y195" s="2"/>
      <c r="Z195" s="7">
        <f t="shared" si="30"/>
        <v>0.45891997003305729</v>
      </c>
    </row>
    <row r="196" spans="1:26" s="24" customFormat="1" hidden="1" outlineLevel="2" x14ac:dyDescent="0.25">
      <c r="A196" s="27"/>
      <c r="B196" s="11" t="str">
        <f>CONCATENATE("          ", "6003", " - ", "STAFF HOURLY-9 MONTH")</f>
        <v xml:space="preserve">          6003 - STAFF HOURLY-9 MONTH</v>
      </c>
      <c r="C196" s="11"/>
      <c r="D196" s="6"/>
      <c r="E196" s="2"/>
      <c r="F196" s="7">
        <f t="shared" si="23"/>
        <v>0</v>
      </c>
      <c r="G196" s="2"/>
      <c r="H196" s="6">
        <v>0</v>
      </c>
      <c r="I196" s="2"/>
      <c r="J196" s="7">
        <f t="shared" si="24"/>
        <v>0</v>
      </c>
      <c r="K196" s="2"/>
      <c r="L196" s="6">
        <f t="shared" si="25"/>
        <v>0</v>
      </c>
      <c r="M196" s="2"/>
      <c r="N196" s="7">
        <f t="shared" si="26"/>
        <v>0</v>
      </c>
      <c r="O196" s="11"/>
      <c r="P196" s="6"/>
      <c r="Q196" s="2"/>
      <c r="R196" s="7">
        <f t="shared" si="27"/>
        <v>0</v>
      </c>
      <c r="S196" s="2"/>
      <c r="T196" s="6">
        <v>0</v>
      </c>
      <c r="U196" s="2"/>
      <c r="V196" s="7">
        <f t="shared" si="28"/>
        <v>0</v>
      </c>
      <c r="W196" s="2"/>
      <c r="X196" s="6">
        <f t="shared" si="29"/>
        <v>0</v>
      </c>
      <c r="Y196" s="2"/>
      <c r="Z196" s="7">
        <f t="shared" si="30"/>
        <v>0</v>
      </c>
    </row>
    <row r="197" spans="1:26" s="24" customFormat="1" hidden="1" outlineLevel="2" x14ac:dyDescent="0.25">
      <c r="A197" s="27"/>
      <c r="B197" s="11" t="str">
        <f>CONCATENATE("          ", "6004", " - ", "STAFF HOURLY")</f>
        <v xml:space="preserve">          6004 - STAFF HOURLY</v>
      </c>
      <c r="C197" s="11"/>
      <c r="D197" s="6">
        <v>4439.95</v>
      </c>
      <c r="E197" s="2"/>
      <c r="F197" s="7">
        <f t="shared" si="23"/>
        <v>7.1034715152224082E-3</v>
      </c>
      <c r="G197" s="2"/>
      <c r="H197" s="6">
        <v>27470.02954</v>
      </c>
      <c r="I197" s="2"/>
      <c r="J197" s="7">
        <f t="shared" si="24"/>
        <v>4.4306741611653377E-2</v>
      </c>
      <c r="K197" s="2"/>
      <c r="L197" s="6">
        <f t="shared" si="25"/>
        <v>-23030.079539999999</v>
      </c>
      <c r="M197" s="2"/>
      <c r="N197" s="7">
        <f t="shared" si="26"/>
        <v>-0.83837112393582081</v>
      </c>
      <c r="O197" s="11"/>
      <c r="P197" s="6">
        <v>10542.16</v>
      </c>
      <c r="Q197" s="2"/>
      <c r="R197" s="7">
        <f t="shared" si="27"/>
        <v>1.7690500536859616E-3</v>
      </c>
      <c r="S197" s="2"/>
      <c r="T197" s="6">
        <v>101808.00384400001</v>
      </c>
      <c r="U197" s="2"/>
      <c r="V197" s="7">
        <f t="shared" si="28"/>
        <v>1.6909186589716477E-2</v>
      </c>
      <c r="W197" s="2"/>
      <c r="X197" s="6">
        <f t="shared" si="29"/>
        <v>-91265.843844000003</v>
      </c>
      <c r="Y197" s="2"/>
      <c r="Z197" s="7">
        <f t="shared" si="30"/>
        <v>-0.89645057753854296</v>
      </c>
    </row>
    <row r="198" spans="1:26" s="24" customFormat="1" hidden="1" outlineLevel="2" x14ac:dyDescent="0.25">
      <c r="A198" s="27"/>
      <c r="B198" s="11" t="str">
        <f>CONCATENATE("          ", "6005", " - ", "TEMPORARY WAGES-HOURLY")</f>
        <v xml:space="preserve">          6005 - TEMPORARY WAGES-HOURLY</v>
      </c>
      <c r="C198" s="11"/>
      <c r="D198" s="6">
        <v>28722.880000000001</v>
      </c>
      <c r="E198" s="2"/>
      <c r="F198" s="7">
        <f t="shared" si="23"/>
        <v>4.5953706666775847E-2</v>
      </c>
      <c r="G198" s="2"/>
      <c r="H198" s="6">
        <v>3490</v>
      </c>
      <c r="I198" s="2"/>
      <c r="J198" s="7">
        <f t="shared" si="24"/>
        <v>5.6290630484946433E-3</v>
      </c>
      <c r="K198" s="2"/>
      <c r="L198" s="6">
        <f t="shared" si="25"/>
        <v>25232.880000000001</v>
      </c>
      <c r="M198" s="2"/>
      <c r="N198" s="7">
        <f t="shared" si="26"/>
        <v>7.230051575931232</v>
      </c>
      <c r="O198" s="11"/>
      <c r="P198" s="6">
        <v>88906.790000000008</v>
      </c>
      <c r="Q198" s="2"/>
      <c r="R198" s="7">
        <f t="shared" si="27"/>
        <v>1.4919196978849357E-2</v>
      </c>
      <c r="S198" s="2"/>
      <c r="T198" s="6">
        <v>13513.28</v>
      </c>
      <c r="U198" s="2"/>
      <c r="V198" s="7">
        <f t="shared" si="28"/>
        <v>2.2444067689335245E-3</v>
      </c>
      <c r="W198" s="2"/>
      <c r="X198" s="6">
        <f t="shared" si="29"/>
        <v>75393.510000000009</v>
      </c>
      <c r="Y198" s="2"/>
      <c r="Z198" s="7">
        <f t="shared" si="30"/>
        <v>5.5792161488550525</v>
      </c>
    </row>
    <row r="199" spans="1:26" s="24" customFormat="1" hidden="1" outlineLevel="2" x14ac:dyDescent="0.25">
      <c r="A199" s="27"/>
      <c r="B199" s="11" t="str">
        <f>CONCATENATE("          ", "6006", " - ", "TEMPORARY PART TIME")</f>
        <v xml:space="preserve">          6006 - TEMPORARY PART TIME</v>
      </c>
      <c r="C199" s="11"/>
      <c r="D199" s="6">
        <v>5815.62</v>
      </c>
      <c r="E199" s="2"/>
      <c r="F199" s="7">
        <f t="shared" si="23"/>
        <v>9.3044045571138746E-3</v>
      </c>
      <c r="G199" s="2"/>
      <c r="H199" s="6">
        <v>0</v>
      </c>
      <c r="I199" s="2"/>
      <c r="J199" s="7">
        <f t="shared" si="24"/>
        <v>0</v>
      </c>
      <c r="K199" s="2"/>
      <c r="L199" s="6">
        <f t="shared" si="25"/>
        <v>5815.62</v>
      </c>
      <c r="M199" s="2"/>
      <c r="N199" s="7">
        <f t="shared" si="26"/>
        <v>0</v>
      </c>
      <c r="O199" s="11"/>
      <c r="P199" s="6">
        <v>25086.16</v>
      </c>
      <c r="Q199" s="2"/>
      <c r="R199" s="7">
        <f t="shared" si="27"/>
        <v>4.2096375595489562E-3</v>
      </c>
      <c r="S199" s="2"/>
      <c r="T199" s="6">
        <v>0</v>
      </c>
      <c r="U199" s="2"/>
      <c r="V199" s="7">
        <f t="shared" si="28"/>
        <v>0</v>
      </c>
      <c r="W199" s="2"/>
      <c r="X199" s="6">
        <f t="shared" si="29"/>
        <v>25086.16</v>
      </c>
      <c r="Y199" s="2"/>
      <c r="Z199" s="7">
        <f t="shared" si="30"/>
        <v>0</v>
      </c>
    </row>
    <row r="200" spans="1:26" s="24" customFormat="1" hidden="1" outlineLevel="2" x14ac:dyDescent="0.25">
      <c r="A200" s="27"/>
      <c r="B200" s="11" t="str">
        <f>CONCATENATE("          ", "6007", " - ", "STUDENT HOURLY")</f>
        <v xml:space="preserve">          6007 - STUDENT HOURLY</v>
      </c>
      <c r="C200" s="11"/>
      <c r="D200" s="6">
        <v>75624.51999999999</v>
      </c>
      <c r="E200" s="2"/>
      <c r="F200" s="7">
        <f t="shared" si="23"/>
        <v>0.12099159307477951</v>
      </c>
      <c r="G200" s="2"/>
      <c r="H200" s="6">
        <v>7395.7649999999994</v>
      </c>
      <c r="I200" s="2"/>
      <c r="J200" s="7">
        <f t="shared" si="24"/>
        <v>1.1928718474742115E-2</v>
      </c>
      <c r="K200" s="2"/>
      <c r="L200" s="6">
        <f t="shared" si="25"/>
        <v>68228.75499999999</v>
      </c>
      <c r="M200" s="2"/>
      <c r="N200" s="7">
        <f t="shared" si="26"/>
        <v>9.2253816880336235</v>
      </c>
      <c r="O200" s="11"/>
      <c r="P200" s="6">
        <v>358235.72000000003</v>
      </c>
      <c r="Q200" s="2"/>
      <c r="R200" s="7">
        <f t="shared" si="27"/>
        <v>6.0114522991325227E-2</v>
      </c>
      <c r="S200" s="2"/>
      <c r="T200" s="6">
        <v>146487.12136320001</v>
      </c>
      <c r="U200" s="2"/>
      <c r="V200" s="7">
        <f t="shared" si="28"/>
        <v>2.4329895240027051E-2</v>
      </c>
      <c r="W200" s="2"/>
      <c r="X200" s="6">
        <f t="shared" si="29"/>
        <v>211748.59863680002</v>
      </c>
      <c r="Y200" s="2"/>
      <c r="Z200" s="7">
        <f t="shared" si="30"/>
        <v>1.4455099988741724</v>
      </c>
    </row>
    <row r="201" spans="1:26" s="24" customFormat="1" hidden="1" outlineLevel="2" x14ac:dyDescent="0.25">
      <c r="A201" s="27"/>
      <c r="B201" s="11" t="str">
        <f>CONCATENATE("          ", "6008", " - ", "STUDENT HOURLY-FICA EXEMPT")</f>
        <v xml:space="preserve">          6008 - STUDENT HOURLY-FICA EXEMPT</v>
      </c>
      <c r="C201" s="11"/>
      <c r="D201" s="6">
        <v>1107</v>
      </c>
      <c r="E201" s="2"/>
      <c r="F201" s="7">
        <f t="shared" si="23"/>
        <v>1.7710881805766295E-3</v>
      </c>
      <c r="G201" s="2"/>
      <c r="H201" s="6">
        <v>77362.334928240001</v>
      </c>
      <c r="I201" s="2"/>
      <c r="J201" s="7">
        <f t="shared" si="24"/>
        <v>0.12477864208877429</v>
      </c>
      <c r="K201" s="2"/>
      <c r="L201" s="6">
        <f t="shared" si="25"/>
        <v>-76255.334928240001</v>
      </c>
      <c r="M201" s="2"/>
      <c r="N201" s="7">
        <f t="shared" si="26"/>
        <v>-0.98569071110603323</v>
      </c>
      <c r="O201" s="11"/>
      <c r="P201" s="6">
        <v>4731</v>
      </c>
      <c r="Q201" s="2"/>
      <c r="R201" s="7">
        <f t="shared" si="27"/>
        <v>7.9389572952680331E-4</v>
      </c>
      <c r="S201" s="2"/>
      <c r="T201" s="6">
        <v>241367.17232047999</v>
      </c>
      <c r="U201" s="2"/>
      <c r="V201" s="7">
        <f t="shared" si="28"/>
        <v>4.0088425264216361E-2</v>
      </c>
      <c r="W201" s="2"/>
      <c r="X201" s="6">
        <f t="shared" si="29"/>
        <v>-236636.17232047999</v>
      </c>
      <c r="Y201" s="2"/>
      <c r="Z201" s="7">
        <f t="shared" si="30"/>
        <v>-0.98039915720718507</v>
      </c>
    </row>
    <row r="202" spans="1:26" s="24" customFormat="1" hidden="1" outlineLevel="2" x14ac:dyDescent="0.25">
      <c r="A202" s="27"/>
      <c r="B202" s="11" t="str">
        <f>CONCATENATE("          ", "6009", " - ", "TEMPORARY-SEASONAL")</f>
        <v xml:space="preserve">          6009 - TEMPORARY-SEASONAL</v>
      </c>
      <c r="C202" s="11"/>
      <c r="D202" s="6"/>
      <c r="E202" s="2"/>
      <c r="F202" s="7">
        <f t="shared" si="23"/>
        <v>0</v>
      </c>
      <c r="G202" s="2"/>
      <c r="H202" s="6">
        <v>0</v>
      </c>
      <c r="I202" s="2"/>
      <c r="J202" s="7">
        <f t="shared" si="24"/>
        <v>0</v>
      </c>
      <c r="K202" s="2"/>
      <c r="L202" s="6">
        <f t="shared" si="25"/>
        <v>0</v>
      </c>
      <c r="M202" s="2"/>
      <c r="N202" s="7">
        <f t="shared" si="26"/>
        <v>0</v>
      </c>
      <c r="O202" s="11"/>
      <c r="P202" s="6"/>
      <c r="Q202" s="2"/>
      <c r="R202" s="7">
        <f t="shared" si="27"/>
        <v>0</v>
      </c>
      <c r="S202" s="2"/>
      <c r="T202" s="6">
        <v>0</v>
      </c>
      <c r="U202" s="2"/>
      <c r="V202" s="7">
        <f t="shared" si="28"/>
        <v>0</v>
      </c>
      <c r="W202" s="2"/>
      <c r="X202" s="6">
        <f t="shared" si="29"/>
        <v>0</v>
      </c>
      <c r="Y202" s="2"/>
      <c r="Z202" s="7">
        <f t="shared" si="30"/>
        <v>0</v>
      </c>
    </row>
    <row r="203" spans="1:26" s="24" customFormat="1" hidden="1" outlineLevel="2" x14ac:dyDescent="0.25">
      <c r="A203" s="27"/>
      <c r="B203" s="11" t="str">
        <f>CONCATENATE("          ", "6010", " - ", "GRATUITY")</f>
        <v xml:space="preserve">          6010 - GRATUITY</v>
      </c>
      <c r="C203" s="11"/>
      <c r="D203" s="6"/>
      <c r="E203" s="2"/>
      <c r="F203" s="7">
        <f t="shared" si="23"/>
        <v>0</v>
      </c>
      <c r="G203" s="2"/>
      <c r="H203" s="6">
        <v>0</v>
      </c>
      <c r="I203" s="2"/>
      <c r="J203" s="7">
        <f t="shared" si="24"/>
        <v>0</v>
      </c>
      <c r="K203" s="2"/>
      <c r="L203" s="6">
        <f t="shared" si="25"/>
        <v>0</v>
      </c>
      <c r="M203" s="2"/>
      <c r="N203" s="7">
        <f t="shared" si="26"/>
        <v>0</v>
      </c>
      <c r="O203" s="11"/>
      <c r="P203" s="6"/>
      <c r="Q203" s="2"/>
      <c r="R203" s="7">
        <f t="shared" si="27"/>
        <v>0</v>
      </c>
      <c r="S203" s="2"/>
      <c r="T203" s="6">
        <v>0</v>
      </c>
      <c r="U203" s="2"/>
      <c r="V203" s="7">
        <f t="shared" si="28"/>
        <v>0</v>
      </c>
      <c r="W203" s="2"/>
      <c r="X203" s="6">
        <f t="shared" si="29"/>
        <v>0</v>
      </c>
      <c r="Y203" s="2"/>
      <c r="Z203" s="7">
        <f t="shared" si="30"/>
        <v>0</v>
      </c>
    </row>
    <row r="204" spans="1:26" s="26" customFormat="1" outlineLevel="1" collapsed="1" x14ac:dyDescent="0.25">
      <c r="A204" s="25"/>
      <c r="B204" s="13" t="str">
        <f>CONCATENATE("     ","Advertising/Promo                                 ")</f>
        <v xml:space="preserve">     Advertising/Promo                                 </v>
      </c>
      <c r="C204" s="13"/>
      <c r="D204" s="1">
        <f>SUM(OSRRefD22_2x_0)</f>
        <v>11178.51</v>
      </c>
      <c r="E204" s="1"/>
      <c r="F204" s="5">
        <f t="shared" ref="F204:F208" si="31">IF(D$12=0,0,D204/D$12)</f>
        <v>1.7884486845038537E-2</v>
      </c>
      <c r="G204" s="1"/>
      <c r="H204" s="1">
        <f>SUM(OSRRefH22_2x_0)</f>
        <v>7770</v>
      </c>
      <c r="I204" s="1"/>
      <c r="J204" s="5">
        <f t="shared" ref="J204:J208" si="32">IF(H$12=0,0,H204/H$12)</f>
        <v>1.2532326615129907E-2</v>
      </c>
      <c r="K204" s="1"/>
      <c r="L204" s="1">
        <f t="shared" ref="L204:L208" si="33">+D204-H204</f>
        <v>3408.51</v>
      </c>
      <c r="M204" s="1"/>
      <c r="N204" s="5">
        <f t="shared" ref="N204:N208" si="34">IF(H204=0,0,L204/H204)</f>
        <v>0.43867567567567572</v>
      </c>
      <c r="O204" s="13"/>
      <c r="P204" s="1">
        <f>SUM(OSRRefP22_2x_0)</f>
        <v>18986.59</v>
      </c>
      <c r="Q204" s="1"/>
      <c r="R204" s="5">
        <f t="shared" ref="R204:R208" si="35">IF(P$12=0,0,P204/P$12)</f>
        <v>3.1860859689867489E-3</v>
      </c>
      <c r="S204" s="1"/>
      <c r="T204" s="1">
        <f>SUM(OSRRefT22_2x_0)</f>
        <v>21630</v>
      </c>
      <c r="U204" s="1"/>
      <c r="V204" s="5">
        <f t="shared" ref="V204:V208" si="36">IF(T$12=0,0,T204/T$12)</f>
        <v>3.5925044409671173E-3</v>
      </c>
      <c r="W204" s="1"/>
      <c r="X204" s="1">
        <f t="shared" ref="X204:X208" si="37">+P204-T204</f>
        <v>-2643.41</v>
      </c>
      <c r="Y204" s="1"/>
      <c r="Z204" s="5">
        <f t="shared" ref="Z204:Z208" si="38">IF(T204=0,0,X204/T204)</f>
        <v>-0.12221035598705501</v>
      </c>
    </row>
    <row r="205" spans="1:26" s="24" customFormat="1" hidden="1" outlineLevel="2" x14ac:dyDescent="0.25">
      <c r="A205" s="27"/>
      <c r="B205" s="11" t="str">
        <f>CONCATENATE("          ", "6362", " - ", "ADVERTISING EXPENSE")</f>
        <v xml:space="preserve">          6362 - ADVERTISING EXPENSE</v>
      </c>
      <c r="C205" s="11"/>
      <c r="D205" s="6">
        <v>11178.51</v>
      </c>
      <c r="E205" s="2"/>
      <c r="F205" s="7">
        <f t="shared" si="31"/>
        <v>1.7884486845038537E-2</v>
      </c>
      <c r="G205" s="2"/>
      <c r="H205" s="6">
        <v>7770</v>
      </c>
      <c r="I205" s="2"/>
      <c r="J205" s="7">
        <f t="shared" si="32"/>
        <v>1.2532326615129907E-2</v>
      </c>
      <c r="K205" s="2"/>
      <c r="L205" s="6">
        <f t="shared" si="33"/>
        <v>3408.51</v>
      </c>
      <c r="M205" s="2"/>
      <c r="N205" s="7">
        <f t="shared" si="34"/>
        <v>0.43867567567567572</v>
      </c>
      <c r="O205" s="11"/>
      <c r="P205" s="6">
        <v>18986.59</v>
      </c>
      <c r="Q205" s="2"/>
      <c r="R205" s="7">
        <f t="shared" si="35"/>
        <v>3.1860859689867489E-3</v>
      </c>
      <c r="S205" s="2"/>
      <c r="T205" s="6">
        <v>21630</v>
      </c>
      <c r="U205" s="2"/>
      <c r="V205" s="7">
        <f t="shared" si="36"/>
        <v>3.5925044409671173E-3</v>
      </c>
      <c r="W205" s="2"/>
      <c r="X205" s="6">
        <f t="shared" si="37"/>
        <v>-2643.41</v>
      </c>
      <c r="Y205" s="2"/>
      <c r="Z205" s="7">
        <f t="shared" si="38"/>
        <v>-0.12221035598705501</v>
      </c>
    </row>
    <row r="206" spans="1:26" s="26" customFormat="1" outlineLevel="1" collapsed="1" x14ac:dyDescent="0.25">
      <c r="A206" s="25"/>
      <c r="B206" s="13" t="str">
        <f>CONCATENATE("     ","Bad Debts/Over/Short                              ")</f>
        <v xml:space="preserve">     Bad Debts/Over/Short                              </v>
      </c>
      <c r="C206" s="13"/>
      <c r="D206" s="1">
        <f>SUM(OSRRefD22_3x_0)</f>
        <v>87.5</v>
      </c>
      <c r="E206" s="1"/>
      <c r="F206" s="5">
        <f t="shared" si="31"/>
        <v>1.3999116151802628E-4</v>
      </c>
      <c r="G206" s="1"/>
      <c r="H206" s="1">
        <f>SUM(OSRRefH22_3x_0)</f>
        <v>135</v>
      </c>
      <c r="I206" s="1"/>
      <c r="J206" s="5">
        <f t="shared" si="32"/>
        <v>2.1774312651770111E-4</v>
      </c>
      <c r="K206" s="1"/>
      <c r="L206" s="1">
        <f t="shared" si="33"/>
        <v>-47.5</v>
      </c>
      <c r="M206" s="1"/>
      <c r="N206" s="5">
        <f t="shared" si="34"/>
        <v>-0.35185185185185186</v>
      </c>
      <c r="O206" s="13"/>
      <c r="P206" s="1">
        <f>SUM(OSRRefP22_3x_0)</f>
        <v>-77.650000000000006</v>
      </c>
      <c r="Q206" s="1"/>
      <c r="R206" s="5">
        <f t="shared" si="35"/>
        <v>-1.3030226886019082E-5</v>
      </c>
      <c r="S206" s="1"/>
      <c r="T206" s="1">
        <f>SUM(OSRRefT22_3x_0)</f>
        <v>540</v>
      </c>
      <c r="U206" s="1"/>
      <c r="V206" s="5">
        <f t="shared" si="36"/>
        <v>8.9688044295989063E-5</v>
      </c>
      <c r="W206" s="1"/>
      <c r="X206" s="1">
        <f t="shared" si="37"/>
        <v>-617.65</v>
      </c>
      <c r="Y206" s="1"/>
      <c r="Z206" s="5">
        <f t="shared" si="38"/>
        <v>-1.1437962962962962</v>
      </c>
    </row>
    <row r="207" spans="1:26" s="24" customFormat="1" hidden="1" outlineLevel="2" x14ac:dyDescent="0.25">
      <c r="A207" s="27"/>
      <c r="B207" s="11" t="str">
        <f>CONCATENATE("          ", "6272", " - ", "CASH (OVER/SHORT)")</f>
        <v xml:space="preserve">          6272 - CASH (OVER/SHORT)</v>
      </c>
      <c r="C207" s="11"/>
      <c r="D207" s="6">
        <v>42.7</v>
      </c>
      <c r="E207" s="2"/>
      <c r="F207" s="7">
        <f t="shared" si="31"/>
        <v>6.8315686820796822E-5</v>
      </c>
      <c r="G207" s="2"/>
      <c r="H207" s="6">
        <v>125</v>
      </c>
      <c r="I207" s="2"/>
      <c r="J207" s="7">
        <f t="shared" si="32"/>
        <v>2.0161400603490841E-4</v>
      </c>
      <c r="K207" s="2"/>
      <c r="L207" s="6">
        <f t="shared" si="33"/>
        <v>-82.3</v>
      </c>
      <c r="M207" s="2"/>
      <c r="N207" s="7">
        <f t="shared" si="34"/>
        <v>-0.65839999999999999</v>
      </c>
      <c r="O207" s="11"/>
      <c r="P207" s="6">
        <v>-122.45</v>
      </c>
      <c r="Q207" s="2"/>
      <c r="R207" s="7">
        <f t="shared" si="35"/>
        <v>-2.0547988180206525E-5</v>
      </c>
      <c r="S207" s="2"/>
      <c r="T207" s="6">
        <v>500</v>
      </c>
      <c r="U207" s="2"/>
      <c r="V207" s="7">
        <f t="shared" si="36"/>
        <v>8.3044485459249134E-5</v>
      </c>
      <c r="W207" s="2"/>
      <c r="X207" s="6">
        <f t="shared" si="37"/>
        <v>-622.45000000000005</v>
      </c>
      <c r="Y207" s="2"/>
      <c r="Z207" s="7">
        <f t="shared" si="38"/>
        <v>-1.2449000000000001</v>
      </c>
    </row>
    <row r="208" spans="1:26" s="24" customFormat="1" hidden="1" outlineLevel="2" x14ac:dyDescent="0.25">
      <c r="A208" s="27"/>
      <c r="B208" s="11" t="str">
        <f>CONCATENATE("          ", "6342", " - ", "BAD DEBT")</f>
        <v xml:space="preserve">          6342 - BAD DEBT</v>
      </c>
      <c r="C208" s="11"/>
      <c r="D208" s="6">
        <v>44.8</v>
      </c>
      <c r="E208" s="2"/>
      <c r="F208" s="7">
        <f t="shared" si="31"/>
        <v>7.1675474697229449E-5</v>
      </c>
      <c r="G208" s="2"/>
      <c r="H208" s="6">
        <v>10</v>
      </c>
      <c r="I208" s="2"/>
      <c r="J208" s="7">
        <f t="shared" si="32"/>
        <v>1.6129120482792675E-5</v>
      </c>
      <c r="K208" s="2"/>
      <c r="L208" s="6">
        <f t="shared" si="33"/>
        <v>34.799999999999997</v>
      </c>
      <c r="M208" s="2"/>
      <c r="N208" s="7">
        <f t="shared" si="34"/>
        <v>3.4799999999999995</v>
      </c>
      <c r="O208" s="11"/>
      <c r="P208" s="6">
        <v>44.8</v>
      </c>
      <c r="Q208" s="2"/>
      <c r="R208" s="7">
        <f t="shared" si="35"/>
        <v>7.5177612941874414E-6</v>
      </c>
      <c r="S208" s="2"/>
      <c r="T208" s="6">
        <v>40</v>
      </c>
      <c r="U208" s="2"/>
      <c r="V208" s="7">
        <f t="shared" si="36"/>
        <v>6.6435588367399303E-6</v>
      </c>
      <c r="W208" s="2"/>
      <c r="X208" s="6">
        <f t="shared" si="37"/>
        <v>4.7999999999999972</v>
      </c>
      <c r="Y208" s="2"/>
      <c r="Z208" s="7">
        <f t="shared" si="38"/>
        <v>0.11999999999999993</v>
      </c>
    </row>
    <row r="209" spans="1:26" s="26" customFormat="1" outlineLevel="1" collapsed="1" x14ac:dyDescent="0.25">
      <c r="A209" s="25"/>
      <c r="B209" s="13" t="str">
        <f>CONCATENATE("     ","Bank/card Fees                                    ")</f>
        <v xml:space="preserve">     Bank/card Fees                                    </v>
      </c>
      <c r="C209" s="13"/>
      <c r="D209" s="1">
        <f>SUM(OSRRefD22_4x_0)</f>
        <v>11091.96</v>
      </c>
      <c r="E209" s="1"/>
      <c r="F209" s="5">
        <f t="shared" ref="F209:F215" si="39">IF(D$12=0,0,D209/D$12)</f>
        <v>1.7746015587559848E-2</v>
      </c>
      <c r="G209" s="1"/>
      <c r="H209" s="1">
        <f>SUM(OSRRefH22_4x_0)</f>
        <v>10550</v>
      </c>
      <c r="I209" s="1"/>
      <c r="J209" s="5">
        <f t="shared" ref="J209:J215" si="40">IF(H$12=0,0,H209/H$12)</f>
        <v>1.7016222109346269E-2</v>
      </c>
      <c r="K209" s="1"/>
      <c r="L209" s="1">
        <f t="shared" ref="L209:L215" si="41">+D209-H209</f>
        <v>541.95999999999913</v>
      </c>
      <c r="M209" s="1"/>
      <c r="N209" s="5">
        <f t="shared" ref="N209:N215" si="42">IF(H209=0,0,L209/H209)</f>
        <v>5.1370616113743994E-2</v>
      </c>
      <c r="O209" s="13"/>
      <c r="P209" s="1">
        <f>SUM(OSRRefP22_4x_0)</f>
        <v>71349.02</v>
      </c>
      <c r="Q209" s="1"/>
      <c r="R209" s="5">
        <f t="shared" ref="R209:R215" si="43">IF(P$12=0,0,P209/P$12)</f>
        <v>1.1972877252995662E-2</v>
      </c>
      <c r="S209" s="1"/>
      <c r="T209" s="1">
        <f>SUM(OSRRefT22_4x_0)</f>
        <v>74645</v>
      </c>
      <c r="U209" s="1"/>
      <c r="V209" s="5">
        <f t="shared" ref="V209:V215" si="44">IF(T$12=0,0,T209/T$12)</f>
        <v>1.2397711234211302E-2</v>
      </c>
      <c r="W209" s="1"/>
      <c r="X209" s="1">
        <f t="shared" ref="X209:X215" si="45">+P209-T209</f>
        <v>-3295.9799999999959</v>
      </c>
      <c r="Y209" s="1"/>
      <c r="Z209" s="5">
        <f t="shared" ref="Z209:Z215" si="46">IF(T209=0,0,X209/T209)</f>
        <v>-4.4155402237256294E-2</v>
      </c>
    </row>
    <row r="210" spans="1:26" s="24" customFormat="1" hidden="1" outlineLevel="2" x14ac:dyDescent="0.25">
      <c r="A210" s="27"/>
      <c r="B210" s="11" t="str">
        <f>CONCATENATE("          ", "6381", " - ", "BANK/CREDIT CARD FEES")</f>
        <v xml:space="preserve">          6381 - BANK/CREDIT CARD FEES</v>
      </c>
      <c r="C210" s="11"/>
      <c r="D210" s="6">
        <v>11091.96</v>
      </c>
      <c r="E210" s="2"/>
      <c r="F210" s="7">
        <f t="shared" si="39"/>
        <v>1.7746015587559848E-2</v>
      </c>
      <c r="G210" s="2"/>
      <c r="H210" s="6">
        <v>10550</v>
      </c>
      <c r="I210" s="2"/>
      <c r="J210" s="7">
        <f t="shared" si="40"/>
        <v>1.7016222109346269E-2</v>
      </c>
      <c r="K210" s="2"/>
      <c r="L210" s="6">
        <f t="shared" si="41"/>
        <v>541.95999999999913</v>
      </c>
      <c r="M210" s="2"/>
      <c r="N210" s="7">
        <f t="shared" si="42"/>
        <v>5.1370616113743994E-2</v>
      </c>
      <c r="O210" s="11"/>
      <c r="P210" s="6">
        <v>71349.02</v>
      </c>
      <c r="Q210" s="2"/>
      <c r="R210" s="7">
        <f t="shared" si="43"/>
        <v>1.1972877252995662E-2</v>
      </c>
      <c r="S210" s="2"/>
      <c r="T210" s="6">
        <v>74645</v>
      </c>
      <c r="U210" s="2"/>
      <c r="V210" s="7">
        <f t="shared" si="44"/>
        <v>1.2397711234211302E-2</v>
      </c>
      <c r="W210" s="2"/>
      <c r="X210" s="6">
        <f t="shared" si="45"/>
        <v>-3295.9799999999959</v>
      </c>
      <c r="Y210" s="2"/>
      <c r="Z210" s="7">
        <f t="shared" si="46"/>
        <v>-4.4155402237256294E-2</v>
      </c>
    </row>
    <row r="211" spans="1:26" s="26" customFormat="1" outlineLevel="1" collapsed="1" x14ac:dyDescent="0.25">
      <c r="A211" s="25"/>
      <c r="B211" s="13" t="str">
        <f>CONCATENATE("     ","Depreciation                                      ")</f>
        <v xml:space="preserve">     Depreciation                                      </v>
      </c>
      <c r="C211" s="13"/>
      <c r="D211" s="1">
        <f>SUM(OSRRefD22_5x_0)</f>
        <v>29887.870000000003</v>
      </c>
      <c r="E211" s="1"/>
      <c r="F211" s="5">
        <f t="shared" si="39"/>
        <v>4.7817572989711683E-2</v>
      </c>
      <c r="G211" s="1"/>
      <c r="H211" s="1">
        <f>SUM(OSRRefH22_5x_0)</f>
        <v>30479</v>
      </c>
      <c r="I211" s="1"/>
      <c r="J211" s="5">
        <f t="shared" si="40"/>
        <v>4.9159946319503788E-2</v>
      </c>
      <c r="K211" s="1"/>
      <c r="L211" s="1">
        <f t="shared" si="41"/>
        <v>-591.12999999999738</v>
      </c>
      <c r="M211" s="1"/>
      <c r="N211" s="5">
        <f t="shared" si="42"/>
        <v>-1.9394665179303695E-2</v>
      </c>
      <c r="O211" s="13"/>
      <c r="P211" s="1">
        <f>SUM(OSRRefP22_5x_0)</f>
        <v>119551.48000000001</v>
      </c>
      <c r="Q211" s="1"/>
      <c r="R211" s="5">
        <f t="shared" si="43"/>
        <v>2.0061595736759467E-2</v>
      </c>
      <c r="S211" s="1"/>
      <c r="T211" s="1">
        <f>SUM(OSRRefT22_5x_0)</f>
        <v>121085</v>
      </c>
      <c r="U211" s="1"/>
      <c r="V211" s="5">
        <f t="shared" si="44"/>
        <v>2.0110883043666362E-2</v>
      </c>
      <c r="W211" s="1"/>
      <c r="X211" s="1">
        <f t="shared" si="45"/>
        <v>-1533.5199999999895</v>
      </c>
      <c r="Y211" s="1"/>
      <c r="Z211" s="5">
        <f t="shared" si="46"/>
        <v>-1.2664822232316054E-2</v>
      </c>
    </row>
    <row r="212" spans="1:26" s="24" customFormat="1" hidden="1" outlineLevel="2" x14ac:dyDescent="0.25">
      <c r="A212" s="27"/>
      <c r="B212" s="11" t="str">
        <f>CONCATENATE("          ", "6321", " - ", "BUILDING DEPRECIATION")</f>
        <v xml:space="preserve">          6321 - BUILDING DEPRECIATION</v>
      </c>
      <c r="C212" s="11"/>
      <c r="D212" s="6">
        <v>16396.52</v>
      </c>
      <c r="E212" s="2"/>
      <c r="F212" s="7">
        <f t="shared" si="39"/>
        <v>2.6232775767469123E-2</v>
      </c>
      <c r="G212" s="2"/>
      <c r="H212" s="6">
        <v>16397</v>
      </c>
      <c r="I212" s="2"/>
      <c r="J212" s="7">
        <f t="shared" si="40"/>
        <v>2.6446918855635146E-2</v>
      </c>
      <c r="K212" s="2"/>
      <c r="L212" s="6">
        <f t="shared" si="41"/>
        <v>-0.47999999999956344</v>
      </c>
      <c r="M212" s="2"/>
      <c r="N212" s="7">
        <f t="shared" si="42"/>
        <v>-2.927364761844017E-5</v>
      </c>
      <c r="O212" s="11"/>
      <c r="P212" s="6">
        <v>65586.080000000002</v>
      </c>
      <c r="Q212" s="2"/>
      <c r="R212" s="7">
        <f t="shared" si="43"/>
        <v>1.100581459065806E-2</v>
      </c>
      <c r="S212" s="2"/>
      <c r="T212" s="6">
        <v>65756</v>
      </c>
      <c r="U212" s="2"/>
      <c r="V212" s="7">
        <f t="shared" si="44"/>
        <v>1.0921346371716772E-2</v>
      </c>
      <c r="W212" s="2"/>
      <c r="X212" s="6">
        <f t="shared" si="45"/>
        <v>-169.91999999999825</v>
      </c>
      <c r="Y212" s="2"/>
      <c r="Z212" s="7">
        <f t="shared" si="46"/>
        <v>-2.5840987894640527E-3</v>
      </c>
    </row>
    <row r="213" spans="1:26" s="24" customFormat="1" hidden="1" outlineLevel="2" x14ac:dyDescent="0.25">
      <c r="A213" s="27"/>
      <c r="B213" s="11" t="str">
        <f>CONCATENATE("          ", "6322", " - ", "EQUIPMENT DEPRECIATION EXPENSE")</f>
        <v xml:space="preserve">          6322 - EQUIPMENT DEPRECIATION EXPENSE</v>
      </c>
      <c r="C213" s="11"/>
      <c r="D213" s="6">
        <v>13491.35</v>
      </c>
      <c r="E213" s="2"/>
      <c r="F213" s="7">
        <f t="shared" si="39"/>
        <v>2.1584797222242557E-2</v>
      </c>
      <c r="G213" s="2"/>
      <c r="H213" s="6">
        <v>13049</v>
      </c>
      <c r="I213" s="2"/>
      <c r="J213" s="7">
        <f t="shared" si="40"/>
        <v>2.104688931799616E-2</v>
      </c>
      <c r="K213" s="2"/>
      <c r="L213" s="6">
        <f t="shared" si="41"/>
        <v>442.35000000000036</v>
      </c>
      <c r="M213" s="2"/>
      <c r="N213" s="7">
        <f t="shared" si="42"/>
        <v>3.3899149360104248E-2</v>
      </c>
      <c r="O213" s="11"/>
      <c r="P213" s="6">
        <v>53965.4</v>
      </c>
      <c r="Q213" s="2"/>
      <c r="R213" s="7">
        <f t="shared" si="43"/>
        <v>9.0557811461014059E-3</v>
      </c>
      <c r="S213" s="2"/>
      <c r="T213" s="6">
        <v>52196</v>
      </c>
      <c r="U213" s="2"/>
      <c r="V213" s="7">
        <f t="shared" si="44"/>
        <v>8.6691799260619345E-3</v>
      </c>
      <c r="W213" s="2"/>
      <c r="X213" s="6">
        <f t="shared" si="45"/>
        <v>1769.4000000000015</v>
      </c>
      <c r="Y213" s="2"/>
      <c r="Z213" s="7">
        <f t="shared" si="46"/>
        <v>3.3899149360104248E-2</v>
      </c>
    </row>
    <row r="214" spans="1:26" s="24" customFormat="1" hidden="1" outlineLevel="2" x14ac:dyDescent="0.25">
      <c r="A214" s="27"/>
      <c r="B214" s="11" t="str">
        <f>CONCATENATE("          ", "6324", " - ", "FURNITURE + FIXT DEPRECIATION")</f>
        <v xml:space="preserve">          6324 - FURNITURE + FIXT DEPRECIATION</v>
      </c>
      <c r="C214" s="11"/>
      <c r="D214" s="6"/>
      <c r="E214" s="2"/>
      <c r="F214" s="7">
        <f t="shared" si="39"/>
        <v>0</v>
      </c>
      <c r="G214" s="2"/>
      <c r="H214" s="6">
        <v>700</v>
      </c>
      <c r="I214" s="2"/>
      <c r="J214" s="7">
        <f t="shared" si="40"/>
        <v>1.1290384337954871E-3</v>
      </c>
      <c r="K214" s="2"/>
      <c r="L214" s="6">
        <f t="shared" si="41"/>
        <v>-700</v>
      </c>
      <c r="M214" s="2"/>
      <c r="N214" s="7">
        <f t="shared" si="42"/>
        <v>-1</v>
      </c>
      <c r="O214" s="11"/>
      <c r="P214" s="6"/>
      <c r="Q214" s="2"/>
      <c r="R214" s="7">
        <f t="shared" si="43"/>
        <v>0</v>
      </c>
      <c r="S214" s="2"/>
      <c r="T214" s="6">
        <v>2800</v>
      </c>
      <c r="U214" s="2"/>
      <c r="V214" s="7">
        <f t="shared" si="44"/>
        <v>4.6504911857179511E-4</v>
      </c>
      <c r="W214" s="2"/>
      <c r="X214" s="6">
        <f t="shared" si="45"/>
        <v>-2800</v>
      </c>
      <c r="Y214" s="2"/>
      <c r="Z214" s="7">
        <f t="shared" si="46"/>
        <v>-1</v>
      </c>
    </row>
    <row r="215" spans="1:26" s="24" customFormat="1" hidden="1" outlineLevel="2" x14ac:dyDescent="0.25">
      <c r="A215" s="27"/>
      <c r="B215" s="11" t="str">
        <f>CONCATENATE("          ", "6326", " - ", "VEHICLES DEPRECIATION EXPENSE")</f>
        <v xml:space="preserve">          6326 - VEHICLES DEPRECIATION EXPENSE</v>
      </c>
      <c r="C215" s="11"/>
      <c r="D215" s="6"/>
      <c r="E215" s="2"/>
      <c r="F215" s="7">
        <f t="shared" si="39"/>
        <v>0</v>
      </c>
      <c r="G215" s="2"/>
      <c r="H215" s="6">
        <v>333</v>
      </c>
      <c r="I215" s="2"/>
      <c r="J215" s="7">
        <f t="shared" si="40"/>
        <v>5.3709971207699608E-4</v>
      </c>
      <c r="K215" s="2"/>
      <c r="L215" s="6">
        <f t="shared" si="41"/>
        <v>-333</v>
      </c>
      <c r="M215" s="2"/>
      <c r="N215" s="7">
        <f t="shared" si="42"/>
        <v>-1</v>
      </c>
      <c r="O215" s="11"/>
      <c r="P215" s="6"/>
      <c r="Q215" s="2"/>
      <c r="R215" s="7">
        <f t="shared" si="43"/>
        <v>0</v>
      </c>
      <c r="S215" s="2"/>
      <c r="T215" s="6">
        <v>333</v>
      </c>
      <c r="U215" s="2"/>
      <c r="V215" s="7">
        <f t="shared" si="44"/>
        <v>5.530762731585992E-5</v>
      </c>
      <c r="W215" s="2"/>
      <c r="X215" s="6">
        <f t="shared" si="45"/>
        <v>-333</v>
      </c>
      <c r="Y215" s="2"/>
      <c r="Z215" s="7">
        <f t="shared" si="46"/>
        <v>-1</v>
      </c>
    </row>
    <row r="216" spans="1:26" s="26" customFormat="1" outlineLevel="1" collapsed="1" x14ac:dyDescent="0.25">
      <c r="A216" s="25"/>
      <c r="B216" s="13" t="str">
        <f>CONCATENATE("     ","Discounts and Markdowns                           ")</f>
        <v xml:space="preserve">     Discounts and Markdowns                           </v>
      </c>
      <c r="C216" s="13"/>
      <c r="D216" s="1">
        <f>SUM(OSRRefD22_6x_0)</f>
        <v>35150.67</v>
      </c>
      <c r="E216" s="1"/>
      <c r="F216" s="5">
        <f t="shared" ref="F216:F218" si="47">IF(D$12=0,0,D216/D$12)</f>
        <v>5.6237521387849605E-2</v>
      </c>
      <c r="G216" s="1"/>
      <c r="H216" s="1">
        <f>SUM(OSRRefH22_6x_0)</f>
        <v>25725</v>
      </c>
      <c r="I216" s="1"/>
      <c r="J216" s="5">
        <f t="shared" ref="J216:J218" si="48">IF(H$12=0,0,H216/H$12)</f>
        <v>4.149216244198415E-2</v>
      </c>
      <c r="K216" s="1"/>
      <c r="L216" s="1">
        <f t="shared" ref="L216:L218" si="49">+D216-H216</f>
        <v>9425.6699999999983</v>
      </c>
      <c r="M216" s="1"/>
      <c r="N216" s="5">
        <f t="shared" ref="N216:N218" si="50">IF(H216=0,0,L216/H216)</f>
        <v>0.36640116618075796</v>
      </c>
      <c r="O216" s="13"/>
      <c r="P216" s="1">
        <f>SUM(OSRRefP22_6x_0)</f>
        <v>166178.92000000001</v>
      </c>
      <c r="Q216" s="1"/>
      <c r="R216" s="5">
        <f t="shared" ref="R216:R218" si="51">IF(P$12=0,0,P216/P$12)</f>
        <v>2.7886014568881061E-2</v>
      </c>
      <c r="S216" s="1"/>
      <c r="T216" s="1">
        <f>SUM(OSRRefT22_6x_0)</f>
        <v>114900</v>
      </c>
      <c r="U216" s="1"/>
      <c r="V216" s="5">
        <f t="shared" ref="V216:V218" si="52">IF(T$12=0,0,T216/T$12)</f>
        <v>1.9083622758535451E-2</v>
      </c>
      <c r="W216" s="1"/>
      <c r="X216" s="1">
        <f t="shared" ref="X216:X218" si="53">+P216-T216</f>
        <v>51278.920000000013</v>
      </c>
      <c r="Y216" s="1"/>
      <c r="Z216" s="5">
        <f t="shared" ref="Z216:Z218" si="54">IF(T216=0,0,X216/T216)</f>
        <v>0.44629173194081823</v>
      </c>
    </row>
    <row r="217" spans="1:26" s="24" customFormat="1" hidden="1" outlineLevel="2" x14ac:dyDescent="0.25">
      <c r="A217" s="27"/>
      <c r="B217" s="11" t="str">
        <f>CONCATENATE("          ", "6382", " - ", "DISCOUNTS/MARK DOWNS")</f>
        <v xml:space="preserve">          6382 - DISCOUNTS/MARK DOWNS</v>
      </c>
      <c r="C217" s="11"/>
      <c r="D217" s="6">
        <v>35620.559999999998</v>
      </c>
      <c r="E217" s="2"/>
      <c r="F217" s="7">
        <f t="shared" si="47"/>
        <v>5.698929792368624E-2</v>
      </c>
      <c r="G217" s="2"/>
      <c r="H217" s="6">
        <v>25725</v>
      </c>
      <c r="I217" s="2"/>
      <c r="J217" s="7">
        <f t="shared" si="48"/>
        <v>4.149216244198415E-2</v>
      </c>
      <c r="K217" s="2"/>
      <c r="L217" s="6">
        <f t="shared" si="49"/>
        <v>9895.5599999999977</v>
      </c>
      <c r="M217" s="2"/>
      <c r="N217" s="7">
        <f t="shared" si="50"/>
        <v>0.38466705539358592</v>
      </c>
      <c r="O217" s="11"/>
      <c r="P217" s="6">
        <v>168296.67</v>
      </c>
      <c r="Q217" s="2"/>
      <c r="R217" s="7">
        <f t="shared" si="51"/>
        <v>2.8241388206844575E-2</v>
      </c>
      <c r="S217" s="2"/>
      <c r="T217" s="6">
        <v>114900</v>
      </c>
      <c r="U217" s="2"/>
      <c r="V217" s="7">
        <f t="shared" si="52"/>
        <v>1.9083622758535451E-2</v>
      </c>
      <c r="W217" s="2"/>
      <c r="X217" s="6">
        <f t="shared" si="53"/>
        <v>53396.670000000013</v>
      </c>
      <c r="Y217" s="2"/>
      <c r="Z217" s="7">
        <f t="shared" si="54"/>
        <v>0.46472297650130562</v>
      </c>
    </row>
    <row r="218" spans="1:26" s="24" customFormat="1" hidden="1" outlineLevel="2" x14ac:dyDescent="0.25">
      <c r="A218" s="27"/>
      <c r="B218" s="11" t="str">
        <f>CONCATENATE("          ", "9175", " - ", "EARNED DISCOUNTS")</f>
        <v xml:space="preserve">          9175 - EARNED DISCOUNTS</v>
      </c>
      <c r="C218" s="11"/>
      <c r="D218" s="6">
        <v>-469.89</v>
      </c>
      <c r="E218" s="2"/>
      <c r="F218" s="7">
        <f t="shared" si="47"/>
        <v>-7.5177653583663278E-4</v>
      </c>
      <c r="G218" s="2"/>
      <c r="H218" s="6"/>
      <c r="I218" s="2"/>
      <c r="J218" s="7">
        <f t="shared" si="48"/>
        <v>0</v>
      </c>
      <c r="K218" s="2"/>
      <c r="L218" s="6">
        <f t="shared" si="49"/>
        <v>-469.89</v>
      </c>
      <c r="M218" s="2"/>
      <c r="N218" s="7">
        <f t="shared" si="50"/>
        <v>0</v>
      </c>
      <c r="O218" s="11"/>
      <c r="P218" s="6">
        <v>-2117.75</v>
      </c>
      <c r="Q218" s="2"/>
      <c r="R218" s="7">
        <f t="shared" si="51"/>
        <v>-3.5537363796351462E-4</v>
      </c>
      <c r="S218" s="2"/>
      <c r="T218" s="6"/>
      <c r="U218" s="2"/>
      <c r="V218" s="7">
        <f t="shared" si="52"/>
        <v>0</v>
      </c>
      <c r="W218" s="2"/>
      <c r="X218" s="6">
        <f t="shared" si="53"/>
        <v>-2117.75</v>
      </c>
      <c r="Y218" s="2"/>
      <c r="Z218" s="7">
        <f t="shared" si="54"/>
        <v>0</v>
      </c>
    </row>
    <row r="219" spans="1:26" s="26" customFormat="1" outlineLevel="1" collapsed="1" x14ac:dyDescent="0.25">
      <c r="A219" s="25"/>
      <c r="B219" s="13" t="str">
        <f>CONCATENATE("     ","Donations                                         ")</f>
        <v xml:space="preserve">     Donations                                         </v>
      </c>
      <c r="C219" s="13"/>
      <c r="D219" s="1">
        <f>SUM(OSRRefD22_7x_0)</f>
        <v>1006.14</v>
      </c>
      <c r="E219" s="1"/>
      <c r="F219" s="5">
        <f t="shared" ref="F219:F221" si="55">IF(D$12=0,0,D219/D$12)</f>
        <v>1.6097223685685366E-3</v>
      </c>
      <c r="G219" s="1"/>
      <c r="H219" s="1">
        <f>SUM(OSRRefH22_7x_0)</f>
        <v>1025</v>
      </c>
      <c r="I219" s="1"/>
      <c r="J219" s="5">
        <f t="shared" ref="J219:J221" si="56">IF(H$12=0,0,H219/H$12)</f>
        <v>1.6532348494862491E-3</v>
      </c>
      <c r="K219" s="1"/>
      <c r="L219" s="1">
        <f t="shared" ref="L219:L221" si="57">+D219-H219</f>
        <v>-18.860000000000014</v>
      </c>
      <c r="M219" s="1"/>
      <c r="N219" s="5">
        <f t="shared" ref="N219:N221" si="58">IF(H219=0,0,L219/H219)</f>
        <v>-1.8400000000000014E-2</v>
      </c>
      <c r="O219" s="13"/>
      <c r="P219" s="1">
        <f>SUM(OSRRefP22_7x_0)</f>
        <v>6231.48</v>
      </c>
      <c r="Q219" s="1"/>
      <c r="R219" s="5">
        <f t="shared" ref="R219:R221" si="59">IF(P$12=0,0,P219/P$12)</f>
        <v>1.045687034587124E-3</v>
      </c>
      <c r="S219" s="1"/>
      <c r="T219" s="1">
        <f>SUM(OSRRefT22_7x_0)</f>
        <v>4175</v>
      </c>
      <c r="U219" s="1"/>
      <c r="V219" s="5">
        <f t="shared" ref="V219:V221" si="60">IF(T$12=0,0,T219/T$12)</f>
        <v>6.9342145358473027E-4</v>
      </c>
      <c r="W219" s="1"/>
      <c r="X219" s="1">
        <f t="shared" ref="X219:X221" si="61">+P219-T219</f>
        <v>2056.4799999999996</v>
      </c>
      <c r="Y219" s="1"/>
      <c r="Z219" s="5">
        <f t="shared" ref="Z219:Z221" si="62">IF(T219=0,0,X219/T219)</f>
        <v>0.49257005988023944</v>
      </c>
    </row>
    <row r="220" spans="1:26" s="24" customFormat="1" hidden="1" outlineLevel="2" x14ac:dyDescent="0.25">
      <c r="A220" s="27"/>
      <c r="B220" s="11" t="str">
        <f>CONCATENATE("          ", "6395", " - ", "DONATION-OFF CAMPUS")</f>
        <v xml:space="preserve">          6395 - DONATION-OFF CAMPUS</v>
      </c>
      <c r="C220" s="11"/>
      <c r="D220" s="6"/>
      <c r="E220" s="2"/>
      <c r="F220" s="7">
        <f t="shared" si="55"/>
        <v>0</v>
      </c>
      <c r="G220" s="2"/>
      <c r="H220" s="6">
        <v>1025</v>
      </c>
      <c r="I220" s="2"/>
      <c r="J220" s="7">
        <f t="shared" si="56"/>
        <v>1.6532348494862491E-3</v>
      </c>
      <c r="K220" s="2"/>
      <c r="L220" s="6">
        <f t="shared" si="57"/>
        <v>-1025</v>
      </c>
      <c r="M220" s="2"/>
      <c r="N220" s="7">
        <f t="shared" si="58"/>
        <v>-1</v>
      </c>
      <c r="O220" s="11"/>
      <c r="P220" s="6"/>
      <c r="Q220" s="2"/>
      <c r="R220" s="7">
        <f t="shared" si="59"/>
        <v>0</v>
      </c>
      <c r="S220" s="2"/>
      <c r="T220" s="6">
        <v>4175</v>
      </c>
      <c r="U220" s="2"/>
      <c r="V220" s="7">
        <f t="shared" si="60"/>
        <v>6.9342145358473027E-4</v>
      </c>
      <c r="W220" s="2"/>
      <c r="X220" s="6">
        <f t="shared" si="61"/>
        <v>-4175</v>
      </c>
      <c r="Y220" s="2"/>
      <c r="Z220" s="7">
        <f t="shared" si="62"/>
        <v>-1</v>
      </c>
    </row>
    <row r="221" spans="1:26" s="24" customFormat="1" hidden="1" outlineLevel="2" x14ac:dyDescent="0.25">
      <c r="A221" s="27"/>
      <c r="B221" s="11" t="str">
        <f>CONCATENATE("          ", "6399", " - ", "DONATION-ON CAMPUS")</f>
        <v xml:space="preserve">          6399 - DONATION-ON CAMPUS</v>
      </c>
      <c r="C221" s="11"/>
      <c r="D221" s="6">
        <v>1006.14</v>
      </c>
      <c r="E221" s="2"/>
      <c r="F221" s="7">
        <f t="shared" si="55"/>
        <v>1.6097223685685366E-3</v>
      </c>
      <c r="G221" s="2"/>
      <c r="H221" s="6"/>
      <c r="I221" s="2"/>
      <c r="J221" s="7">
        <f t="shared" si="56"/>
        <v>0</v>
      </c>
      <c r="K221" s="2"/>
      <c r="L221" s="6">
        <f t="shared" si="57"/>
        <v>1006.14</v>
      </c>
      <c r="M221" s="2"/>
      <c r="N221" s="7">
        <f t="shared" si="58"/>
        <v>0</v>
      </c>
      <c r="O221" s="11"/>
      <c r="P221" s="6">
        <v>6231.48</v>
      </c>
      <c r="Q221" s="2"/>
      <c r="R221" s="7">
        <f t="shared" si="59"/>
        <v>1.045687034587124E-3</v>
      </c>
      <c r="S221" s="2"/>
      <c r="T221" s="6"/>
      <c r="U221" s="2"/>
      <c r="V221" s="7">
        <f t="shared" si="60"/>
        <v>0</v>
      </c>
      <c r="W221" s="2"/>
      <c r="X221" s="6">
        <f t="shared" si="61"/>
        <v>6231.48</v>
      </c>
      <c r="Y221" s="2"/>
      <c r="Z221" s="7">
        <f t="shared" si="62"/>
        <v>0</v>
      </c>
    </row>
    <row r="222" spans="1:26" s="26" customFormat="1" outlineLevel="1" collapsed="1" x14ac:dyDescent="0.25">
      <c r="A222" s="25"/>
      <c r="B222" s="13" t="str">
        <f>CONCATENATE("     ","Employees' Appreciation                           ")</f>
        <v xml:space="preserve">     Employees' Appreciation                           </v>
      </c>
      <c r="C222" s="13"/>
      <c r="D222" s="1">
        <f>SUM(OSRRefD22_8x_0)</f>
        <v>60</v>
      </c>
      <c r="E222" s="1"/>
      <c r="F222" s="5">
        <f t="shared" ref="F222:F228" si="63">IF(D$12=0,0,D222/D$12)</f>
        <v>9.599393932664659E-5</v>
      </c>
      <c r="G222" s="1"/>
      <c r="H222" s="1">
        <f>SUM(OSRRefH22_8x_0)</f>
        <v>740</v>
      </c>
      <c r="I222" s="1"/>
      <c r="J222" s="5">
        <f t="shared" ref="J222:J228" si="64">IF(H$12=0,0,H222/H$12)</f>
        <v>1.1935549157266578E-3</v>
      </c>
      <c r="K222" s="1"/>
      <c r="L222" s="1">
        <f t="shared" ref="L222:L228" si="65">+D222-H222</f>
        <v>-680</v>
      </c>
      <c r="M222" s="1"/>
      <c r="N222" s="5">
        <f t="shared" ref="N222:N228" si="66">IF(H222=0,0,L222/H222)</f>
        <v>-0.91891891891891897</v>
      </c>
      <c r="O222" s="13"/>
      <c r="P222" s="1">
        <f>SUM(OSRRefP22_8x_0)</f>
        <v>645.13</v>
      </c>
      <c r="Q222" s="1"/>
      <c r="R222" s="5">
        <f t="shared" ref="R222:R228" si="67">IF(P$12=0,0,P222/P$12)</f>
        <v>1.0825744070801662E-4</v>
      </c>
      <c r="S222" s="1"/>
      <c r="T222" s="1">
        <f>SUM(OSRRefT22_8x_0)</f>
        <v>2960</v>
      </c>
      <c r="U222" s="1"/>
      <c r="V222" s="5">
        <f t="shared" ref="V222:V228" si="68">IF(T$12=0,0,T222/T$12)</f>
        <v>4.9162335391875482E-4</v>
      </c>
      <c r="W222" s="1"/>
      <c r="X222" s="1">
        <f t="shared" ref="X222:X228" si="69">+P222-T222</f>
        <v>-2314.87</v>
      </c>
      <c r="Y222" s="1"/>
      <c r="Z222" s="5">
        <f t="shared" ref="Z222:Z228" si="70">IF(T222=0,0,X222/T222)</f>
        <v>-0.78205067567567566</v>
      </c>
    </row>
    <row r="223" spans="1:26" s="24" customFormat="1" hidden="1" outlineLevel="2" x14ac:dyDescent="0.25">
      <c r="A223" s="27"/>
      <c r="B223" s="11" t="str">
        <f>CONCATENATE("          ", "6277", " - ", "EMPLOYEE APPRECIATION")</f>
        <v xml:space="preserve">          6277 - EMPLOYEE APPRECIATION</v>
      </c>
      <c r="C223" s="11"/>
      <c r="D223" s="6">
        <v>60</v>
      </c>
      <c r="E223" s="2"/>
      <c r="F223" s="7">
        <f t="shared" si="63"/>
        <v>9.599393932664659E-5</v>
      </c>
      <c r="G223" s="2"/>
      <c r="H223" s="6">
        <v>740</v>
      </c>
      <c r="I223" s="2"/>
      <c r="J223" s="7">
        <f t="shared" si="64"/>
        <v>1.1935549157266578E-3</v>
      </c>
      <c r="K223" s="2"/>
      <c r="L223" s="6">
        <f t="shared" si="65"/>
        <v>-680</v>
      </c>
      <c r="M223" s="2"/>
      <c r="N223" s="7">
        <f t="shared" si="66"/>
        <v>-0.91891891891891897</v>
      </c>
      <c r="O223" s="11"/>
      <c r="P223" s="6">
        <v>645.13</v>
      </c>
      <c r="Q223" s="2"/>
      <c r="R223" s="7">
        <f t="shared" si="67"/>
        <v>1.0825744070801662E-4</v>
      </c>
      <c r="S223" s="2"/>
      <c r="T223" s="6">
        <v>2960</v>
      </c>
      <c r="U223" s="2"/>
      <c r="V223" s="7">
        <f t="shared" si="68"/>
        <v>4.9162335391875482E-4</v>
      </c>
      <c r="W223" s="2"/>
      <c r="X223" s="6">
        <f t="shared" si="69"/>
        <v>-2314.87</v>
      </c>
      <c r="Y223" s="2"/>
      <c r="Z223" s="7">
        <f t="shared" si="70"/>
        <v>-0.78205067567567566</v>
      </c>
    </row>
    <row r="224" spans="1:26" s="26" customFormat="1" outlineLevel="1" collapsed="1" x14ac:dyDescent="0.25">
      <c r="A224" s="25"/>
      <c r="B224" s="13" t="str">
        <f>CONCATENATE("     ","Equipment Rental                                  ")</f>
        <v xml:space="preserve">     Equipment Rental                                  </v>
      </c>
      <c r="C224" s="13"/>
      <c r="D224" s="1">
        <f>SUM(OSRRefD22_9x_0)</f>
        <v>2776.32</v>
      </c>
      <c r="E224" s="1"/>
      <c r="F224" s="5">
        <f t="shared" si="63"/>
        <v>4.4418315605225913E-3</v>
      </c>
      <c r="G224" s="1"/>
      <c r="H224" s="1">
        <f>SUM(OSRRefH22_9x_0)</f>
        <v>3225</v>
      </c>
      <c r="I224" s="1"/>
      <c r="J224" s="5">
        <f t="shared" si="64"/>
        <v>5.2016413557006373E-3</v>
      </c>
      <c r="K224" s="1"/>
      <c r="L224" s="1">
        <f t="shared" si="65"/>
        <v>-448.67999999999984</v>
      </c>
      <c r="M224" s="1"/>
      <c r="N224" s="5">
        <f t="shared" si="66"/>
        <v>-0.13912558139534878</v>
      </c>
      <c r="O224" s="13"/>
      <c r="P224" s="1">
        <f>SUM(OSRRefP22_9x_0)</f>
        <v>6667.02</v>
      </c>
      <c r="Q224" s="1"/>
      <c r="R224" s="5">
        <f t="shared" si="67"/>
        <v>1.1187737701690527E-3</v>
      </c>
      <c r="S224" s="1"/>
      <c r="T224" s="1">
        <f>SUM(OSRRefT22_9x_0)</f>
        <v>12900</v>
      </c>
      <c r="U224" s="1"/>
      <c r="V224" s="5">
        <f t="shared" si="68"/>
        <v>2.1425477248486276E-3</v>
      </c>
      <c r="W224" s="1"/>
      <c r="X224" s="1">
        <f t="shared" si="69"/>
        <v>-6232.98</v>
      </c>
      <c r="Y224" s="1"/>
      <c r="Z224" s="5">
        <f t="shared" si="70"/>
        <v>-0.4831767441860465</v>
      </c>
    </row>
    <row r="225" spans="1:26" s="24" customFormat="1" hidden="1" outlineLevel="2" x14ac:dyDescent="0.25">
      <c r="A225" s="27"/>
      <c r="B225" s="11" t="str">
        <f>CONCATENATE("          ", "6351", " - ", "EQUIPMENT RENTAL")</f>
        <v xml:space="preserve">          6351 - EQUIPMENT RENTAL</v>
      </c>
      <c r="C225" s="11"/>
      <c r="D225" s="6">
        <v>2776.32</v>
      </c>
      <c r="E225" s="2"/>
      <c r="F225" s="7">
        <f t="shared" si="63"/>
        <v>4.4418315605225913E-3</v>
      </c>
      <c r="G225" s="2"/>
      <c r="H225" s="6">
        <v>3225</v>
      </c>
      <c r="I225" s="2"/>
      <c r="J225" s="7">
        <f t="shared" si="64"/>
        <v>5.2016413557006373E-3</v>
      </c>
      <c r="K225" s="2"/>
      <c r="L225" s="6">
        <f t="shared" si="65"/>
        <v>-448.67999999999984</v>
      </c>
      <c r="M225" s="2"/>
      <c r="N225" s="7">
        <f t="shared" si="66"/>
        <v>-0.13912558139534878</v>
      </c>
      <c r="O225" s="11"/>
      <c r="P225" s="6">
        <v>6667.02</v>
      </c>
      <c r="Q225" s="2"/>
      <c r="R225" s="7">
        <f t="shared" si="67"/>
        <v>1.1187737701690527E-3</v>
      </c>
      <c r="S225" s="2"/>
      <c r="T225" s="6">
        <v>12900</v>
      </c>
      <c r="U225" s="2"/>
      <c r="V225" s="7">
        <f t="shared" si="68"/>
        <v>2.1425477248486276E-3</v>
      </c>
      <c r="W225" s="2"/>
      <c r="X225" s="6">
        <f t="shared" si="69"/>
        <v>-6232.98</v>
      </c>
      <c r="Y225" s="2"/>
      <c r="Z225" s="7">
        <f t="shared" si="70"/>
        <v>-0.4831767441860465</v>
      </c>
    </row>
    <row r="226" spans="1:26" s="26" customFormat="1" outlineLevel="1" collapsed="1" x14ac:dyDescent="0.25">
      <c r="A226" s="25"/>
      <c r="B226" s="13" t="str">
        <f>CONCATENATE("     ","Freight out/Postage                               ")</f>
        <v xml:space="preserve">     Freight out/Postage                               </v>
      </c>
      <c r="C226" s="13"/>
      <c r="D226" s="1">
        <f>SUM(OSRRefD22_10x_0)</f>
        <v>1637.6699999999996</v>
      </c>
      <c r="E226" s="1"/>
      <c r="F226" s="5">
        <f t="shared" si="63"/>
        <v>2.6201065769511549E-3</v>
      </c>
      <c r="G226" s="1"/>
      <c r="H226" s="1">
        <f>SUM(OSRRefH22_10x_0)</f>
        <v>-6585</v>
      </c>
      <c r="I226" s="1"/>
      <c r="J226" s="5">
        <f t="shared" si="64"/>
        <v>-1.0621025837918976E-2</v>
      </c>
      <c r="K226" s="1"/>
      <c r="L226" s="1">
        <f t="shared" si="65"/>
        <v>8222.67</v>
      </c>
      <c r="M226" s="1"/>
      <c r="N226" s="5">
        <f t="shared" si="66"/>
        <v>-1.2486970387243737</v>
      </c>
      <c r="O226" s="13"/>
      <c r="P226" s="1">
        <f>SUM(OSRRefP22_10x_0)</f>
        <v>-4067.6500000000015</v>
      </c>
      <c r="Q226" s="1"/>
      <c r="R226" s="5">
        <f t="shared" si="67"/>
        <v>-6.8258084214958836E-4</v>
      </c>
      <c r="S226" s="1"/>
      <c r="T226" s="1">
        <f>SUM(OSRRefT22_10x_0)</f>
        <v>-30440</v>
      </c>
      <c r="U226" s="1"/>
      <c r="V226" s="5">
        <f t="shared" si="68"/>
        <v>-5.0557482747590867E-3</v>
      </c>
      <c r="W226" s="1"/>
      <c r="X226" s="1">
        <f t="shared" si="69"/>
        <v>26372.35</v>
      </c>
      <c r="Y226" s="1"/>
      <c r="Z226" s="5">
        <f t="shared" si="70"/>
        <v>-0.8663715505913272</v>
      </c>
    </row>
    <row r="227" spans="1:26" s="24" customFormat="1" hidden="1" outlineLevel="2" x14ac:dyDescent="0.25">
      <c r="A227" s="27"/>
      <c r="B227" s="11" t="str">
        <f>CONCATENATE("          ", "6305", " - ", "FREIGHT OUT")</f>
        <v xml:space="preserve">          6305 - FREIGHT OUT</v>
      </c>
      <c r="C227" s="11"/>
      <c r="D227" s="6">
        <v>4583.8599999999997</v>
      </c>
      <c r="E227" s="2"/>
      <c r="F227" s="7">
        <f t="shared" si="63"/>
        <v>7.3337129786973697E-3</v>
      </c>
      <c r="G227" s="2"/>
      <c r="H227" s="6">
        <v>-6625</v>
      </c>
      <c r="I227" s="2"/>
      <c r="J227" s="7">
        <f t="shared" si="64"/>
        <v>-1.0685542319850146E-2</v>
      </c>
      <c r="K227" s="2"/>
      <c r="L227" s="6">
        <f t="shared" si="65"/>
        <v>11208.86</v>
      </c>
      <c r="M227" s="2"/>
      <c r="N227" s="7">
        <f t="shared" si="66"/>
        <v>-1.6919033962264152</v>
      </c>
      <c r="O227" s="11"/>
      <c r="P227" s="6">
        <v>19520.580000000002</v>
      </c>
      <c r="Q227" s="2"/>
      <c r="R227" s="7">
        <f t="shared" si="67"/>
        <v>3.2756933206269977E-3</v>
      </c>
      <c r="S227" s="2"/>
      <c r="T227" s="6">
        <v>-30600</v>
      </c>
      <c r="U227" s="2"/>
      <c r="V227" s="7">
        <f t="shared" si="68"/>
        <v>-5.082322510106047E-3</v>
      </c>
      <c r="W227" s="2"/>
      <c r="X227" s="6">
        <f t="shared" si="69"/>
        <v>50120.58</v>
      </c>
      <c r="Y227" s="2"/>
      <c r="Z227" s="7">
        <f t="shared" si="70"/>
        <v>-1.6379274509803923</v>
      </c>
    </row>
    <row r="228" spans="1:26" s="24" customFormat="1" hidden="1" outlineLevel="2" x14ac:dyDescent="0.25">
      <c r="A228" s="27"/>
      <c r="B228" s="11" t="str">
        <f>CONCATENATE("          ", "6307", " - ", "POSTAGE")</f>
        <v xml:space="preserve">          6307 - POSTAGE</v>
      </c>
      <c r="C228" s="11"/>
      <c r="D228" s="6">
        <v>-2946.19</v>
      </c>
      <c r="E228" s="2"/>
      <c r="F228" s="7">
        <f t="shared" si="63"/>
        <v>-4.7136064017462157E-3</v>
      </c>
      <c r="G228" s="2"/>
      <c r="H228" s="6">
        <v>40</v>
      </c>
      <c r="I228" s="2"/>
      <c r="J228" s="7">
        <f t="shared" si="64"/>
        <v>6.4516481931170701E-5</v>
      </c>
      <c r="K228" s="2"/>
      <c r="L228" s="6">
        <f t="shared" si="65"/>
        <v>-2986.19</v>
      </c>
      <c r="M228" s="2"/>
      <c r="N228" s="7">
        <f t="shared" si="66"/>
        <v>-74.654750000000007</v>
      </c>
      <c r="O228" s="11"/>
      <c r="P228" s="6">
        <v>-23588.230000000003</v>
      </c>
      <c r="Q228" s="2"/>
      <c r="R228" s="7">
        <f t="shared" si="67"/>
        <v>-3.958274162776586E-3</v>
      </c>
      <c r="S228" s="2"/>
      <c r="T228" s="6">
        <v>160</v>
      </c>
      <c r="U228" s="2"/>
      <c r="V228" s="7">
        <f t="shared" si="68"/>
        <v>2.6574235346959721E-5</v>
      </c>
      <c r="W228" s="2"/>
      <c r="X228" s="6">
        <f t="shared" si="69"/>
        <v>-23748.230000000003</v>
      </c>
      <c r="Y228" s="2"/>
      <c r="Z228" s="7">
        <f t="shared" si="70"/>
        <v>-148.42643750000002</v>
      </c>
    </row>
    <row r="229" spans="1:26" s="26" customFormat="1" outlineLevel="1" collapsed="1" x14ac:dyDescent="0.25">
      <c r="A229" s="25"/>
      <c r="B229" s="13" t="str">
        <f>CONCATENATE("     ","General                                           ")</f>
        <v xml:space="preserve">     General                                           </v>
      </c>
      <c r="C229" s="13"/>
      <c r="D229" s="1">
        <f>SUM(OSRRefD22_11x_0)</f>
        <v>188.95</v>
      </c>
      <c r="E229" s="1"/>
      <c r="F229" s="5">
        <f t="shared" ref="F229:F242" si="71">IF(D$12=0,0,D229/D$12)</f>
        <v>3.0230091392949787E-4</v>
      </c>
      <c r="G229" s="1"/>
      <c r="H229" s="1">
        <f>SUM(OSRRefH22_11x_0)</f>
        <v>480</v>
      </c>
      <c r="I229" s="1"/>
      <c r="J229" s="5">
        <f t="shared" ref="J229:J242" si="72">IF(H$12=0,0,H229/H$12)</f>
        <v>7.7419778317404831E-4</v>
      </c>
      <c r="K229" s="1"/>
      <c r="L229" s="1">
        <f t="shared" ref="L229:L242" si="73">+D229-H229</f>
        <v>-291.05</v>
      </c>
      <c r="M229" s="1"/>
      <c r="N229" s="5">
        <f t="shared" ref="N229:N242" si="74">IF(H229=0,0,L229/H229)</f>
        <v>-0.60635416666666664</v>
      </c>
      <c r="O229" s="13"/>
      <c r="P229" s="1">
        <f>SUM(OSRRefP22_11x_0)</f>
        <v>-15512.79</v>
      </c>
      <c r="Q229" s="1"/>
      <c r="R229" s="5">
        <f t="shared" ref="R229:R242" si="75">IF(P$12=0,0,P229/P$12)</f>
        <v>-2.6031574157780808E-3</v>
      </c>
      <c r="S229" s="1"/>
      <c r="T229" s="1">
        <f>SUM(OSRRefT22_11x_0)</f>
        <v>2060</v>
      </c>
      <c r="U229" s="1"/>
      <c r="V229" s="5">
        <f t="shared" ref="V229:V242" si="76">IF(T$12=0,0,T229/T$12)</f>
        <v>3.421432800921064E-4</v>
      </c>
      <c r="W229" s="1"/>
      <c r="X229" s="1">
        <f t="shared" ref="X229:X242" si="77">+P229-T229</f>
        <v>-17572.79</v>
      </c>
      <c r="Y229" s="1"/>
      <c r="Z229" s="5">
        <f t="shared" ref="Z229:Z242" si="78">IF(T229=0,0,X229/T229)</f>
        <v>-8.5304805825242731</v>
      </c>
    </row>
    <row r="230" spans="1:26" s="24" customFormat="1" hidden="1" outlineLevel="2" x14ac:dyDescent="0.25">
      <c r="A230" s="27"/>
      <c r="B230" s="11" t="str">
        <f>CONCATENATE("          ", "6279", " - ", "GENERAL EXPENSE")</f>
        <v xml:space="preserve">          6279 - GENERAL EXPENSE</v>
      </c>
      <c r="C230" s="11"/>
      <c r="D230" s="6">
        <v>188.95</v>
      </c>
      <c r="E230" s="2"/>
      <c r="F230" s="7">
        <f t="shared" si="71"/>
        <v>3.0230091392949787E-4</v>
      </c>
      <c r="G230" s="2"/>
      <c r="H230" s="6">
        <v>480</v>
      </c>
      <c r="I230" s="2"/>
      <c r="J230" s="7">
        <f t="shared" si="72"/>
        <v>7.7419778317404831E-4</v>
      </c>
      <c r="K230" s="2"/>
      <c r="L230" s="6">
        <f t="shared" si="73"/>
        <v>-291.05</v>
      </c>
      <c r="M230" s="2"/>
      <c r="N230" s="7">
        <f t="shared" si="74"/>
        <v>-0.60635416666666664</v>
      </c>
      <c r="O230" s="11"/>
      <c r="P230" s="6">
        <v>-15512.79</v>
      </c>
      <c r="Q230" s="2"/>
      <c r="R230" s="7">
        <f t="shared" si="75"/>
        <v>-2.6031574157780808E-3</v>
      </c>
      <c r="S230" s="2"/>
      <c r="T230" s="6">
        <v>2060</v>
      </c>
      <c r="U230" s="2"/>
      <c r="V230" s="7">
        <f t="shared" si="76"/>
        <v>3.421432800921064E-4</v>
      </c>
      <c r="W230" s="2"/>
      <c r="X230" s="6">
        <f t="shared" si="77"/>
        <v>-17572.79</v>
      </c>
      <c r="Y230" s="2"/>
      <c r="Z230" s="7">
        <f t="shared" si="78"/>
        <v>-8.5304805825242731</v>
      </c>
    </row>
    <row r="231" spans="1:26" s="26" customFormat="1" outlineLevel="1" collapsed="1" x14ac:dyDescent="0.25">
      <c r="A231" s="25"/>
      <c r="B231" s="13" t="str">
        <f>CONCATENATE("     ","Insurance                                         ")</f>
        <v xml:space="preserve">     Insurance                                         </v>
      </c>
      <c r="C231" s="13"/>
      <c r="D231" s="1">
        <f>SUM(OSRRefD22_12x_0)</f>
        <v>4044.74</v>
      </c>
      <c r="E231" s="1"/>
      <c r="F231" s="5">
        <f t="shared" si="71"/>
        <v>6.4711754358676753E-3</v>
      </c>
      <c r="G231" s="1"/>
      <c r="H231" s="1">
        <f>SUM(OSRRefH22_12x_0)</f>
        <v>3815</v>
      </c>
      <c r="I231" s="1"/>
      <c r="J231" s="5">
        <f t="shared" si="72"/>
        <v>6.1532594641854049E-3</v>
      </c>
      <c r="K231" s="1"/>
      <c r="L231" s="1">
        <f t="shared" si="73"/>
        <v>229.73999999999978</v>
      </c>
      <c r="M231" s="1"/>
      <c r="N231" s="5">
        <f t="shared" si="74"/>
        <v>6.0220183486238477E-2</v>
      </c>
      <c r="O231" s="13"/>
      <c r="P231" s="1">
        <f>SUM(OSRRefP22_12x_0)</f>
        <v>16178.96</v>
      </c>
      <c r="Q231" s="1"/>
      <c r="R231" s="5">
        <f t="shared" si="75"/>
        <v>2.7149455193796173E-3</v>
      </c>
      <c r="S231" s="1"/>
      <c r="T231" s="1">
        <f>SUM(OSRRefT22_12x_0)</f>
        <v>15260</v>
      </c>
      <c r="U231" s="1"/>
      <c r="V231" s="5">
        <f t="shared" si="76"/>
        <v>2.5345176962162834E-3</v>
      </c>
      <c r="W231" s="1"/>
      <c r="X231" s="1">
        <f t="shared" si="77"/>
        <v>918.95999999999913</v>
      </c>
      <c r="Y231" s="1"/>
      <c r="Z231" s="5">
        <f t="shared" si="78"/>
        <v>6.0220183486238477E-2</v>
      </c>
    </row>
    <row r="232" spans="1:26" s="24" customFormat="1" hidden="1" outlineLevel="2" x14ac:dyDescent="0.25">
      <c r="A232" s="27"/>
      <c r="B232" s="11" t="str">
        <f>CONCATENATE("          ", "6314", " - ", "LIABILITY INSURANCE")</f>
        <v xml:space="preserve">          6314 - LIABILITY INSURANCE</v>
      </c>
      <c r="C232" s="11"/>
      <c r="D232" s="6">
        <v>4044.74</v>
      </c>
      <c r="E232" s="2"/>
      <c r="F232" s="7">
        <f t="shared" si="71"/>
        <v>6.4711754358676753E-3</v>
      </c>
      <c r="G232" s="2"/>
      <c r="H232" s="6">
        <v>3815</v>
      </c>
      <c r="I232" s="2"/>
      <c r="J232" s="7">
        <f t="shared" si="72"/>
        <v>6.1532594641854049E-3</v>
      </c>
      <c r="K232" s="2"/>
      <c r="L232" s="6">
        <f t="shared" si="73"/>
        <v>229.73999999999978</v>
      </c>
      <c r="M232" s="2"/>
      <c r="N232" s="7">
        <f t="shared" si="74"/>
        <v>6.0220183486238477E-2</v>
      </c>
      <c r="O232" s="11"/>
      <c r="P232" s="6">
        <v>16178.96</v>
      </c>
      <c r="Q232" s="2"/>
      <c r="R232" s="7">
        <f t="shared" si="75"/>
        <v>2.7149455193796173E-3</v>
      </c>
      <c r="S232" s="2"/>
      <c r="T232" s="6">
        <v>15260</v>
      </c>
      <c r="U232" s="2"/>
      <c r="V232" s="7">
        <f t="shared" si="76"/>
        <v>2.5345176962162834E-3</v>
      </c>
      <c r="W232" s="2"/>
      <c r="X232" s="6">
        <f t="shared" si="77"/>
        <v>918.95999999999913</v>
      </c>
      <c r="Y232" s="2"/>
      <c r="Z232" s="7">
        <f t="shared" si="78"/>
        <v>6.0220183486238477E-2</v>
      </c>
    </row>
    <row r="233" spans="1:26" s="26" customFormat="1" outlineLevel="1" collapsed="1" x14ac:dyDescent="0.25">
      <c r="A233" s="25"/>
      <c r="B233" s="13" t="str">
        <f>CONCATENATE("     ","Inventory Adjustment                              ")</f>
        <v xml:space="preserve">     Inventory Adjustment                              </v>
      </c>
      <c r="C233" s="13"/>
      <c r="D233" s="1">
        <f>SUM(OSRRefD22_13x_0)</f>
        <v>4250</v>
      </c>
      <c r="E233" s="1"/>
      <c r="F233" s="5">
        <f t="shared" si="71"/>
        <v>6.7995707023041337E-3</v>
      </c>
      <c r="G233" s="1"/>
      <c r="H233" s="1">
        <f>SUM(OSRRefH22_13x_0)</f>
        <v>4250</v>
      </c>
      <c r="I233" s="1"/>
      <c r="J233" s="5">
        <f t="shared" si="72"/>
        <v>6.8548762051868859E-3</v>
      </c>
      <c r="K233" s="1"/>
      <c r="L233" s="1">
        <f t="shared" si="73"/>
        <v>0</v>
      </c>
      <c r="M233" s="1"/>
      <c r="N233" s="5">
        <f t="shared" si="74"/>
        <v>0</v>
      </c>
      <c r="O233" s="13"/>
      <c r="P233" s="1">
        <f>SUM(OSRRefP22_13x_0)</f>
        <v>16900</v>
      </c>
      <c r="Q233" s="1"/>
      <c r="R233" s="5">
        <f t="shared" si="75"/>
        <v>2.8359412024948163E-3</v>
      </c>
      <c r="S233" s="1"/>
      <c r="T233" s="1">
        <f>SUM(OSRRefT22_13x_0)</f>
        <v>16900</v>
      </c>
      <c r="U233" s="1"/>
      <c r="V233" s="5">
        <f t="shared" si="76"/>
        <v>2.8069036085226207E-3</v>
      </c>
      <c r="W233" s="1"/>
      <c r="X233" s="1">
        <f t="shared" si="77"/>
        <v>0</v>
      </c>
      <c r="Y233" s="1"/>
      <c r="Z233" s="5">
        <f t="shared" si="78"/>
        <v>0</v>
      </c>
    </row>
    <row r="234" spans="1:26" s="24" customFormat="1" hidden="1" outlineLevel="2" x14ac:dyDescent="0.25">
      <c r="A234" s="27"/>
      <c r="B234" s="11" t="str">
        <f>CONCATENATE("          ", "6408", " - ", "INVENTORY ADJUSTMENT")</f>
        <v xml:space="preserve">          6408 - INVENTORY ADJUSTMENT</v>
      </c>
      <c r="C234" s="11"/>
      <c r="D234" s="6">
        <v>4250</v>
      </c>
      <c r="E234" s="2"/>
      <c r="F234" s="7">
        <f t="shared" si="71"/>
        <v>6.7995707023041337E-3</v>
      </c>
      <c r="G234" s="2"/>
      <c r="H234" s="6">
        <v>4250</v>
      </c>
      <c r="I234" s="2"/>
      <c r="J234" s="7">
        <f t="shared" si="72"/>
        <v>6.8548762051868859E-3</v>
      </c>
      <c r="K234" s="2"/>
      <c r="L234" s="6">
        <f t="shared" si="73"/>
        <v>0</v>
      </c>
      <c r="M234" s="2"/>
      <c r="N234" s="7">
        <f t="shared" si="74"/>
        <v>0</v>
      </c>
      <c r="O234" s="11"/>
      <c r="P234" s="6">
        <v>16900</v>
      </c>
      <c r="Q234" s="2"/>
      <c r="R234" s="7">
        <f t="shared" si="75"/>
        <v>2.8359412024948163E-3</v>
      </c>
      <c r="S234" s="2"/>
      <c r="T234" s="6">
        <v>16900</v>
      </c>
      <c r="U234" s="2"/>
      <c r="V234" s="7">
        <f t="shared" si="76"/>
        <v>2.8069036085226207E-3</v>
      </c>
      <c r="W234" s="2"/>
      <c r="X234" s="6">
        <f t="shared" si="77"/>
        <v>0</v>
      </c>
      <c r="Y234" s="2"/>
      <c r="Z234" s="7">
        <f t="shared" si="78"/>
        <v>0</v>
      </c>
    </row>
    <row r="235" spans="1:26" s="26" customFormat="1" outlineLevel="1" collapsed="1" x14ac:dyDescent="0.25">
      <c r="A235" s="25"/>
      <c r="B235" s="13" t="str">
        <f>CONCATENATE("     ","Professional Services                             ")</f>
        <v xml:space="preserve">     Professional Services                             </v>
      </c>
      <c r="C235" s="13"/>
      <c r="D235" s="1">
        <f>SUM(OSRRefD22_14x_0)</f>
        <v>0</v>
      </c>
      <c r="E235" s="1"/>
      <c r="F235" s="5">
        <f t="shared" si="71"/>
        <v>0</v>
      </c>
      <c r="G235" s="1"/>
      <c r="H235" s="1">
        <f>SUM(OSRRefH22_14x_0)</f>
        <v>1265</v>
      </c>
      <c r="I235" s="1"/>
      <c r="J235" s="5">
        <f t="shared" si="72"/>
        <v>2.0403337410732731E-3</v>
      </c>
      <c r="K235" s="1"/>
      <c r="L235" s="1">
        <f t="shared" si="73"/>
        <v>-1265</v>
      </c>
      <c r="M235" s="1"/>
      <c r="N235" s="5">
        <f t="shared" si="74"/>
        <v>-1</v>
      </c>
      <c r="O235" s="13"/>
      <c r="P235" s="1">
        <f>SUM(OSRRefP22_14x_0)</f>
        <v>6158.41</v>
      </c>
      <c r="Q235" s="1"/>
      <c r="R235" s="5">
        <f t="shared" si="75"/>
        <v>1.0334253645476984E-3</v>
      </c>
      <c r="S235" s="1"/>
      <c r="T235" s="1">
        <f>SUM(OSRRefT22_14x_0)</f>
        <v>6710</v>
      </c>
      <c r="U235" s="1"/>
      <c r="V235" s="5">
        <f t="shared" si="76"/>
        <v>1.1144569948631233E-3</v>
      </c>
      <c r="W235" s="1"/>
      <c r="X235" s="1">
        <f t="shared" si="77"/>
        <v>-551.59000000000015</v>
      </c>
      <c r="Y235" s="1"/>
      <c r="Z235" s="5">
        <f t="shared" si="78"/>
        <v>-8.2204172876304049E-2</v>
      </c>
    </row>
    <row r="236" spans="1:26" s="24" customFormat="1" hidden="1" outlineLevel="2" x14ac:dyDescent="0.25">
      <c r="A236" s="27"/>
      <c r="B236" s="11" t="str">
        <f>CONCATENATE("          ", "6336", " - ", "PROFESSIONAL SERVICES")</f>
        <v xml:space="preserve">          6336 - PROFESSIONAL SERVICES</v>
      </c>
      <c r="C236" s="11"/>
      <c r="D236" s="6"/>
      <c r="E236" s="2"/>
      <c r="F236" s="7">
        <f t="shared" si="71"/>
        <v>0</v>
      </c>
      <c r="G236" s="2"/>
      <c r="H236" s="6">
        <v>1265</v>
      </c>
      <c r="I236" s="2"/>
      <c r="J236" s="7">
        <f t="shared" si="72"/>
        <v>2.0403337410732731E-3</v>
      </c>
      <c r="K236" s="2"/>
      <c r="L236" s="6">
        <f t="shared" si="73"/>
        <v>-1265</v>
      </c>
      <c r="M236" s="2"/>
      <c r="N236" s="7">
        <f t="shared" si="74"/>
        <v>-1</v>
      </c>
      <c r="O236" s="11"/>
      <c r="P236" s="6">
        <v>6158.41</v>
      </c>
      <c r="Q236" s="2"/>
      <c r="R236" s="7">
        <f t="shared" si="75"/>
        <v>1.0334253645476984E-3</v>
      </c>
      <c r="S236" s="2"/>
      <c r="T236" s="6">
        <v>6710</v>
      </c>
      <c r="U236" s="2"/>
      <c r="V236" s="7">
        <f t="shared" si="76"/>
        <v>1.1144569948631233E-3</v>
      </c>
      <c r="W236" s="2"/>
      <c r="X236" s="6">
        <f t="shared" si="77"/>
        <v>-551.59000000000015</v>
      </c>
      <c r="Y236" s="2"/>
      <c r="Z236" s="7">
        <f t="shared" si="78"/>
        <v>-8.2204172876304049E-2</v>
      </c>
    </row>
    <row r="237" spans="1:26" s="26" customFormat="1" outlineLevel="1" collapsed="1" x14ac:dyDescent="0.25">
      <c r="A237" s="25"/>
      <c r="B237" s="13" t="str">
        <f>CONCATENATE("     ","Rent                                              ")</f>
        <v xml:space="preserve">     Rent                                              </v>
      </c>
      <c r="C237" s="13"/>
      <c r="D237" s="1">
        <f>SUM(OSRRefD22_15x_0)</f>
        <v>6100</v>
      </c>
      <c r="E237" s="1"/>
      <c r="F237" s="5">
        <f t="shared" si="71"/>
        <v>9.7593838315424026E-3</v>
      </c>
      <c r="G237" s="1"/>
      <c r="H237" s="1">
        <f>SUM(OSRRefH22_15x_0)</f>
        <v>6400</v>
      </c>
      <c r="I237" s="1"/>
      <c r="J237" s="5">
        <f t="shared" si="72"/>
        <v>1.0322637108987311E-2</v>
      </c>
      <c r="K237" s="1"/>
      <c r="L237" s="1">
        <f t="shared" si="73"/>
        <v>-300</v>
      </c>
      <c r="M237" s="1"/>
      <c r="N237" s="5">
        <f t="shared" si="74"/>
        <v>-4.6875E-2</v>
      </c>
      <c r="O237" s="13"/>
      <c r="P237" s="1">
        <f>SUM(OSRRefP22_15x_0)</f>
        <v>24400</v>
      </c>
      <c r="Q237" s="1"/>
      <c r="R237" s="5">
        <f t="shared" si="75"/>
        <v>4.0944949905842316E-3</v>
      </c>
      <c r="S237" s="1"/>
      <c r="T237" s="1">
        <f>SUM(OSRRefT22_15x_0)</f>
        <v>25600</v>
      </c>
      <c r="U237" s="1"/>
      <c r="V237" s="5">
        <f t="shared" si="76"/>
        <v>4.2518776555135552E-3</v>
      </c>
      <c r="W237" s="1"/>
      <c r="X237" s="1">
        <f t="shared" si="77"/>
        <v>-1200</v>
      </c>
      <c r="Y237" s="1"/>
      <c r="Z237" s="5">
        <f t="shared" si="78"/>
        <v>-4.6875E-2</v>
      </c>
    </row>
    <row r="238" spans="1:26" s="24" customFormat="1" hidden="1" outlineLevel="2" x14ac:dyDescent="0.25">
      <c r="A238" s="27"/>
      <c r="B238" s="11" t="str">
        <f>CONCATENATE("          ", "6273", " - ", "RENT")</f>
        <v xml:space="preserve">          6273 - RENT</v>
      </c>
      <c r="C238" s="11"/>
      <c r="D238" s="6">
        <v>6100</v>
      </c>
      <c r="E238" s="2"/>
      <c r="F238" s="7">
        <f t="shared" si="71"/>
        <v>9.7593838315424026E-3</v>
      </c>
      <c r="G238" s="2"/>
      <c r="H238" s="6">
        <v>6400</v>
      </c>
      <c r="I238" s="2"/>
      <c r="J238" s="7">
        <f t="shared" si="72"/>
        <v>1.0322637108987311E-2</v>
      </c>
      <c r="K238" s="2"/>
      <c r="L238" s="6">
        <f t="shared" si="73"/>
        <v>-300</v>
      </c>
      <c r="M238" s="2"/>
      <c r="N238" s="7">
        <f t="shared" si="74"/>
        <v>-4.6875E-2</v>
      </c>
      <c r="O238" s="11"/>
      <c r="P238" s="6">
        <v>24400</v>
      </c>
      <c r="Q238" s="2"/>
      <c r="R238" s="7">
        <f t="shared" si="75"/>
        <v>4.0944949905842316E-3</v>
      </c>
      <c r="S238" s="2"/>
      <c r="T238" s="6">
        <v>25600</v>
      </c>
      <c r="U238" s="2"/>
      <c r="V238" s="7">
        <f t="shared" si="76"/>
        <v>4.2518776555135552E-3</v>
      </c>
      <c r="W238" s="2"/>
      <c r="X238" s="6">
        <f t="shared" si="77"/>
        <v>-1200</v>
      </c>
      <c r="Y238" s="2"/>
      <c r="Z238" s="7">
        <f t="shared" si="78"/>
        <v>-4.6875E-2</v>
      </c>
    </row>
    <row r="239" spans="1:26" s="26" customFormat="1" outlineLevel="1" collapsed="1" x14ac:dyDescent="0.25">
      <c r="A239" s="25"/>
      <c r="B239" s="13" t="str">
        <f>CONCATENATE("     ","Repair and Maintenance                            ")</f>
        <v xml:space="preserve">     Repair and Maintenance                            </v>
      </c>
      <c r="C239" s="13"/>
      <c r="D239" s="1">
        <f>SUM(OSRRefD22_16x_0)</f>
        <v>16586.900000000001</v>
      </c>
      <c r="E239" s="1"/>
      <c r="F239" s="5">
        <f t="shared" si="71"/>
        <v>2.6537364536952573E-2</v>
      </c>
      <c r="G239" s="1"/>
      <c r="H239" s="1">
        <f>SUM(OSRRefH22_16x_0)</f>
        <v>14540</v>
      </c>
      <c r="I239" s="1"/>
      <c r="J239" s="5">
        <f t="shared" si="72"/>
        <v>2.3451741181980547E-2</v>
      </c>
      <c r="K239" s="1"/>
      <c r="L239" s="1">
        <f t="shared" si="73"/>
        <v>2046.9000000000015</v>
      </c>
      <c r="M239" s="1"/>
      <c r="N239" s="5">
        <f t="shared" si="74"/>
        <v>0.14077716643741414</v>
      </c>
      <c r="O239" s="13"/>
      <c r="P239" s="1">
        <f>SUM(OSRRefP22_16x_0)</f>
        <v>64941.310000000005</v>
      </c>
      <c r="Q239" s="1"/>
      <c r="R239" s="5">
        <f t="shared" si="75"/>
        <v>1.0897617560531873E-2</v>
      </c>
      <c r="S239" s="1"/>
      <c r="T239" s="1">
        <f>SUM(OSRRefT22_16x_0)</f>
        <v>100795</v>
      </c>
      <c r="U239" s="1"/>
      <c r="V239" s="5">
        <f t="shared" si="76"/>
        <v>1.6740937823730033E-2</v>
      </c>
      <c r="W239" s="1"/>
      <c r="X239" s="1">
        <f t="shared" si="77"/>
        <v>-35853.689999999995</v>
      </c>
      <c r="Y239" s="1"/>
      <c r="Z239" s="5">
        <f t="shared" si="78"/>
        <v>-0.3557090133439158</v>
      </c>
    </row>
    <row r="240" spans="1:26" s="24" customFormat="1" hidden="1" outlineLevel="2" x14ac:dyDescent="0.25">
      <c r="A240" s="27"/>
      <c r="B240" s="11" t="str">
        <f>CONCATENATE("          ", "6371", " - ", "COMPUTER SOFTWARE MAINTENANCE")</f>
        <v xml:space="preserve">          6371 - COMPUTER SOFTWARE MAINTENANCE</v>
      </c>
      <c r="C240" s="11"/>
      <c r="D240" s="6">
        <v>601</v>
      </c>
      <c r="E240" s="2"/>
      <c r="F240" s="7">
        <f t="shared" si="71"/>
        <v>9.6153929225524331E-4</v>
      </c>
      <c r="G240" s="2"/>
      <c r="H240" s="6"/>
      <c r="I240" s="2"/>
      <c r="J240" s="7">
        <f t="shared" si="72"/>
        <v>0</v>
      </c>
      <c r="K240" s="2"/>
      <c r="L240" s="6">
        <f t="shared" si="73"/>
        <v>601</v>
      </c>
      <c r="M240" s="2"/>
      <c r="N240" s="7">
        <f t="shared" si="74"/>
        <v>0</v>
      </c>
      <c r="O240" s="11"/>
      <c r="P240" s="6">
        <v>12751.4</v>
      </c>
      <c r="Q240" s="2"/>
      <c r="R240" s="7">
        <f t="shared" si="75"/>
        <v>2.1397763697924496E-3</v>
      </c>
      <c r="S240" s="2"/>
      <c r="T240" s="6">
        <v>48535</v>
      </c>
      <c r="U240" s="2"/>
      <c r="V240" s="7">
        <f t="shared" si="76"/>
        <v>8.0611282035293139E-3</v>
      </c>
      <c r="W240" s="2"/>
      <c r="X240" s="6">
        <f t="shared" si="77"/>
        <v>-35783.599999999999</v>
      </c>
      <c r="Y240" s="2"/>
      <c r="Z240" s="7">
        <f t="shared" si="78"/>
        <v>-0.73727413206964043</v>
      </c>
    </row>
    <row r="241" spans="1:26" s="24" customFormat="1" hidden="1" outlineLevel="2" x14ac:dyDescent="0.25">
      <c r="A241" s="27"/>
      <c r="B241" s="11" t="str">
        <f>CONCATENATE("          ", "6373", " - ", "MAINTENANCE CONTRACTS")</f>
        <v xml:space="preserve">          6373 - MAINTENANCE CONTRACTS</v>
      </c>
      <c r="C241" s="11"/>
      <c r="D241" s="6">
        <v>11328</v>
      </c>
      <c r="E241" s="2"/>
      <c r="F241" s="7">
        <f t="shared" si="71"/>
        <v>1.8123655744870876E-2</v>
      </c>
      <c r="G241" s="2"/>
      <c r="H241" s="6">
        <v>7040</v>
      </c>
      <c r="I241" s="2"/>
      <c r="J241" s="7">
        <f t="shared" si="72"/>
        <v>1.1354900819886042E-2</v>
      </c>
      <c r="K241" s="2"/>
      <c r="L241" s="6">
        <f t="shared" si="73"/>
        <v>4288</v>
      </c>
      <c r="M241" s="2"/>
      <c r="N241" s="7">
        <f t="shared" si="74"/>
        <v>0.60909090909090913</v>
      </c>
      <c r="O241" s="11"/>
      <c r="P241" s="6">
        <v>30376.190000000002</v>
      </c>
      <c r="Q241" s="2"/>
      <c r="R241" s="7">
        <f t="shared" si="75"/>
        <v>5.0973425322965102E-3</v>
      </c>
      <c r="S241" s="2"/>
      <c r="T241" s="6">
        <v>28235</v>
      </c>
      <c r="U241" s="2"/>
      <c r="V241" s="7">
        <f t="shared" si="76"/>
        <v>4.6895220938837981E-3</v>
      </c>
      <c r="W241" s="2"/>
      <c r="X241" s="6">
        <f t="shared" si="77"/>
        <v>2141.1900000000023</v>
      </c>
      <c r="Y241" s="2"/>
      <c r="Z241" s="7">
        <f t="shared" si="78"/>
        <v>7.5834602443775545E-2</v>
      </c>
    </row>
    <row r="242" spans="1:26" s="24" customFormat="1" hidden="1" outlineLevel="2" x14ac:dyDescent="0.25">
      <c r="A242" s="27"/>
      <c r="B242" s="11" t="str">
        <f>CONCATENATE("          ", "6375", " - ", "OUTSIDE REPAIRS &amp; MAINTENANCE")</f>
        <v xml:space="preserve">          6375 - OUTSIDE REPAIRS &amp; MAINTENANCE</v>
      </c>
      <c r="C242" s="11"/>
      <c r="D242" s="6">
        <v>4657.8999999999996</v>
      </c>
      <c r="E242" s="2"/>
      <c r="F242" s="7">
        <f t="shared" si="71"/>
        <v>7.4521694998264517E-3</v>
      </c>
      <c r="G242" s="2"/>
      <c r="H242" s="6">
        <v>7500</v>
      </c>
      <c r="I242" s="2"/>
      <c r="J242" s="7">
        <f t="shared" si="72"/>
        <v>1.2096840362094505E-2</v>
      </c>
      <c r="K242" s="2"/>
      <c r="L242" s="6">
        <f t="shared" si="73"/>
        <v>-2842.1000000000004</v>
      </c>
      <c r="M242" s="2"/>
      <c r="N242" s="7">
        <f t="shared" si="74"/>
        <v>-0.37894666666666671</v>
      </c>
      <c r="O242" s="11"/>
      <c r="P242" s="6">
        <v>21813.72</v>
      </c>
      <c r="Q242" s="2"/>
      <c r="R242" s="7">
        <f t="shared" si="75"/>
        <v>3.6604986584429129E-3</v>
      </c>
      <c r="S242" s="2"/>
      <c r="T242" s="6">
        <v>24025</v>
      </c>
      <c r="U242" s="2"/>
      <c r="V242" s="7">
        <f t="shared" si="76"/>
        <v>3.9902875263169209E-3</v>
      </c>
      <c r="W242" s="2"/>
      <c r="X242" s="6">
        <f t="shared" si="77"/>
        <v>-2211.2799999999988</v>
      </c>
      <c r="Y242" s="2"/>
      <c r="Z242" s="7">
        <f t="shared" si="78"/>
        <v>-9.2040790842871964E-2</v>
      </c>
    </row>
    <row r="243" spans="1:26" s="26" customFormat="1" outlineLevel="1" collapsed="1" x14ac:dyDescent="0.25">
      <c r="A243" s="25"/>
      <c r="B243" s="13" t="str">
        <f>CONCATENATE("     ","Royalty &amp; Commissions                             ")</f>
        <v xml:space="preserve">     Royalty &amp; Commissions                             </v>
      </c>
      <c r="C243" s="13"/>
      <c r="D243" s="1">
        <f>SUM(OSRRefD22_17x_0)</f>
        <v>12626.66</v>
      </c>
      <c r="E243" s="1"/>
      <c r="F243" s="5">
        <f t="shared" ref="F243:F247" si="79">IF(D$12=0,0,D243/D$12)</f>
        <v>2.0201380565636591E-2</v>
      </c>
      <c r="G243" s="1"/>
      <c r="H243" s="1">
        <f>SUM(OSRRefH22_17x_0)</f>
        <v>16485</v>
      </c>
      <c r="I243" s="1"/>
      <c r="J243" s="5">
        <f t="shared" ref="J243:J247" si="80">IF(H$12=0,0,H243/H$12)</f>
        <v>2.6588855115883724E-2</v>
      </c>
      <c r="K243" s="1"/>
      <c r="L243" s="1">
        <f t="shared" ref="L243:L247" si="81">+D243-H243</f>
        <v>-3858.34</v>
      </c>
      <c r="M243" s="1"/>
      <c r="N243" s="5">
        <f t="shared" ref="N243:N247" si="82">IF(H243=0,0,L243/H243)</f>
        <v>-0.23405156202608432</v>
      </c>
      <c r="O243" s="13"/>
      <c r="P243" s="1">
        <f>SUM(OSRRefP22_17x_0)</f>
        <v>32079.1</v>
      </c>
      <c r="Q243" s="1"/>
      <c r="R243" s="5">
        <f t="shared" ref="R243:R247" si="83">IF(P$12=0,0,P243/P$12)</f>
        <v>5.383103043133222E-3</v>
      </c>
      <c r="S243" s="1"/>
      <c r="T243" s="1">
        <f>SUM(OSRRefT22_17x_0)</f>
        <v>65940</v>
      </c>
      <c r="U243" s="1"/>
      <c r="V243" s="5">
        <f t="shared" ref="V243:V247" si="84">IF(T$12=0,0,T243/T$12)</f>
        <v>1.0951906742365776E-2</v>
      </c>
      <c r="W243" s="1"/>
      <c r="X243" s="1">
        <f t="shared" ref="X243:X247" si="85">+P243-T243</f>
        <v>-33860.9</v>
      </c>
      <c r="Y243" s="1"/>
      <c r="Z243" s="5">
        <f t="shared" ref="Z243:Z247" si="86">IF(T243=0,0,X243/T243)</f>
        <v>-0.51351076736427059</v>
      </c>
    </row>
    <row r="244" spans="1:26" s="24" customFormat="1" hidden="1" outlineLevel="2" x14ac:dyDescent="0.25">
      <c r="A244" s="27"/>
      <c r="B244" s="11" t="str">
        <f>CONCATENATE("          ", "6252", " - ", "ROYALTY DUE CSTV")</f>
        <v xml:space="preserve">          6252 - ROYALTY DUE CSTV</v>
      </c>
      <c r="C244" s="11"/>
      <c r="D244" s="6"/>
      <c r="E244" s="2"/>
      <c r="F244" s="7">
        <f t="shared" si="79"/>
        <v>0</v>
      </c>
      <c r="G244" s="2"/>
      <c r="H244" s="6">
        <v>1085</v>
      </c>
      <c r="I244" s="2"/>
      <c r="J244" s="7">
        <f t="shared" si="80"/>
        <v>1.750009572383005E-3</v>
      </c>
      <c r="K244" s="2"/>
      <c r="L244" s="6">
        <f t="shared" si="81"/>
        <v>-1085</v>
      </c>
      <c r="M244" s="2"/>
      <c r="N244" s="7">
        <f t="shared" si="82"/>
        <v>-1</v>
      </c>
      <c r="O244" s="11"/>
      <c r="P244" s="6"/>
      <c r="Q244" s="2"/>
      <c r="R244" s="7">
        <f t="shared" si="83"/>
        <v>0</v>
      </c>
      <c r="S244" s="2"/>
      <c r="T244" s="6">
        <v>4340</v>
      </c>
      <c r="U244" s="2"/>
      <c r="V244" s="7">
        <f t="shared" si="84"/>
        <v>7.2082613378628244E-4</v>
      </c>
      <c r="W244" s="2"/>
      <c r="X244" s="6">
        <f t="shared" si="85"/>
        <v>-4340</v>
      </c>
      <c r="Y244" s="2"/>
      <c r="Z244" s="7">
        <f t="shared" si="86"/>
        <v>-1</v>
      </c>
    </row>
    <row r="245" spans="1:26" s="24" customFormat="1" hidden="1" outlineLevel="2" x14ac:dyDescent="0.25">
      <c r="A245" s="27"/>
      <c r="B245" s="11" t="str">
        <f>CONCATENATE("          ", "6253", " - ", "ROYALTY DUE ATHLETICS-LRG")</f>
        <v xml:space="preserve">          6253 - ROYALTY DUE ATHLETICS-LRG</v>
      </c>
      <c r="C245" s="11"/>
      <c r="D245" s="6"/>
      <c r="E245" s="2"/>
      <c r="F245" s="7">
        <f t="shared" si="79"/>
        <v>0</v>
      </c>
      <c r="G245" s="2"/>
      <c r="H245" s="6">
        <v>3700</v>
      </c>
      <c r="I245" s="2"/>
      <c r="J245" s="7">
        <f t="shared" si="80"/>
        <v>5.9677745786332892E-3</v>
      </c>
      <c r="K245" s="2"/>
      <c r="L245" s="6">
        <f t="shared" si="81"/>
        <v>-3700</v>
      </c>
      <c r="M245" s="2"/>
      <c r="N245" s="7">
        <f t="shared" si="82"/>
        <v>-1</v>
      </c>
      <c r="O245" s="11"/>
      <c r="P245" s="6">
        <v>4366.95</v>
      </c>
      <c r="Q245" s="2"/>
      <c r="R245" s="7">
        <f t="shared" si="83"/>
        <v>7.3280552865294304E-4</v>
      </c>
      <c r="S245" s="2"/>
      <c r="T245" s="6">
        <v>14800</v>
      </c>
      <c r="U245" s="2"/>
      <c r="V245" s="7">
        <f t="shared" si="84"/>
        <v>2.4581167695937743E-3</v>
      </c>
      <c r="W245" s="2"/>
      <c r="X245" s="6">
        <f t="shared" si="85"/>
        <v>-10433.049999999999</v>
      </c>
      <c r="Y245" s="2"/>
      <c r="Z245" s="7">
        <f t="shared" si="86"/>
        <v>-0.7049358108108108</v>
      </c>
    </row>
    <row r="246" spans="1:26" s="24" customFormat="1" hidden="1" outlineLevel="2" x14ac:dyDescent="0.25">
      <c r="A246" s="27"/>
      <c r="B246" s="11" t="str">
        <f>CONCATENATE("          ", "6254", " - ", "ROYALTY &amp; COMMISSIONS")</f>
        <v xml:space="preserve">          6254 - ROYALTY &amp; COMMISSIONS</v>
      </c>
      <c r="C246" s="11"/>
      <c r="D246" s="6">
        <v>882.02</v>
      </c>
      <c r="E246" s="2"/>
      <c r="F246" s="7">
        <f t="shared" si="79"/>
        <v>1.4111429060814805E-3</v>
      </c>
      <c r="G246" s="2"/>
      <c r="H246" s="6">
        <v>11700</v>
      </c>
      <c r="I246" s="2"/>
      <c r="J246" s="7">
        <f t="shared" si="80"/>
        <v>1.8871070964867429E-2</v>
      </c>
      <c r="K246" s="2"/>
      <c r="L246" s="6">
        <f t="shared" si="81"/>
        <v>-10817.98</v>
      </c>
      <c r="M246" s="2"/>
      <c r="N246" s="7">
        <f t="shared" si="82"/>
        <v>-0.92461367521367521</v>
      </c>
      <c r="O246" s="11"/>
      <c r="P246" s="6">
        <v>1497.89</v>
      </c>
      <c r="Q246" s="2"/>
      <c r="R246" s="7">
        <f t="shared" si="83"/>
        <v>2.5135668448550061E-4</v>
      </c>
      <c r="S246" s="2"/>
      <c r="T246" s="6">
        <v>46800</v>
      </c>
      <c r="U246" s="2"/>
      <c r="V246" s="7">
        <f t="shared" si="84"/>
        <v>7.7729638389857185E-3</v>
      </c>
      <c r="W246" s="2"/>
      <c r="X246" s="6">
        <f t="shared" si="85"/>
        <v>-45302.11</v>
      </c>
      <c r="Y246" s="2"/>
      <c r="Z246" s="7">
        <f t="shared" si="86"/>
        <v>-0.96799380341880348</v>
      </c>
    </row>
    <row r="247" spans="1:26" s="24" customFormat="1" hidden="1" outlineLevel="2" x14ac:dyDescent="0.25">
      <c r="A247" s="27"/>
      <c r="B247" s="11" t="str">
        <f>CONCATENATE("          ", "6259", " - ", "ROYALTY &amp; COMMISSIONS")</f>
        <v xml:space="preserve">          6259 - ROYALTY &amp; COMMISSIONS</v>
      </c>
      <c r="C247" s="11"/>
      <c r="D247" s="6">
        <v>11744.64</v>
      </c>
      <c r="E247" s="2"/>
      <c r="F247" s="7">
        <f t="shared" si="79"/>
        <v>1.879023765955511E-2</v>
      </c>
      <c r="G247" s="2"/>
      <c r="H247" s="6"/>
      <c r="I247" s="2"/>
      <c r="J247" s="7">
        <f t="shared" si="80"/>
        <v>0</v>
      </c>
      <c r="K247" s="2"/>
      <c r="L247" s="6">
        <f t="shared" si="81"/>
        <v>11744.64</v>
      </c>
      <c r="M247" s="2"/>
      <c r="N247" s="7">
        <f t="shared" si="82"/>
        <v>0</v>
      </c>
      <c r="O247" s="11"/>
      <c r="P247" s="6">
        <v>26214.26</v>
      </c>
      <c r="Q247" s="2"/>
      <c r="R247" s="7">
        <f t="shared" si="83"/>
        <v>4.3989408299947783E-3</v>
      </c>
      <c r="S247" s="2"/>
      <c r="T247" s="6"/>
      <c r="U247" s="2"/>
      <c r="V247" s="7">
        <f t="shared" si="84"/>
        <v>0</v>
      </c>
      <c r="W247" s="2"/>
      <c r="X247" s="6">
        <f t="shared" si="85"/>
        <v>26214.26</v>
      </c>
      <c r="Y247" s="2"/>
      <c r="Z247" s="7">
        <f t="shared" si="86"/>
        <v>0</v>
      </c>
    </row>
    <row r="248" spans="1:26" s="26" customFormat="1" outlineLevel="1" collapsed="1" x14ac:dyDescent="0.25">
      <c r="A248" s="25"/>
      <c r="B248" s="13" t="str">
        <f>CONCATENATE("     ","Services                                          ")</f>
        <v xml:space="preserve">     Services                                          </v>
      </c>
      <c r="C248" s="13"/>
      <c r="D248" s="1">
        <f>SUM(OSRRefD22_18x_0)</f>
        <v>5247.7199999999993</v>
      </c>
      <c r="E248" s="1"/>
      <c r="F248" s="5">
        <f t="shared" ref="F248:F252" si="87">IF(D$12=0,0,D248/D$12)</f>
        <v>8.3958219213871622E-3</v>
      </c>
      <c r="G248" s="1"/>
      <c r="H248" s="1">
        <f>SUM(OSRRefH22_18x_0)</f>
        <v>4432.5</v>
      </c>
      <c r="I248" s="1"/>
      <c r="J248" s="5">
        <f t="shared" ref="J248:J252" si="88">IF(H$12=0,0,H248/H$12)</f>
        <v>7.1492326539978526E-3</v>
      </c>
      <c r="K248" s="1"/>
      <c r="L248" s="1">
        <f t="shared" ref="L248:L252" si="89">+D248-H248</f>
        <v>815.21999999999935</v>
      </c>
      <c r="M248" s="1"/>
      <c r="N248" s="5">
        <f t="shared" ref="N248:N252" si="90">IF(H248=0,0,L248/H248)</f>
        <v>0.18391878172588819</v>
      </c>
      <c r="O248" s="13"/>
      <c r="P248" s="1">
        <f>SUM(OSRRefP22_18x_0)</f>
        <v>18474.909999999996</v>
      </c>
      <c r="Q248" s="1"/>
      <c r="R248" s="5">
        <f t="shared" ref="R248:R252" si="91">IF(P$12=0,0,P248/P$12)</f>
        <v>3.1002223953481359E-3</v>
      </c>
      <c r="S248" s="1"/>
      <c r="T248" s="1">
        <f>SUM(OSRRefT22_18x_0)</f>
        <v>17730</v>
      </c>
      <c r="U248" s="1"/>
      <c r="V248" s="5">
        <f t="shared" ref="V248:V252" si="92">IF(T$12=0,0,T248/T$12)</f>
        <v>2.9447574543849742E-3</v>
      </c>
      <c r="W248" s="1"/>
      <c r="X248" s="1">
        <f t="shared" ref="X248:X252" si="93">+P248-T248</f>
        <v>744.90999999999622</v>
      </c>
      <c r="Y248" s="1"/>
      <c r="Z248" s="5">
        <f t="shared" ref="Z248:Z252" si="94">IF(T248=0,0,X248/T248)</f>
        <v>4.2014100394810842E-2</v>
      </c>
    </row>
    <row r="249" spans="1:26" s="24" customFormat="1" hidden="1" outlineLevel="2" x14ac:dyDescent="0.25">
      <c r="A249" s="27"/>
      <c r="B249" s="11" t="str">
        <f>CONCATENATE("          ", "6282", " - ", "JANITORIAL/EXTERMINATOR EXPENS")</f>
        <v xml:space="preserve">          6282 - JANITORIAL/EXTERMINATOR EXPENS</v>
      </c>
      <c r="C249" s="11"/>
      <c r="D249" s="6">
        <v>266.5</v>
      </c>
      <c r="E249" s="2"/>
      <c r="F249" s="7">
        <f t="shared" si="87"/>
        <v>4.2637308050918858E-4</v>
      </c>
      <c r="G249" s="2"/>
      <c r="H249" s="6">
        <v>50</v>
      </c>
      <c r="I249" s="2"/>
      <c r="J249" s="7">
        <f t="shared" si="88"/>
        <v>8.064560241396337E-5</v>
      </c>
      <c r="K249" s="2"/>
      <c r="L249" s="6">
        <f t="shared" si="89"/>
        <v>216.5</v>
      </c>
      <c r="M249" s="2"/>
      <c r="N249" s="7">
        <f t="shared" si="90"/>
        <v>4.33</v>
      </c>
      <c r="O249" s="11"/>
      <c r="P249" s="6">
        <v>1066</v>
      </c>
      <c r="Q249" s="2"/>
      <c r="R249" s="7">
        <f t="shared" si="91"/>
        <v>1.7888244508044225E-4</v>
      </c>
      <c r="S249" s="2"/>
      <c r="T249" s="6">
        <v>200</v>
      </c>
      <c r="U249" s="2"/>
      <c r="V249" s="7">
        <f t="shared" si="92"/>
        <v>3.321779418369965E-5</v>
      </c>
      <c r="W249" s="2"/>
      <c r="X249" s="6">
        <f t="shared" si="93"/>
        <v>866</v>
      </c>
      <c r="Y249" s="2"/>
      <c r="Z249" s="7">
        <f t="shared" si="94"/>
        <v>4.33</v>
      </c>
    </row>
    <row r="250" spans="1:26" s="24" customFormat="1" hidden="1" outlineLevel="2" x14ac:dyDescent="0.25">
      <c r="A250" s="27"/>
      <c r="B250" s="11" t="str">
        <f>CONCATENATE("          ", "6283", " - ", "PLANT SERVICE")</f>
        <v xml:space="preserve">          6283 - PLANT SERVICE</v>
      </c>
      <c r="C250" s="11"/>
      <c r="D250" s="6"/>
      <c r="E250" s="2"/>
      <c r="F250" s="7">
        <f t="shared" si="87"/>
        <v>0</v>
      </c>
      <c r="G250" s="2"/>
      <c r="H250" s="6">
        <v>60</v>
      </c>
      <c r="I250" s="2"/>
      <c r="J250" s="7">
        <f t="shared" si="88"/>
        <v>9.6774722896756038E-5</v>
      </c>
      <c r="K250" s="2"/>
      <c r="L250" s="6">
        <f t="shared" si="89"/>
        <v>-60</v>
      </c>
      <c r="M250" s="2"/>
      <c r="N250" s="7">
        <f t="shared" si="90"/>
        <v>-1</v>
      </c>
      <c r="O250" s="11"/>
      <c r="P250" s="6">
        <v>541.98</v>
      </c>
      <c r="Q250" s="2"/>
      <c r="R250" s="7">
        <f t="shared" si="91"/>
        <v>9.0948130942493526E-5</v>
      </c>
      <c r="S250" s="2"/>
      <c r="T250" s="6">
        <v>240</v>
      </c>
      <c r="U250" s="2"/>
      <c r="V250" s="7">
        <f t="shared" si="92"/>
        <v>3.9861353020439585E-5</v>
      </c>
      <c r="W250" s="2"/>
      <c r="X250" s="6">
        <f t="shared" si="93"/>
        <v>301.98</v>
      </c>
      <c r="Y250" s="2"/>
      <c r="Z250" s="7">
        <f t="shared" si="94"/>
        <v>1.2582500000000001</v>
      </c>
    </row>
    <row r="251" spans="1:26" s="24" customFormat="1" hidden="1" outlineLevel="2" x14ac:dyDescent="0.25">
      <c r="A251" s="27"/>
      <c r="B251" s="11" t="str">
        <f>CONCATENATE("          ", "6284", " - ", "TRASH REMOVAL EXPENSE")</f>
        <v xml:space="preserve">          6284 - TRASH REMOVAL EXPENSE</v>
      </c>
      <c r="C251" s="11"/>
      <c r="D251" s="6">
        <v>134.82</v>
      </c>
      <c r="E251" s="2"/>
      <c r="F251" s="7">
        <f t="shared" si="87"/>
        <v>2.1569838166697489E-4</v>
      </c>
      <c r="G251" s="2"/>
      <c r="H251" s="6">
        <v>62.5</v>
      </c>
      <c r="I251" s="2"/>
      <c r="J251" s="7">
        <f t="shared" si="88"/>
        <v>1.0080700301745421E-4</v>
      </c>
      <c r="K251" s="2"/>
      <c r="L251" s="6">
        <f t="shared" si="89"/>
        <v>72.319999999999993</v>
      </c>
      <c r="M251" s="2"/>
      <c r="N251" s="7">
        <f t="shared" si="90"/>
        <v>1.1571199999999999</v>
      </c>
      <c r="O251" s="11"/>
      <c r="P251" s="6">
        <v>539.28</v>
      </c>
      <c r="Q251" s="2"/>
      <c r="R251" s="7">
        <f t="shared" si="91"/>
        <v>9.0495051578781333E-5</v>
      </c>
      <c r="S251" s="2"/>
      <c r="T251" s="6">
        <v>250</v>
      </c>
      <c r="U251" s="2"/>
      <c r="V251" s="7">
        <f t="shared" si="92"/>
        <v>4.1522242729624567E-5</v>
      </c>
      <c r="W251" s="2"/>
      <c r="X251" s="6">
        <f t="shared" si="93"/>
        <v>289.27999999999997</v>
      </c>
      <c r="Y251" s="2"/>
      <c r="Z251" s="7">
        <f t="shared" si="94"/>
        <v>1.1571199999999999</v>
      </c>
    </row>
    <row r="252" spans="1:26" s="24" customFormat="1" hidden="1" outlineLevel="2" x14ac:dyDescent="0.25">
      <c r="A252" s="27"/>
      <c r="B252" s="11" t="str">
        <f>CONCATENATE("          ", "6285", " - ", "JANITORIAL SERVICES")</f>
        <v xml:space="preserve">          6285 - JANITORIAL SERVICES</v>
      </c>
      <c r="C252" s="11"/>
      <c r="D252" s="6">
        <v>4846.3999999999996</v>
      </c>
      <c r="E252" s="2"/>
      <c r="F252" s="7">
        <f t="shared" si="87"/>
        <v>7.7537504592110002E-3</v>
      </c>
      <c r="G252" s="2"/>
      <c r="H252" s="6">
        <v>4260</v>
      </c>
      <c r="I252" s="2"/>
      <c r="J252" s="7">
        <f t="shared" si="88"/>
        <v>6.8710053256696791E-3</v>
      </c>
      <c r="K252" s="2"/>
      <c r="L252" s="6">
        <f t="shared" si="89"/>
        <v>586.39999999999964</v>
      </c>
      <c r="M252" s="2"/>
      <c r="N252" s="7">
        <f t="shared" si="90"/>
        <v>0.13765258215962434</v>
      </c>
      <c r="O252" s="11"/>
      <c r="P252" s="6">
        <v>16327.649999999998</v>
      </c>
      <c r="Q252" s="2"/>
      <c r="R252" s="7">
        <f t="shared" si="91"/>
        <v>2.7398967677464189E-3</v>
      </c>
      <c r="S252" s="2"/>
      <c r="T252" s="6">
        <v>17040</v>
      </c>
      <c r="U252" s="2"/>
      <c r="V252" s="7">
        <f t="shared" si="92"/>
        <v>2.8301560644512103E-3</v>
      </c>
      <c r="W252" s="2"/>
      <c r="X252" s="6">
        <f t="shared" si="93"/>
        <v>-712.35000000000218</v>
      </c>
      <c r="Y252" s="2"/>
      <c r="Z252" s="7">
        <f t="shared" si="94"/>
        <v>-4.1804577464788863E-2</v>
      </c>
    </row>
    <row r="253" spans="1:26" s="26" customFormat="1" outlineLevel="1" collapsed="1" x14ac:dyDescent="0.25">
      <c r="A253" s="25"/>
      <c r="B253" s="13" t="str">
        <f>CONCATENATE("     ","Subscriptions &amp; Dues                              ")</f>
        <v xml:space="preserve">     Subscriptions &amp; Dues                              </v>
      </c>
      <c r="C253" s="13"/>
      <c r="D253" s="1">
        <f>SUM(OSRRefD22_19x_0)</f>
        <v>343.55</v>
      </c>
      <c r="E253" s="1"/>
      <c r="F253" s="5">
        <f t="shared" ref="F253:F255" si="95">IF(D$12=0,0,D253/D$12)</f>
        <v>5.4964529759449058E-4</v>
      </c>
      <c r="G253" s="1"/>
      <c r="H253" s="1">
        <f>SUM(OSRRefH22_19x_0)</f>
        <v>1390</v>
      </c>
      <c r="I253" s="1"/>
      <c r="J253" s="5">
        <f t="shared" ref="J253:J255" si="96">IF(H$12=0,0,H253/H$12)</f>
        <v>2.2419477471081815E-3</v>
      </c>
      <c r="K253" s="1"/>
      <c r="L253" s="1">
        <f t="shared" ref="L253:L255" si="97">+D253-H253</f>
        <v>-1046.45</v>
      </c>
      <c r="M253" s="1"/>
      <c r="N253" s="5">
        <f t="shared" ref="N253:N255" si="98">IF(H253=0,0,L253/H253)</f>
        <v>-0.75284172661870508</v>
      </c>
      <c r="O253" s="13"/>
      <c r="P253" s="1">
        <f>SUM(OSRRefP22_19x_0)</f>
        <v>-2957.6</v>
      </c>
      <c r="Q253" s="1"/>
      <c r="R253" s="5">
        <f t="shared" ref="R253:R255" si="99">IF(P$12=0,0,P253/P$12)</f>
        <v>-4.9630649115376736E-4</v>
      </c>
      <c r="S253" s="1"/>
      <c r="T253" s="1">
        <f>SUM(OSRRefT22_19x_0)</f>
        <v>6605</v>
      </c>
      <c r="U253" s="1"/>
      <c r="V253" s="5">
        <f t="shared" ref="V253:V255" si="100">IF(T$12=0,0,T253/T$12)</f>
        <v>1.0970176529166811E-3</v>
      </c>
      <c r="W253" s="1"/>
      <c r="X253" s="1">
        <f t="shared" ref="X253:X255" si="101">+P253-T253</f>
        <v>-9562.6</v>
      </c>
      <c r="Y253" s="1"/>
      <c r="Z253" s="5">
        <f t="shared" ref="Z253:Z255" si="102">IF(T253=0,0,X253/T253)</f>
        <v>-1.44778198334595</v>
      </c>
    </row>
    <row r="254" spans="1:26" s="24" customFormat="1" hidden="1" outlineLevel="2" x14ac:dyDescent="0.25">
      <c r="A254" s="27"/>
      <c r="B254" s="11" t="str">
        <f>CONCATENATE("          ", "6258", " - ", "MEMBERSHIP DUES")</f>
        <v xml:space="preserve">          6258 - MEMBERSHIP DUES</v>
      </c>
      <c r="C254" s="11"/>
      <c r="D254" s="6">
        <v>268.55</v>
      </c>
      <c r="E254" s="2"/>
      <c r="F254" s="7">
        <f t="shared" si="95"/>
        <v>4.2965287343618236E-4</v>
      </c>
      <c r="G254" s="2"/>
      <c r="H254" s="6">
        <v>800</v>
      </c>
      <c r="I254" s="2"/>
      <c r="J254" s="7">
        <f t="shared" si="96"/>
        <v>1.2903296386234139E-3</v>
      </c>
      <c r="K254" s="2"/>
      <c r="L254" s="6">
        <f t="shared" si="97"/>
        <v>-531.45000000000005</v>
      </c>
      <c r="M254" s="2"/>
      <c r="N254" s="7">
        <f t="shared" si="98"/>
        <v>-0.66431250000000008</v>
      </c>
      <c r="O254" s="11"/>
      <c r="P254" s="6">
        <v>-3822.6</v>
      </c>
      <c r="Q254" s="2"/>
      <c r="R254" s="7">
        <f t="shared" si="99"/>
        <v>-6.4145969471341325E-4</v>
      </c>
      <c r="S254" s="2"/>
      <c r="T254" s="6">
        <v>4495</v>
      </c>
      <c r="U254" s="2"/>
      <c r="V254" s="7">
        <f t="shared" si="100"/>
        <v>7.465699242786497E-4</v>
      </c>
      <c r="W254" s="2"/>
      <c r="X254" s="6">
        <f t="shared" si="101"/>
        <v>-8317.6</v>
      </c>
      <c r="Y254" s="2"/>
      <c r="Z254" s="7">
        <f t="shared" si="102"/>
        <v>-1.8504115684093438</v>
      </c>
    </row>
    <row r="255" spans="1:26" s="24" customFormat="1" hidden="1" outlineLevel="2" x14ac:dyDescent="0.25">
      <c r="A255" s="27"/>
      <c r="B255" s="11" t="str">
        <f>CONCATENATE("          ", "6275", " - ", "SUBSCRIPTIONS")</f>
        <v xml:space="preserve">          6275 - SUBSCRIPTIONS</v>
      </c>
      <c r="C255" s="11"/>
      <c r="D255" s="6">
        <v>75</v>
      </c>
      <c r="E255" s="2"/>
      <c r="F255" s="7">
        <f t="shared" si="95"/>
        <v>1.1999242415830823E-4</v>
      </c>
      <c r="G255" s="2"/>
      <c r="H255" s="6">
        <v>590</v>
      </c>
      <c r="I255" s="2"/>
      <c r="J255" s="7">
        <f t="shared" si="96"/>
        <v>9.5161810848476771E-4</v>
      </c>
      <c r="K255" s="2"/>
      <c r="L255" s="6">
        <f t="shared" si="97"/>
        <v>-515</v>
      </c>
      <c r="M255" s="2"/>
      <c r="N255" s="7">
        <f t="shared" si="98"/>
        <v>-0.8728813559322034</v>
      </c>
      <c r="O255" s="11"/>
      <c r="P255" s="6">
        <v>865</v>
      </c>
      <c r="Q255" s="2"/>
      <c r="R255" s="7">
        <f t="shared" si="99"/>
        <v>1.4515320355964592E-4</v>
      </c>
      <c r="S255" s="2"/>
      <c r="T255" s="6">
        <v>2110</v>
      </c>
      <c r="U255" s="2"/>
      <c r="V255" s="7">
        <f t="shared" si="100"/>
        <v>3.5044772863803135E-4</v>
      </c>
      <c r="W255" s="2"/>
      <c r="X255" s="6">
        <f t="shared" si="101"/>
        <v>-1245</v>
      </c>
      <c r="Y255" s="2"/>
      <c r="Z255" s="7">
        <f t="shared" si="102"/>
        <v>-0.59004739336492895</v>
      </c>
    </row>
    <row r="256" spans="1:26" s="26" customFormat="1" outlineLevel="1" collapsed="1" x14ac:dyDescent="0.25">
      <c r="A256" s="25"/>
      <c r="B256" s="13" t="str">
        <f>CONCATENATE("     ","Supplies                                          ")</f>
        <v xml:space="preserve">     Supplies                                          </v>
      </c>
      <c r="C256" s="13"/>
      <c r="D256" s="1">
        <f>SUM(OSRRefD22_20x_0)</f>
        <v>7204.62</v>
      </c>
      <c r="E256" s="1"/>
      <c r="F256" s="5">
        <f t="shared" ref="F256:F263" si="103">IF(D$12=0,0,D256/D$12)</f>
        <v>1.1526664252525742E-2</v>
      </c>
      <c r="G256" s="1"/>
      <c r="H256" s="1">
        <f>SUM(OSRRefH22_20x_0)</f>
        <v>12670</v>
      </c>
      <c r="I256" s="1"/>
      <c r="J256" s="5">
        <f t="shared" ref="J256:J263" si="104">IF(H$12=0,0,H256/H$12)</f>
        <v>2.0435595651698318E-2</v>
      </c>
      <c r="K256" s="1"/>
      <c r="L256" s="1">
        <f t="shared" ref="L256:L263" si="105">+D256-H256</f>
        <v>-5465.38</v>
      </c>
      <c r="M256" s="1"/>
      <c r="N256" s="5">
        <f t="shared" ref="N256:N263" si="106">IF(H256=0,0,L256/H256)</f>
        <v>-0.43136385161799529</v>
      </c>
      <c r="O256" s="13"/>
      <c r="P256" s="1">
        <f>SUM(OSRRefP22_20x_0)</f>
        <v>40630.78</v>
      </c>
      <c r="Q256" s="1"/>
      <c r="R256" s="5">
        <f t="shared" ref="R256:R263" si="107">IF(P$12=0,0,P256/P$12)</f>
        <v>6.8181362776036881E-3</v>
      </c>
      <c r="S256" s="1"/>
      <c r="T256" s="1">
        <f>SUM(OSRRefT22_20x_0)</f>
        <v>63140</v>
      </c>
      <c r="U256" s="1"/>
      <c r="V256" s="5">
        <f t="shared" ref="V256:V263" si="108">IF(T$12=0,0,T256/T$12)</f>
        <v>1.048685762379398E-2</v>
      </c>
      <c r="W256" s="1"/>
      <c r="X256" s="1">
        <f t="shared" ref="X256:X263" si="109">+P256-T256</f>
        <v>-22509.22</v>
      </c>
      <c r="Y256" s="1"/>
      <c r="Z256" s="5">
        <f t="shared" ref="Z256:Z263" si="110">IF(T256=0,0,X256/T256)</f>
        <v>-0.356496990814064</v>
      </c>
    </row>
    <row r="257" spans="1:26" s="24" customFormat="1" hidden="1" outlineLevel="2" x14ac:dyDescent="0.25">
      <c r="A257" s="27"/>
      <c r="B257" s="11" t="str">
        <f>CONCATENATE("          ", "6234", " - ", "EXPENDABLE SUPPLIES &amp; EQUIPMEN")</f>
        <v xml:space="preserve">          6234 - EXPENDABLE SUPPLIES &amp; EQUIPMEN</v>
      </c>
      <c r="C257" s="11"/>
      <c r="D257" s="6"/>
      <c r="E257" s="2"/>
      <c r="F257" s="7">
        <f t="shared" si="103"/>
        <v>0</v>
      </c>
      <c r="G257" s="2"/>
      <c r="H257" s="6">
        <v>500</v>
      </c>
      <c r="I257" s="2"/>
      <c r="J257" s="7">
        <f t="shared" si="104"/>
        <v>8.0645602413963364E-4</v>
      </c>
      <c r="K257" s="2"/>
      <c r="L257" s="6">
        <f t="shared" si="105"/>
        <v>-500</v>
      </c>
      <c r="M257" s="2"/>
      <c r="N257" s="7">
        <f t="shared" si="106"/>
        <v>-1</v>
      </c>
      <c r="O257" s="11"/>
      <c r="P257" s="6">
        <v>1716.1</v>
      </c>
      <c r="Q257" s="2"/>
      <c r="R257" s="7">
        <f t="shared" si="107"/>
        <v>2.8797388743203277E-4</v>
      </c>
      <c r="S257" s="2"/>
      <c r="T257" s="6">
        <v>2550</v>
      </c>
      <c r="U257" s="2"/>
      <c r="V257" s="7">
        <f t="shared" si="108"/>
        <v>4.2352687584217057E-4</v>
      </c>
      <c r="W257" s="2"/>
      <c r="X257" s="6">
        <f t="shared" si="109"/>
        <v>-833.90000000000009</v>
      </c>
      <c r="Y257" s="2"/>
      <c r="Z257" s="7">
        <f t="shared" si="110"/>
        <v>-0.32701960784313727</v>
      </c>
    </row>
    <row r="258" spans="1:26" s="24" customFormat="1" hidden="1" outlineLevel="2" x14ac:dyDescent="0.25">
      <c r="A258" s="27"/>
      <c r="B258" s="11" t="str">
        <f>CONCATENATE("          ", "6237", " - ", "JANITORIAL SUPPLIES")</f>
        <v xml:space="preserve">          6237 - JANITORIAL SUPPLIES</v>
      </c>
      <c r="C258" s="11"/>
      <c r="D258" s="6">
        <v>302.61</v>
      </c>
      <c r="E258" s="2"/>
      <c r="F258" s="7">
        <f t="shared" si="103"/>
        <v>4.8414543299394209E-4</v>
      </c>
      <c r="G258" s="2"/>
      <c r="H258" s="6">
        <v>45</v>
      </c>
      <c r="I258" s="2"/>
      <c r="J258" s="7">
        <f t="shared" si="104"/>
        <v>7.2581042172567035E-5</v>
      </c>
      <c r="K258" s="2"/>
      <c r="L258" s="6">
        <f t="shared" si="105"/>
        <v>257.61</v>
      </c>
      <c r="M258" s="2"/>
      <c r="N258" s="7">
        <f t="shared" si="106"/>
        <v>5.7246666666666668</v>
      </c>
      <c r="O258" s="11"/>
      <c r="P258" s="6">
        <v>2166.2199999999998</v>
      </c>
      <c r="Q258" s="2"/>
      <c r="R258" s="7">
        <f t="shared" si="107"/>
        <v>3.6350725157800713E-4</v>
      </c>
      <c r="S258" s="2"/>
      <c r="T258" s="6">
        <v>190</v>
      </c>
      <c r="U258" s="2"/>
      <c r="V258" s="7">
        <f t="shared" si="108"/>
        <v>3.1556904474514668E-5</v>
      </c>
      <c r="W258" s="2"/>
      <c r="X258" s="6">
        <f t="shared" si="109"/>
        <v>1976.2199999999998</v>
      </c>
      <c r="Y258" s="2"/>
      <c r="Z258" s="7">
        <f t="shared" si="110"/>
        <v>10.401157894736841</v>
      </c>
    </row>
    <row r="259" spans="1:26" s="24" customFormat="1" hidden="1" outlineLevel="2" x14ac:dyDescent="0.25">
      <c r="A259" s="27"/>
      <c r="B259" s="11" t="str">
        <f>CONCATENATE("          ", "6241", " - ", "OFFICE EXPENSE")</f>
        <v xml:space="preserve">          6241 - OFFICE EXPENSE</v>
      </c>
      <c r="C259" s="11"/>
      <c r="D259" s="6">
        <v>2718.9</v>
      </c>
      <c r="E259" s="2"/>
      <c r="F259" s="7">
        <f t="shared" si="103"/>
        <v>4.3499653605869907E-3</v>
      </c>
      <c r="G259" s="2"/>
      <c r="H259" s="6">
        <v>2050</v>
      </c>
      <c r="I259" s="2"/>
      <c r="J259" s="7">
        <f t="shared" si="104"/>
        <v>3.3064696989724982E-3</v>
      </c>
      <c r="K259" s="2"/>
      <c r="L259" s="6">
        <f t="shared" si="105"/>
        <v>668.90000000000009</v>
      </c>
      <c r="M259" s="2"/>
      <c r="N259" s="7">
        <f t="shared" si="106"/>
        <v>0.32629268292682934</v>
      </c>
      <c r="O259" s="11"/>
      <c r="P259" s="6">
        <v>12914.82</v>
      </c>
      <c r="Q259" s="2"/>
      <c r="R259" s="7">
        <f t="shared" si="107"/>
        <v>2.1671994177990591E-3</v>
      </c>
      <c r="S259" s="2"/>
      <c r="T259" s="6">
        <v>6100</v>
      </c>
      <c r="U259" s="2"/>
      <c r="V259" s="7">
        <f t="shared" si="108"/>
        <v>1.0131427226028394E-3</v>
      </c>
      <c r="W259" s="2"/>
      <c r="X259" s="6">
        <f t="shared" si="109"/>
        <v>6814.82</v>
      </c>
      <c r="Y259" s="2"/>
      <c r="Z259" s="7">
        <f t="shared" si="110"/>
        <v>1.117183606557377</v>
      </c>
    </row>
    <row r="260" spans="1:26" s="24" customFormat="1" hidden="1" outlineLevel="2" x14ac:dyDescent="0.25">
      <c r="A260" s="27"/>
      <c r="B260" s="11" t="str">
        <f>CONCATENATE("          ", "6243", " - ", "PAPER SUPPLIES")</f>
        <v xml:space="preserve">          6243 - PAPER SUPPLIES</v>
      </c>
      <c r="C260" s="11"/>
      <c r="D260" s="6">
        <v>1929.38</v>
      </c>
      <c r="E260" s="2"/>
      <c r="F260" s="7">
        <f t="shared" si="103"/>
        <v>3.0868131109674235E-3</v>
      </c>
      <c r="G260" s="2"/>
      <c r="H260" s="6">
        <v>250</v>
      </c>
      <c r="I260" s="2"/>
      <c r="J260" s="7">
        <f t="shared" si="104"/>
        <v>4.0322801206981682E-4</v>
      </c>
      <c r="K260" s="2"/>
      <c r="L260" s="6">
        <f t="shared" si="105"/>
        <v>1679.38</v>
      </c>
      <c r="M260" s="2"/>
      <c r="N260" s="7">
        <f t="shared" si="106"/>
        <v>6.7175200000000004</v>
      </c>
      <c r="O260" s="11"/>
      <c r="P260" s="6">
        <v>4906.33</v>
      </c>
      <c r="Q260" s="2"/>
      <c r="R260" s="7">
        <f t="shared" si="107"/>
        <v>8.2331736094889887E-4</v>
      </c>
      <c r="S260" s="2"/>
      <c r="T260" s="6">
        <v>1500</v>
      </c>
      <c r="U260" s="2"/>
      <c r="V260" s="7">
        <f t="shared" si="108"/>
        <v>2.491334563777474E-4</v>
      </c>
      <c r="W260" s="2"/>
      <c r="X260" s="6">
        <f t="shared" si="109"/>
        <v>3406.33</v>
      </c>
      <c r="Y260" s="2"/>
      <c r="Z260" s="7">
        <f t="shared" si="110"/>
        <v>2.2708866666666667</v>
      </c>
    </row>
    <row r="261" spans="1:26" s="24" customFormat="1" hidden="1" outlineLevel="2" x14ac:dyDescent="0.25">
      <c r="A261" s="27"/>
      <c r="B261" s="11" t="str">
        <f>CONCATENATE("          ", "6245", " - ", "PRINTING")</f>
        <v xml:space="preserve">          6245 - PRINTING</v>
      </c>
      <c r="C261" s="11"/>
      <c r="D261" s="6">
        <v>7.24</v>
      </c>
      <c r="E261" s="2"/>
      <c r="F261" s="7">
        <f t="shared" si="103"/>
        <v>1.1583268678748689E-5</v>
      </c>
      <c r="G261" s="2"/>
      <c r="H261" s="6">
        <v>100</v>
      </c>
      <c r="I261" s="2"/>
      <c r="J261" s="7">
        <f t="shared" si="104"/>
        <v>1.6129120482792674E-4</v>
      </c>
      <c r="K261" s="2"/>
      <c r="L261" s="6">
        <f t="shared" si="105"/>
        <v>-92.76</v>
      </c>
      <c r="M261" s="2"/>
      <c r="N261" s="7">
        <f t="shared" si="106"/>
        <v>-0.92760000000000009</v>
      </c>
      <c r="O261" s="11"/>
      <c r="P261" s="6">
        <v>5247.25</v>
      </c>
      <c r="Q261" s="2"/>
      <c r="R261" s="7">
        <f t="shared" si="107"/>
        <v>8.8052618194029136E-4</v>
      </c>
      <c r="S261" s="2"/>
      <c r="T261" s="6">
        <v>800</v>
      </c>
      <c r="U261" s="2"/>
      <c r="V261" s="7">
        <f t="shared" si="108"/>
        <v>1.328711767347986E-4</v>
      </c>
      <c r="W261" s="2"/>
      <c r="X261" s="6">
        <f t="shared" si="109"/>
        <v>4447.25</v>
      </c>
      <c r="Y261" s="2"/>
      <c r="Z261" s="7">
        <f t="shared" si="110"/>
        <v>5.5590624999999996</v>
      </c>
    </row>
    <row r="262" spans="1:26" s="24" customFormat="1" hidden="1" outlineLevel="2" x14ac:dyDescent="0.25">
      <c r="A262" s="27"/>
      <c r="B262" s="11" t="str">
        <f>CONCATENATE("          ", "6247", " - ", "STORE SUPPLIES")</f>
        <v xml:space="preserve">          6247 - STORE SUPPLIES</v>
      </c>
      <c r="C262" s="11"/>
      <c r="D262" s="6">
        <v>2246.4899999999998</v>
      </c>
      <c r="E262" s="2"/>
      <c r="F262" s="7">
        <f t="shared" si="103"/>
        <v>3.5941570792986377E-3</v>
      </c>
      <c r="G262" s="2"/>
      <c r="H262" s="6">
        <v>8725</v>
      </c>
      <c r="I262" s="2"/>
      <c r="J262" s="7">
        <f t="shared" si="104"/>
        <v>1.4072657621236608E-2</v>
      </c>
      <c r="K262" s="2"/>
      <c r="L262" s="6">
        <f t="shared" si="105"/>
        <v>-6478.51</v>
      </c>
      <c r="M262" s="2"/>
      <c r="N262" s="7">
        <f t="shared" si="106"/>
        <v>-0.74252263610315183</v>
      </c>
      <c r="O262" s="11"/>
      <c r="P262" s="6">
        <v>13680.06</v>
      </c>
      <c r="Q262" s="2"/>
      <c r="R262" s="7">
        <f t="shared" si="107"/>
        <v>2.2956121779053986E-3</v>
      </c>
      <c r="S262" s="2"/>
      <c r="T262" s="6">
        <v>48000</v>
      </c>
      <c r="U262" s="2"/>
      <c r="V262" s="7">
        <f t="shared" si="108"/>
        <v>7.9722706040879169E-3</v>
      </c>
      <c r="W262" s="2"/>
      <c r="X262" s="6">
        <f t="shared" si="109"/>
        <v>-34319.94</v>
      </c>
      <c r="Y262" s="2"/>
      <c r="Z262" s="7">
        <f t="shared" si="110"/>
        <v>-0.71499875000000002</v>
      </c>
    </row>
    <row r="263" spans="1:26" s="24" customFormat="1" hidden="1" outlineLevel="2" x14ac:dyDescent="0.25">
      <c r="A263" s="27"/>
      <c r="B263" s="11" t="str">
        <f>CONCATENATE("          ", "6248", " - ", "UNIFORMS")</f>
        <v xml:space="preserve">          6248 - UNIFORMS</v>
      </c>
      <c r="C263" s="11"/>
      <c r="D263" s="6"/>
      <c r="E263" s="2"/>
      <c r="F263" s="7">
        <f t="shared" si="103"/>
        <v>0</v>
      </c>
      <c r="G263" s="2"/>
      <c r="H263" s="6">
        <v>1000</v>
      </c>
      <c r="I263" s="2"/>
      <c r="J263" s="7">
        <f t="shared" si="104"/>
        <v>1.6129120482792673E-3</v>
      </c>
      <c r="K263" s="2"/>
      <c r="L263" s="6">
        <f t="shared" si="105"/>
        <v>-1000</v>
      </c>
      <c r="M263" s="2"/>
      <c r="N263" s="7">
        <f t="shared" si="106"/>
        <v>-1</v>
      </c>
      <c r="O263" s="11"/>
      <c r="P263" s="6"/>
      <c r="Q263" s="2"/>
      <c r="R263" s="7">
        <f t="shared" si="107"/>
        <v>0</v>
      </c>
      <c r="S263" s="2"/>
      <c r="T263" s="6">
        <v>4000</v>
      </c>
      <c r="U263" s="2"/>
      <c r="V263" s="7">
        <f t="shared" si="108"/>
        <v>6.6435588367399307E-4</v>
      </c>
      <c r="W263" s="2"/>
      <c r="X263" s="6">
        <f t="shared" si="109"/>
        <v>-4000</v>
      </c>
      <c r="Y263" s="2"/>
      <c r="Z263" s="7">
        <f t="shared" si="110"/>
        <v>-1</v>
      </c>
    </row>
    <row r="264" spans="1:26" s="26" customFormat="1" outlineLevel="1" collapsed="1" x14ac:dyDescent="0.25">
      <c r="A264" s="25"/>
      <c r="B264" s="13" t="str">
        <f>CONCATENATE("     ","Telephone/Data Lines                              ")</f>
        <v xml:space="preserve">     Telephone/Data Lines                              </v>
      </c>
      <c r="C264" s="13"/>
      <c r="D264" s="1">
        <f>SUM(OSRRefD22_21x_0)</f>
        <v>930.37</v>
      </c>
      <c r="E264" s="1"/>
      <c r="F264" s="5">
        <f t="shared" ref="F264:F266" si="111">IF(D$12=0,0,D264/D$12)</f>
        <v>1.4884980221888699E-3</v>
      </c>
      <c r="G264" s="1"/>
      <c r="H264" s="1">
        <f>SUM(OSRRefH22_21x_0)</f>
        <v>2920</v>
      </c>
      <c r="I264" s="1"/>
      <c r="J264" s="5">
        <f t="shared" ref="J264:J266" si="112">IF(H$12=0,0,H264/H$12)</f>
        <v>4.7097031809754603E-3</v>
      </c>
      <c r="K264" s="1"/>
      <c r="L264" s="1">
        <f t="shared" ref="L264:L266" si="113">+D264-H264</f>
        <v>-1989.63</v>
      </c>
      <c r="M264" s="1"/>
      <c r="N264" s="5">
        <f t="shared" ref="N264:N266" si="114">IF(H264=0,0,L264/H264)</f>
        <v>-0.6813801369863014</v>
      </c>
      <c r="O264" s="13"/>
      <c r="P264" s="1">
        <f>SUM(OSRRefP22_21x_0)</f>
        <v>12108.07</v>
      </c>
      <c r="Q264" s="1"/>
      <c r="R264" s="5">
        <f t="shared" ref="R264:R266" si="115">IF(P$12=0,0,P264/P$12)</f>
        <v>2.0318209819935743E-3</v>
      </c>
      <c r="S264" s="1"/>
      <c r="T264" s="1">
        <f>SUM(OSRRefT22_21x_0)</f>
        <v>13755</v>
      </c>
      <c r="U264" s="1"/>
      <c r="V264" s="5">
        <f t="shared" ref="V264:V266" si="116">IF(T$12=0,0,T264/T$12)</f>
        <v>2.2845537949839436E-3</v>
      </c>
      <c r="W264" s="1"/>
      <c r="X264" s="1">
        <f t="shared" ref="X264:X266" si="117">+P264-T264</f>
        <v>-1646.9300000000003</v>
      </c>
      <c r="Y264" s="1"/>
      <c r="Z264" s="5">
        <f t="shared" ref="Z264:Z266" si="118">IF(T264=0,0,X264/T264)</f>
        <v>-0.11973318793166124</v>
      </c>
    </row>
    <row r="265" spans="1:26" s="24" customFormat="1" hidden="1" outlineLevel="2" x14ac:dyDescent="0.25">
      <c r="A265" s="27"/>
      <c r="B265" s="11" t="str">
        <f>CONCATENATE("          ", "6303", " - ", "DATA PHONE LINES")</f>
        <v xml:space="preserve">          6303 - DATA PHONE LINES</v>
      </c>
      <c r="C265" s="11"/>
      <c r="D265" s="6">
        <v>295</v>
      </c>
      <c r="E265" s="2"/>
      <c r="F265" s="7">
        <f t="shared" si="111"/>
        <v>4.7197020168934572E-4</v>
      </c>
      <c r="G265" s="2"/>
      <c r="H265" s="6">
        <v>1230</v>
      </c>
      <c r="I265" s="2"/>
      <c r="J265" s="7">
        <f t="shared" si="112"/>
        <v>1.9838818193834988E-3</v>
      </c>
      <c r="K265" s="2"/>
      <c r="L265" s="6">
        <f t="shared" si="113"/>
        <v>-935</v>
      </c>
      <c r="M265" s="2"/>
      <c r="N265" s="7">
        <f t="shared" si="114"/>
        <v>-0.76016260162601623</v>
      </c>
      <c r="O265" s="11"/>
      <c r="P265" s="6">
        <v>1180</v>
      </c>
      <c r="Q265" s="2"/>
      <c r="R265" s="7">
        <f t="shared" si="115"/>
        <v>1.9801246265940136E-4</v>
      </c>
      <c r="S265" s="2"/>
      <c r="T265" s="6">
        <v>5795</v>
      </c>
      <c r="U265" s="2"/>
      <c r="V265" s="7">
        <f t="shared" si="116"/>
        <v>9.6248558647269746E-4</v>
      </c>
      <c r="W265" s="2"/>
      <c r="X265" s="6">
        <f t="shared" si="117"/>
        <v>-4615</v>
      </c>
      <c r="Y265" s="2"/>
      <c r="Z265" s="7">
        <f t="shared" si="118"/>
        <v>-0.79637618636755825</v>
      </c>
    </row>
    <row r="266" spans="1:26" s="24" customFormat="1" hidden="1" outlineLevel="2" x14ac:dyDescent="0.25">
      <c r="A266" s="27"/>
      <c r="B266" s="11" t="str">
        <f>CONCATENATE("          ", "6309", " - ", "TELEPHONE")</f>
        <v xml:space="preserve">          6309 - TELEPHONE</v>
      </c>
      <c r="C266" s="11"/>
      <c r="D266" s="6">
        <v>635.37</v>
      </c>
      <c r="E266" s="2"/>
      <c r="F266" s="7">
        <f t="shared" si="111"/>
        <v>1.0165278204995242E-3</v>
      </c>
      <c r="G266" s="2"/>
      <c r="H266" s="6">
        <v>1690</v>
      </c>
      <c r="I266" s="2"/>
      <c r="J266" s="7">
        <f t="shared" si="112"/>
        <v>2.7258213615919619E-3</v>
      </c>
      <c r="K266" s="2"/>
      <c r="L266" s="6">
        <f t="shared" si="113"/>
        <v>-1054.6300000000001</v>
      </c>
      <c r="M266" s="2"/>
      <c r="N266" s="7">
        <f t="shared" si="114"/>
        <v>-0.62404142011834329</v>
      </c>
      <c r="O266" s="11"/>
      <c r="P266" s="6">
        <v>10928.07</v>
      </c>
      <c r="Q266" s="2"/>
      <c r="R266" s="7">
        <f t="shared" si="115"/>
        <v>1.833808519334173E-3</v>
      </c>
      <c r="S266" s="2"/>
      <c r="T266" s="6">
        <v>7960</v>
      </c>
      <c r="U266" s="2"/>
      <c r="V266" s="7">
        <f t="shared" si="116"/>
        <v>1.3220682085112461E-3</v>
      </c>
      <c r="W266" s="2"/>
      <c r="X266" s="6">
        <f t="shared" si="117"/>
        <v>2968.0699999999997</v>
      </c>
      <c r="Y266" s="2"/>
      <c r="Z266" s="7">
        <f t="shared" si="118"/>
        <v>0.37287311557788944</v>
      </c>
    </row>
    <row r="267" spans="1:26" s="26" customFormat="1" outlineLevel="1" collapsed="1" x14ac:dyDescent="0.25">
      <c r="A267" s="25"/>
      <c r="B267" s="13" t="str">
        <f>CONCATENATE("     ","Training                                          ")</f>
        <v xml:space="preserve">     Training                                          </v>
      </c>
      <c r="C267" s="13"/>
      <c r="D267" s="1">
        <f>SUM(OSRRefD22_22x_0)</f>
        <v>3040.52</v>
      </c>
      <c r="E267" s="1"/>
      <c r="F267" s="5">
        <f t="shared" ref="F267:F272" si="119">IF(D$12=0,0,D267/D$12)</f>
        <v>4.8645248733575914E-3</v>
      </c>
      <c r="G267" s="1"/>
      <c r="H267" s="1">
        <f>SUM(OSRRefH22_22x_0)</f>
        <v>2175</v>
      </c>
      <c r="I267" s="1"/>
      <c r="J267" s="5">
        <f t="shared" ref="J267:J272" si="120">IF(H$12=0,0,H267/H$12)</f>
        <v>3.5080837050074066E-3</v>
      </c>
      <c r="K267" s="1"/>
      <c r="L267" s="1">
        <f t="shared" ref="L267:L272" si="121">+D267-H267</f>
        <v>865.52</v>
      </c>
      <c r="M267" s="1"/>
      <c r="N267" s="5">
        <f t="shared" ref="N267:N272" si="122">IF(H267=0,0,L267/H267)</f>
        <v>0.39794022988505745</v>
      </c>
      <c r="O267" s="13"/>
      <c r="P267" s="1">
        <f>SUM(OSRRefP22_22x_0)</f>
        <v>5460.76</v>
      </c>
      <c r="Q267" s="1"/>
      <c r="R267" s="5">
        <f t="shared" ref="R267:R272" si="123">IF(P$12=0,0,P267/P$12)</f>
        <v>9.1635469117962089E-4</v>
      </c>
      <c r="S267" s="1"/>
      <c r="T267" s="1">
        <f>SUM(OSRRefT22_22x_0)</f>
        <v>8200</v>
      </c>
      <c r="U267" s="1"/>
      <c r="V267" s="5">
        <f t="shared" ref="V267:V272" si="124">IF(T$12=0,0,T267/T$12)</f>
        <v>1.3619295615316857E-3</v>
      </c>
      <c r="W267" s="1"/>
      <c r="X267" s="1">
        <f t="shared" ref="X267:X272" si="125">+P267-T267</f>
        <v>-2739.24</v>
      </c>
      <c r="Y267" s="1"/>
      <c r="Z267" s="5">
        <f t="shared" ref="Z267:Z272" si="126">IF(T267=0,0,X267/T267)</f>
        <v>-0.33405365853658536</v>
      </c>
    </row>
    <row r="268" spans="1:26" s="24" customFormat="1" hidden="1" outlineLevel="2" x14ac:dyDescent="0.25">
      <c r="A268" s="27"/>
      <c r="B268" s="11" t="str">
        <f>CONCATENATE("          ", "6376", " - ", "TRAINING")</f>
        <v xml:space="preserve">          6376 - TRAINING</v>
      </c>
      <c r="C268" s="11"/>
      <c r="D268" s="6">
        <v>3040.52</v>
      </c>
      <c r="E268" s="2"/>
      <c r="F268" s="7">
        <f t="shared" si="119"/>
        <v>4.8645248733575914E-3</v>
      </c>
      <c r="G268" s="2"/>
      <c r="H268" s="6">
        <v>2175</v>
      </c>
      <c r="I268" s="2"/>
      <c r="J268" s="7">
        <f t="shared" si="120"/>
        <v>3.5080837050074066E-3</v>
      </c>
      <c r="K268" s="2"/>
      <c r="L268" s="6">
        <f t="shared" si="121"/>
        <v>865.52</v>
      </c>
      <c r="M268" s="2"/>
      <c r="N268" s="7">
        <f t="shared" si="122"/>
        <v>0.39794022988505745</v>
      </c>
      <c r="O268" s="11"/>
      <c r="P268" s="6">
        <v>5460.76</v>
      </c>
      <c r="Q268" s="2"/>
      <c r="R268" s="7">
        <f t="shared" si="123"/>
        <v>9.1635469117962089E-4</v>
      </c>
      <c r="S268" s="2"/>
      <c r="T268" s="6">
        <v>8200</v>
      </c>
      <c r="U268" s="2"/>
      <c r="V268" s="7">
        <f t="shared" si="124"/>
        <v>1.3619295615316857E-3</v>
      </c>
      <c r="W268" s="2"/>
      <c r="X268" s="6">
        <f t="shared" si="125"/>
        <v>-2739.24</v>
      </c>
      <c r="Y268" s="2"/>
      <c r="Z268" s="7">
        <f t="shared" si="126"/>
        <v>-0.33405365853658536</v>
      </c>
    </row>
    <row r="269" spans="1:26" s="26" customFormat="1" outlineLevel="1" collapsed="1" x14ac:dyDescent="0.25">
      <c r="A269" s="25"/>
      <c r="B269" s="13" t="str">
        <f>CONCATENATE("     ","Travel                                            ")</f>
        <v xml:space="preserve">     Travel                                            </v>
      </c>
      <c r="C269" s="13"/>
      <c r="D269" s="1">
        <f>SUM(OSRRefD22_23x_0)</f>
        <v>633.25</v>
      </c>
      <c r="E269" s="1"/>
      <c r="F269" s="5">
        <f t="shared" si="119"/>
        <v>1.013136034643316E-3</v>
      </c>
      <c r="G269" s="1"/>
      <c r="H269" s="1">
        <f>SUM(OSRRefH22_23x_0)</f>
        <v>75</v>
      </c>
      <c r="I269" s="1"/>
      <c r="J269" s="5">
        <f t="shared" si="120"/>
        <v>1.2096840362094505E-4</v>
      </c>
      <c r="K269" s="1"/>
      <c r="L269" s="1">
        <f t="shared" si="121"/>
        <v>558.25</v>
      </c>
      <c r="M269" s="1"/>
      <c r="N269" s="5">
        <f t="shared" si="122"/>
        <v>7.4433333333333334</v>
      </c>
      <c r="O269" s="13"/>
      <c r="P269" s="1">
        <f>SUM(OSRRefP22_23x_0)</f>
        <v>1247.1099999999999</v>
      </c>
      <c r="Q269" s="1"/>
      <c r="R269" s="5">
        <f t="shared" si="123"/>
        <v>2.0927400195522544E-4</v>
      </c>
      <c r="S269" s="1"/>
      <c r="T269" s="1">
        <f>SUM(OSRRefT22_23x_0)</f>
        <v>885</v>
      </c>
      <c r="U269" s="1"/>
      <c r="V269" s="5">
        <f t="shared" si="124"/>
        <v>1.4698873926287097E-4</v>
      </c>
      <c r="W269" s="1"/>
      <c r="X269" s="1">
        <f t="shared" si="125"/>
        <v>362.1099999999999</v>
      </c>
      <c r="Y269" s="1"/>
      <c r="Z269" s="5">
        <f t="shared" si="126"/>
        <v>0.40916384180790949</v>
      </c>
    </row>
    <row r="270" spans="1:26" s="24" customFormat="1" hidden="1" outlineLevel="2" x14ac:dyDescent="0.25">
      <c r="A270" s="27"/>
      <c r="B270" s="11" t="str">
        <f>CONCATENATE("          ", "6292", " - ", "TRAVEL/CONFERENCE")</f>
        <v xml:space="preserve">          6292 - TRAVEL/CONFERENCE</v>
      </c>
      <c r="C270" s="11"/>
      <c r="D270" s="6">
        <v>298.88</v>
      </c>
      <c r="E270" s="2"/>
      <c r="F270" s="7">
        <f t="shared" si="119"/>
        <v>4.781778097658022E-4</v>
      </c>
      <c r="G270" s="2"/>
      <c r="H270" s="6"/>
      <c r="I270" s="2"/>
      <c r="J270" s="7">
        <f t="shared" si="120"/>
        <v>0</v>
      </c>
      <c r="K270" s="2"/>
      <c r="L270" s="6">
        <f t="shared" si="121"/>
        <v>298.88</v>
      </c>
      <c r="M270" s="2"/>
      <c r="N270" s="7">
        <f t="shared" si="122"/>
        <v>0</v>
      </c>
      <c r="O270" s="11"/>
      <c r="P270" s="6">
        <v>640.65</v>
      </c>
      <c r="Q270" s="2"/>
      <c r="R270" s="7">
        <f t="shared" si="123"/>
        <v>1.0750566457859786E-4</v>
      </c>
      <c r="S270" s="2"/>
      <c r="T270" s="6"/>
      <c r="U270" s="2"/>
      <c r="V270" s="7">
        <f t="shared" si="124"/>
        <v>0</v>
      </c>
      <c r="W270" s="2"/>
      <c r="X270" s="6">
        <f t="shared" si="125"/>
        <v>640.65</v>
      </c>
      <c r="Y270" s="2"/>
      <c r="Z270" s="7">
        <f t="shared" si="126"/>
        <v>0</v>
      </c>
    </row>
    <row r="271" spans="1:26" s="24" customFormat="1" hidden="1" outlineLevel="2" x14ac:dyDescent="0.25">
      <c r="A271" s="27"/>
      <c r="B271" s="11" t="str">
        <f>CONCATENATE("          ", "6294", " - ", "TRAVEL OPERATIONAL")</f>
        <v xml:space="preserve">          6294 - TRAVEL OPERATIONAL</v>
      </c>
      <c r="C271" s="11"/>
      <c r="D271" s="6">
        <v>334.37</v>
      </c>
      <c r="E271" s="2"/>
      <c r="F271" s="7">
        <f t="shared" si="119"/>
        <v>5.3495822487751362E-4</v>
      </c>
      <c r="G271" s="2"/>
      <c r="H271" s="6">
        <v>75</v>
      </c>
      <c r="I271" s="2"/>
      <c r="J271" s="7">
        <f t="shared" si="120"/>
        <v>1.2096840362094505E-4</v>
      </c>
      <c r="K271" s="2"/>
      <c r="L271" s="6">
        <f t="shared" si="121"/>
        <v>259.37</v>
      </c>
      <c r="M271" s="2"/>
      <c r="N271" s="7">
        <f t="shared" si="122"/>
        <v>3.4582666666666668</v>
      </c>
      <c r="O271" s="11"/>
      <c r="P271" s="6">
        <v>436.47</v>
      </c>
      <c r="Q271" s="2"/>
      <c r="R271" s="7">
        <f t="shared" si="123"/>
        <v>7.3242796251651624E-5</v>
      </c>
      <c r="S271" s="2"/>
      <c r="T271" s="6">
        <v>435</v>
      </c>
      <c r="U271" s="2"/>
      <c r="V271" s="7">
        <f t="shared" si="124"/>
        <v>7.2248702349546744E-5</v>
      </c>
      <c r="W271" s="2"/>
      <c r="X271" s="6">
        <f t="shared" si="125"/>
        <v>1.4700000000000273</v>
      </c>
      <c r="Y271" s="2"/>
      <c r="Z271" s="7">
        <f t="shared" si="126"/>
        <v>3.379310344827649E-3</v>
      </c>
    </row>
    <row r="272" spans="1:26" s="24" customFormat="1" hidden="1" outlineLevel="2" x14ac:dyDescent="0.25">
      <c r="A272" s="27"/>
      <c r="B272" s="11" t="str">
        <f>CONCATENATE("          ", "6298", " - ", "VEHICLE MILEAGE")</f>
        <v xml:space="preserve">          6298 - VEHICLE MILEAGE</v>
      </c>
      <c r="C272" s="11"/>
      <c r="D272" s="6"/>
      <c r="E272" s="2"/>
      <c r="F272" s="7">
        <f t="shared" si="119"/>
        <v>0</v>
      </c>
      <c r="G272" s="2"/>
      <c r="H272" s="6"/>
      <c r="I272" s="2"/>
      <c r="J272" s="7">
        <f t="shared" si="120"/>
        <v>0</v>
      </c>
      <c r="K272" s="2"/>
      <c r="L272" s="6">
        <f t="shared" si="121"/>
        <v>0</v>
      </c>
      <c r="M272" s="2"/>
      <c r="N272" s="7">
        <f t="shared" si="122"/>
        <v>0</v>
      </c>
      <c r="O272" s="11"/>
      <c r="P272" s="6">
        <v>169.99</v>
      </c>
      <c r="Q272" s="2"/>
      <c r="R272" s="7">
        <f t="shared" si="123"/>
        <v>2.8525541124975966E-5</v>
      </c>
      <c r="S272" s="2"/>
      <c r="T272" s="6">
        <v>450</v>
      </c>
      <c r="U272" s="2"/>
      <c r="V272" s="7">
        <f t="shared" si="124"/>
        <v>7.4740036913324224E-5</v>
      </c>
      <c r="W272" s="2"/>
      <c r="X272" s="6">
        <f t="shared" si="125"/>
        <v>-280.01</v>
      </c>
      <c r="Y272" s="2"/>
      <c r="Z272" s="7">
        <f t="shared" si="126"/>
        <v>-0.62224444444444438</v>
      </c>
    </row>
    <row r="273" spans="1:26" s="26" customFormat="1" outlineLevel="1" collapsed="1" x14ac:dyDescent="0.25">
      <c r="A273" s="25"/>
      <c r="B273" s="13" t="str">
        <f>CONCATENATE("     ","Utilities                                         ")</f>
        <v xml:space="preserve">     Utilities                                         </v>
      </c>
      <c r="C273" s="13"/>
      <c r="D273" s="1">
        <f>SUM(OSRRefD22_24x_0)</f>
        <v>5636.86</v>
      </c>
      <c r="E273" s="1"/>
      <c r="F273" s="5">
        <f t="shared" ref="F273:F274" si="127">IF(D$12=0,0,D273/D$12)</f>
        <v>9.0184066138800176E-3</v>
      </c>
      <c r="G273" s="1"/>
      <c r="H273" s="1">
        <f>SUM(OSRRefH22_24x_0)</f>
        <v>5100</v>
      </c>
      <c r="I273" s="1"/>
      <c r="J273" s="5">
        <f t="shared" ref="J273:J274" si="128">IF(H$12=0,0,H273/H$12)</f>
        <v>8.2258514462242634E-3</v>
      </c>
      <c r="K273" s="1"/>
      <c r="L273" s="1">
        <f t="shared" ref="L273:L274" si="129">+D273-H273</f>
        <v>536.85999999999967</v>
      </c>
      <c r="M273" s="1"/>
      <c r="N273" s="5">
        <f t="shared" ref="N273:N274" si="130">IF(H273=0,0,L273/H273)</f>
        <v>0.10526666666666661</v>
      </c>
      <c r="O273" s="13"/>
      <c r="P273" s="1">
        <f>SUM(OSRRefP22_24x_0)</f>
        <v>16974.66</v>
      </c>
      <c r="Q273" s="1"/>
      <c r="R273" s="5">
        <f t="shared" ref="R273:R274" si="131">IF(P$12=0,0,P273/P$12)</f>
        <v>2.8484696859373171E-3</v>
      </c>
      <c r="S273" s="1"/>
      <c r="T273" s="1">
        <f>SUM(OSRRefT22_24x_0)</f>
        <v>20350</v>
      </c>
      <c r="U273" s="1"/>
      <c r="V273" s="5">
        <f t="shared" ref="V273:V274" si="132">IF(T$12=0,0,T273/T$12)</f>
        <v>3.3799105581914395E-3</v>
      </c>
      <c r="W273" s="1"/>
      <c r="X273" s="1">
        <f t="shared" ref="X273:X274" si="133">+P273-T273</f>
        <v>-3375.34</v>
      </c>
      <c r="Y273" s="1"/>
      <c r="Z273" s="5">
        <f t="shared" ref="Z273:Z274" si="134">IF(T273=0,0,X273/T273)</f>
        <v>-0.16586437346437347</v>
      </c>
    </row>
    <row r="274" spans="1:26" s="24" customFormat="1" hidden="1" outlineLevel="2" x14ac:dyDescent="0.25">
      <c r="A274" s="27"/>
      <c r="B274" s="11" t="str">
        <f>CONCATENATE("          ", "6274", " - ", "UTILITIES")</f>
        <v xml:space="preserve">          6274 - UTILITIES</v>
      </c>
      <c r="C274" s="11"/>
      <c r="D274" s="6">
        <v>5636.86</v>
      </c>
      <c r="E274" s="2"/>
      <c r="F274" s="7">
        <f t="shared" si="127"/>
        <v>9.0184066138800176E-3</v>
      </c>
      <c r="G274" s="2"/>
      <c r="H274" s="6">
        <v>5100</v>
      </c>
      <c r="I274" s="2"/>
      <c r="J274" s="7">
        <f t="shared" si="128"/>
        <v>8.2258514462242634E-3</v>
      </c>
      <c r="K274" s="2"/>
      <c r="L274" s="6">
        <f t="shared" si="129"/>
        <v>536.85999999999967</v>
      </c>
      <c r="M274" s="2"/>
      <c r="N274" s="7">
        <f t="shared" si="130"/>
        <v>0.10526666666666661</v>
      </c>
      <c r="O274" s="11"/>
      <c r="P274" s="6">
        <v>16974.66</v>
      </c>
      <c r="Q274" s="2"/>
      <c r="R274" s="7">
        <f t="shared" si="131"/>
        <v>2.8484696859373171E-3</v>
      </c>
      <c r="S274" s="2"/>
      <c r="T274" s="6">
        <v>20350</v>
      </c>
      <c r="U274" s="2"/>
      <c r="V274" s="7">
        <f t="shared" si="132"/>
        <v>3.3799105581914395E-3</v>
      </c>
      <c r="W274" s="2"/>
      <c r="X274" s="6">
        <f t="shared" si="133"/>
        <v>-3375.34</v>
      </c>
      <c r="Y274" s="2"/>
      <c r="Z274" s="7">
        <f t="shared" si="134"/>
        <v>-0.16586437346437347</v>
      </c>
    </row>
    <row r="275" spans="1:26" s="61" customFormat="1" x14ac:dyDescent="0.25">
      <c r="A275" s="36"/>
      <c r="B275" s="36"/>
      <c r="C275" s="36"/>
      <c r="D275" s="1"/>
      <c r="E275" s="1"/>
      <c r="F275" s="5"/>
      <c r="G275" s="1"/>
      <c r="H275" s="1"/>
      <c r="I275" s="1"/>
      <c r="J275" s="5"/>
      <c r="K275" s="1"/>
      <c r="L275" s="1"/>
      <c r="M275" s="1"/>
      <c r="N275" s="5"/>
      <c r="O275" s="36"/>
      <c r="P275" s="1"/>
      <c r="Q275" s="1"/>
      <c r="R275" s="5"/>
      <c r="S275" s="1"/>
      <c r="T275" s="1"/>
      <c r="U275" s="1"/>
      <c r="V275" s="5"/>
      <c r="W275" s="1"/>
      <c r="X275" s="1"/>
      <c r="Y275" s="1"/>
      <c r="Z275" s="5"/>
    </row>
    <row r="276" spans="1:26" s="23" customFormat="1" collapsed="1" x14ac:dyDescent="0.25">
      <c r="A276" s="10"/>
      <c r="B276" s="29" t="s">
        <v>0</v>
      </c>
      <c r="C276" s="10"/>
      <c r="D276" s="4">
        <f>SUM(OSRRefD25x_0)</f>
        <v>138596.53</v>
      </c>
      <c r="E276" s="4"/>
      <c r="F276" s="12">
        <f t="shared" ref="F276:F286" si="135">IF(D$12=0,0,D276/D$12)</f>
        <v>0.22174044819506256</v>
      </c>
      <c r="G276" s="4"/>
      <c r="H276" s="4">
        <f>SUM(OSRRefH25x_0)</f>
        <v>62200</v>
      </c>
      <c r="I276" s="4"/>
      <c r="J276" s="12">
        <f t="shared" ref="J276:J286" si="136">IF(H$12=0,0,H276/H$12)</f>
        <v>0.10032312940297043</v>
      </c>
      <c r="K276" s="4"/>
      <c r="L276" s="4">
        <f t="shared" ref="L276:L286" si="137">+D276-H276</f>
        <v>76396.53</v>
      </c>
      <c r="M276" s="4"/>
      <c r="N276" s="12">
        <f t="shared" ref="N276:N286" si="138">IF(H276=0,0,L276/H276)</f>
        <v>1.2282400321543407</v>
      </c>
      <c r="O276" s="10"/>
      <c r="P276" s="4">
        <f>SUM(OSRRefP25x_0)</f>
        <v>385285.94</v>
      </c>
      <c r="Q276" s="4"/>
      <c r="R276" s="12">
        <f t="shared" ref="R276:R286" si="139">IF(P$12=0,0,P276/P$12)</f>
        <v>6.4653743904612163E-2</v>
      </c>
      <c r="S276" s="4"/>
      <c r="T276" s="4">
        <f>SUM(OSRRefT25x_0)</f>
        <v>325525</v>
      </c>
      <c r="U276" s="4"/>
      <c r="V276" s="12">
        <f t="shared" ref="V276:V286" si="140">IF(T$12=0,0,T276/T$12)</f>
        <v>5.4066112258244148E-2</v>
      </c>
      <c r="W276" s="4"/>
      <c r="X276" s="4">
        <f t="shared" ref="X276:X286" si="141">+P276-T276</f>
        <v>59760.94</v>
      </c>
      <c r="Y276" s="4"/>
      <c r="Z276" s="12">
        <f t="shared" ref="Z276:Z286" si="142">IF(T276=0,0,X276/T276)</f>
        <v>0.18358325781429999</v>
      </c>
    </row>
    <row r="277" spans="1:26" s="24" customFormat="1" hidden="1" outlineLevel="1" x14ac:dyDescent="0.25">
      <c r="A277" s="44"/>
      <c r="B277" s="11" t="str">
        <f>CONCATENATE("          ", "4098", " - ", "TAXABLE SALES-GRAD RENTALS")</f>
        <v xml:space="preserve">          4098 - TAXABLE SALES-GRAD RENTALS</v>
      </c>
      <c r="C277" s="11"/>
      <c r="D277" s="2">
        <f>0</f>
        <v>0</v>
      </c>
      <c r="E277" s="2"/>
      <c r="F277" s="19">
        <f t="shared" si="135"/>
        <v>0</v>
      </c>
      <c r="G277" s="2"/>
      <c r="H277" s="2"/>
      <c r="I277" s="2"/>
      <c r="J277" s="19">
        <f t="shared" si="136"/>
        <v>0</v>
      </c>
      <c r="K277" s="2"/>
      <c r="L277" s="2">
        <f t="shared" si="137"/>
        <v>0</v>
      </c>
      <c r="M277" s="2"/>
      <c r="N277" s="19">
        <f t="shared" si="138"/>
        <v>0</v>
      </c>
      <c r="O277" s="11"/>
      <c r="P277" s="2">
        <f>--1626.85</f>
        <v>1626.85</v>
      </c>
      <c r="Q277" s="2"/>
      <c r="R277" s="19">
        <f t="shared" si="139"/>
        <v>2.7299709735376874E-4</v>
      </c>
      <c r="S277" s="2"/>
      <c r="T277" s="2"/>
      <c r="U277" s="2"/>
      <c r="V277" s="19">
        <f t="shared" si="140"/>
        <v>0</v>
      </c>
      <c r="W277" s="2"/>
      <c r="X277" s="2">
        <f t="shared" si="141"/>
        <v>1626.85</v>
      </c>
      <c r="Y277" s="2"/>
      <c r="Z277" s="19">
        <f t="shared" si="142"/>
        <v>0</v>
      </c>
    </row>
    <row r="278" spans="1:26" s="24" customFormat="1" hidden="1" outlineLevel="1" x14ac:dyDescent="0.25">
      <c r="A278" s="44"/>
      <c r="B278" s="11" t="str">
        <f>CONCATENATE("          ", "4187", " - ", "NON-TAXABLE SALES-COMPUTER REP")</f>
        <v xml:space="preserve">          4187 - NON-TAXABLE SALES-COMPUTER REP</v>
      </c>
      <c r="C278" s="11"/>
      <c r="D278" s="2">
        <f>--4407.89</f>
        <v>4407.8900000000003</v>
      </c>
      <c r="E278" s="2"/>
      <c r="F278" s="19">
        <f t="shared" si="135"/>
        <v>7.0521787536422043E-3</v>
      </c>
      <c r="G278" s="2"/>
      <c r="H278" s="2"/>
      <c r="I278" s="2"/>
      <c r="J278" s="19">
        <f t="shared" si="136"/>
        <v>0</v>
      </c>
      <c r="K278" s="2"/>
      <c r="L278" s="2">
        <f t="shared" si="137"/>
        <v>4407.8900000000003</v>
      </c>
      <c r="M278" s="2"/>
      <c r="N278" s="19">
        <f t="shared" si="138"/>
        <v>0</v>
      </c>
      <c r="O278" s="11"/>
      <c r="P278" s="2">
        <f>--11782.69</f>
        <v>11782.69</v>
      </c>
      <c r="Q278" s="2"/>
      <c r="R278" s="19">
        <f t="shared" si="139"/>
        <v>1.9772198844511036E-3</v>
      </c>
      <c r="S278" s="2"/>
      <c r="T278" s="2"/>
      <c r="U278" s="2"/>
      <c r="V278" s="19">
        <f t="shared" si="140"/>
        <v>0</v>
      </c>
      <c r="W278" s="2"/>
      <c r="X278" s="2">
        <f t="shared" si="141"/>
        <v>11782.69</v>
      </c>
      <c r="Y278" s="2"/>
      <c r="Z278" s="19">
        <f t="shared" si="142"/>
        <v>0</v>
      </c>
    </row>
    <row r="279" spans="1:26" s="24" customFormat="1" hidden="1" outlineLevel="1" x14ac:dyDescent="0.25">
      <c r="A279" s="44"/>
      <c r="B279" s="11" t="str">
        <f>CONCATENATE("          ", "4197", " - ", "NON-TAXABLE SALES-RETURNED CHE")</f>
        <v xml:space="preserve">          4197 - NON-TAXABLE SALES-RETURNED CHE</v>
      </c>
      <c r="C279" s="11"/>
      <c r="D279" s="2">
        <f t="shared" ref="D279:D280" si="143">0</f>
        <v>0</v>
      </c>
      <c r="E279" s="2"/>
      <c r="F279" s="19">
        <f t="shared" si="135"/>
        <v>0</v>
      </c>
      <c r="G279" s="2"/>
      <c r="H279" s="2"/>
      <c r="I279" s="2"/>
      <c r="J279" s="19">
        <f t="shared" si="136"/>
        <v>0</v>
      </c>
      <c r="K279" s="2"/>
      <c r="L279" s="2">
        <f t="shared" si="137"/>
        <v>0</v>
      </c>
      <c r="M279" s="2"/>
      <c r="N279" s="19">
        <f t="shared" si="138"/>
        <v>0</v>
      </c>
      <c r="O279" s="11"/>
      <c r="P279" s="2">
        <f>--30</f>
        <v>30</v>
      </c>
      <c r="Q279" s="2"/>
      <c r="R279" s="19">
        <f t="shared" si="139"/>
        <v>5.0342151523576621E-6</v>
      </c>
      <c r="S279" s="2"/>
      <c r="T279" s="2"/>
      <c r="U279" s="2"/>
      <c r="V279" s="19">
        <f t="shared" si="140"/>
        <v>0</v>
      </c>
      <c r="W279" s="2"/>
      <c r="X279" s="2">
        <f t="shared" si="141"/>
        <v>30</v>
      </c>
      <c r="Y279" s="2"/>
      <c r="Z279" s="19">
        <f t="shared" si="142"/>
        <v>0</v>
      </c>
    </row>
    <row r="280" spans="1:26" s="24" customFormat="1" hidden="1" outlineLevel="1" x14ac:dyDescent="0.25">
      <c r="A280" s="44"/>
      <c r="B280" s="11" t="str">
        <f>CONCATENATE("          ", "4198", " - ", "NON-TAXABLE SALES-GRAD RENTALS")</f>
        <v xml:space="preserve">          4198 - NON-TAXABLE SALES-GRAD RENTALS</v>
      </c>
      <c r="C280" s="11"/>
      <c r="D280" s="2">
        <f t="shared" si="143"/>
        <v>0</v>
      </c>
      <c r="E280" s="2"/>
      <c r="F280" s="19">
        <f t="shared" si="135"/>
        <v>0</v>
      </c>
      <c r="G280" s="2"/>
      <c r="H280" s="2"/>
      <c r="I280" s="2"/>
      <c r="J280" s="19">
        <f t="shared" si="136"/>
        <v>0</v>
      </c>
      <c r="K280" s="2"/>
      <c r="L280" s="2">
        <f t="shared" si="137"/>
        <v>0</v>
      </c>
      <c r="M280" s="2"/>
      <c r="N280" s="19">
        <f t="shared" si="138"/>
        <v>0</v>
      </c>
      <c r="O280" s="11"/>
      <c r="P280" s="2">
        <f>--495</f>
        <v>495</v>
      </c>
      <c r="Q280" s="2"/>
      <c r="R280" s="19">
        <f t="shared" si="139"/>
        <v>8.3064550013901424E-5</v>
      </c>
      <c r="S280" s="2"/>
      <c r="T280" s="2"/>
      <c r="U280" s="2"/>
      <c r="V280" s="19">
        <f t="shared" si="140"/>
        <v>0</v>
      </c>
      <c r="W280" s="2"/>
      <c r="X280" s="2">
        <f t="shared" si="141"/>
        <v>495</v>
      </c>
      <c r="Y280" s="2"/>
      <c r="Z280" s="19">
        <f t="shared" si="142"/>
        <v>0</v>
      </c>
    </row>
    <row r="281" spans="1:26" s="24" customFormat="1" hidden="1" outlineLevel="1" x14ac:dyDescent="0.25">
      <c r="A281" s="44"/>
      <c r="B281" s="11" t="str">
        <f>CONCATENATE("          ", "4387", " - ", "SALES RETURN NON TAXABLE-COMPU")</f>
        <v xml:space="preserve">          4387 - SALES RETURN NON TAXABLE-COMPU</v>
      </c>
      <c r="C281" s="11"/>
      <c r="D281" s="2">
        <f>-350.05</f>
        <v>-350.05</v>
      </c>
      <c r="E281" s="2"/>
      <c r="F281" s="19">
        <f t="shared" si="135"/>
        <v>-5.60044641021544E-4</v>
      </c>
      <c r="G281" s="2"/>
      <c r="H281" s="2"/>
      <c r="I281" s="2"/>
      <c r="J281" s="19">
        <f t="shared" si="136"/>
        <v>0</v>
      </c>
      <c r="K281" s="2"/>
      <c r="L281" s="2">
        <f t="shared" si="137"/>
        <v>-350.05</v>
      </c>
      <c r="M281" s="2"/>
      <c r="N281" s="19">
        <f t="shared" si="138"/>
        <v>0</v>
      </c>
      <c r="O281" s="11"/>
      <c r="P281" s="2">
        <f>-6790.75</f>
        <v>-6790.75</v>
      </c>
      <c r="Q281" s="2"/>
      <c r="R281" s="19">
        <f t="shared" si="139"/>
        <v>-1.139536551529093E-3</v>
      </c>
      <c r="S281" s="2"/>
      <c r="T281" s="2"/>
      <c r="U281" s="2"/>
      <c r="V281" s="19">
        <f t="shared" si="140"/>
        <v>0</v>
      </c>
      <c r="W281" s="2"/>
      <c r="X281" s="2">
        <f t="shared" si="141"/>
        <v>-6790.75</v>
      </c>
      <c r="Y281" s="2"/>
      <c r="Z281" s="19">
        <f t="shared" si="142"/>
        <v>0</v>
      </c>
    </row>
    <row r="282" spans="1:26" s="24" customFormat="1" hidden="1" outlineLevel="1" x14ac:dyDescent="0.25">
      <c r="A282" s="44"/>
      <c r="B282" s="11" t="str">
        <f>CONCATENATE("          ", "9150", " - ", "MISC. INCOME")</f>
        <v xml:space="preserve">          9150 - MISC. INCOME</v>
      </c>
      <c r="C282" s="11"/>
      <c r="D282" s="2">
        <f>--69348.3</f>
        <v>69348.3</v>
      </c>
      <c r="E282" s="2"/>
      <c r="F282" s="19">
        <f t="shared" si="135"/>
        <v>0.11095027504343477</v>
      </c>
      <c r="G282" s="2"/>
      <c r="H282" s="2">
        <v>31250</v>
      </c>
      <c r="I282" s="2"/>
      <c r="J282" s="19">
        <f t="shared" si="136"/>
        <v>5.0403501508727105E-2</v>
      </c>
      <c r="K282" s="2"/>
      <c r="L282" s="2">
        <f t="shared" si="137"/>
        <v>38098.300000000003</v>
      </c>
      <c r="M282" s="2"/>
      <c r="N282" s="19">
        <f t="shared" si="138"/>
        <v>1.2191456000000001</v>
      </c>
      <c r="O282" s="11"/>
      <c r="P282" s="2">
        <f>--207947.23</f>
        <v>207947.23</v>
      </c>
      <c r="Q282" s="2"/>
      <c r="R282" s="19">
        <f t="shared" si="139"/>
        <v>3.4895036538560124E-2</v>
      </c>
      <c r="S282" s="2"/>
      <c r="T282" s="2">
        <v>136575</v>
      </c>
      <c r="U282" s="2"/>
      <c r="V282" s="19">
        <f t="shared" si="140"/>
        <v>2.26836012031939E-2</v>
      </c>
      <c r="W282" s="2"/>
      <c r="X282" s="2">
        <f t="shared" si="141"/>
        <v>71372.23000000001</v>
      </c>
      <c r="Y282" s="2"/>
      <c r="Z282" s="19">
        <f t="shared" si="142"/>
        <v>0.52258634449935937</v>
      </c>
    </row>
    <row r="283" spans="1:26" s="24" customFormat="1" hidden="1" outlineLevel="1" x14ac:dyDescent="0.25">
      <c r="A283" s="44"/>
      <c r="B283" s="11" t="str">
        <f>CONCATENATE("          ", "9151", " - ", "MISC. INCOME")</f>
        <v xml:space="preserve">          9151 - MISC. INCOME</v>
      </c>
      <c r="C283" s="11"/>
      <c r="D283" s="2">
        <f>--4030.76</f>
        <v>4030.76</v>
      </c>
      <c r="E283" s="2"/>
      <c r="F283" s="19">
        <f t="shared" si="135"/>
        <v>6.4488088480045671E-3</v>
      </c>
      <c r="G283" s="2"/>
      <c r="H283" s="2">
        <v>12850</v>
      </c>
      <c r="I283" s="2"/>
      <c r="J283" s="19">
        <f t="shared" si="136"/>
        <v>2.0725919820388586E-2</v>
      </c>
      <c r="K283" s="2"/>
      <c r="L283" s="2">
        <f t="shared" si="137"/>
        <v>-8819.24</v>
      </c>
      <c r="M283" s="2"/>
      <c r="N283" s="19">
        <f t="shared" si="138"/>
        <v>-0.68632217898832681</v>
      </c>
      <c r="O283" s="11"/>
      <c r="P283" s="2">
        <f>--87224.27</f>
        <v>87224.27</v>
      </c>
      <c r="Q283" s="2"/>
      <c r="R283" s="19">
        <f t="shared" si="139"/>
        <v>1.4636858056244529E-2</v>
      </c>
      <c r="S283" s="2"/>
      <c r="T283" s="2">
        <v>39150</v>
      </c>
      <c r="U283" s="2"/>
      <c r="V283" s="19">
        <f t="shared" si="140"/>
        <v>6.5023832114592065E-3</v>
      </c>
      <c r="W283" s="2"/>
      <c r="X283" s="2">
        <f t="shared" si="141"/>
        <v>48074.270000000004</v>
      </c>
      <c r="Y283" s="2"/>
      <c r="Z283" s="19">
        <f t="shared" si="142"/>
        <v>1.2279507024265646</v>
      </c>
    </row>
    <row r="284" spans="1:26" s="24" customFormat="1" hidden="1" outlineLevel="1" x14ac:dyDescent="0.25">
      <c r="A284" s="44"/>
      <c r="B284" s="11" t="str">
        <f>CONCATENATE("          ", "9152", " - ", "MISC. INCOME")</f>
        <v xml:space="preserve">          9152 - MISC. INCOME</v>
      </c>
      <c r="C284" s="11"/>
      <c r="D284" s="2">
        <f>--53.08</f>
        <v>53.08</v>
      </c>
      <c r="E284" s="2"/>
      <c r="F284" s="19">
        <f t="shared" si="135"/>
        <v>8.4922638324306686E-5</v>
      </c>
      <c r="G284" s="2"/>
      <c r="H284" s="2"/>
      <c r="I284" s="2"/>
      <c r="J284" s="19">
        <f t="shared" si="136"/>
        <v>0</v>
      </c>
      <c r="K284" s="2"/>
      <c r="L284" s="2">
        <f t="shared" si="137"/>
        <v>53.08</v>
      </c>
      <c r="M284" s="2"/>
      <c r="N284" s="19">
        <f t="shared" si="138"/>
        <v>0</v>
      </c>
      <c r="O284" s="11"/>
      <c r="P284" s="2">
        <f>--694.1</f>
        <v>694.1</v>
      </c>
      <c r="Q284" s="2"/>
      <c r="R284" s="19">
        <f t="shared" si="139"/>
        <v>1.1647495790838178E-4</v>
      </c>
      <c r="S284" s="2"/>
      <c r="T284" s="2"/>
      <c r="U284" s="2"/>
      <c r="V284" s="19">
        <f t="shared" si="140"/>
        <v>0</v>
      </c>
      <c r="W284" s="2"/>
      <c r="X284" s="2">
        <f t="shared" si="141"/>
        <v>694.1</v>
      </c>
      <c r="Y284" s="2"/>
      <c r="Z284" s="19">
        <f t="shared" si="142"/>
        <v>0</v>
      </c>
    </row>
    <row r="285" spans="1:26" s="24" customFormat="1" hidden="1" outlineLevel="1" x14ac:dyDescent="0.25">
      <c r="A285" s="44"/>
      <c r="B285" s="11" t="str">
        <f>CONCATENATE("          ", "9160", " - ", "MISC. INCOME")</f>
        <v xml:space="preserve">          9160 - MISC. INCOME</v>
      </c>
      <c r="C285" s="11"/>
      <c r="D285" s="2">
        <f>0</f>
        <v>0</v>
      </c>
      <c r="E285" s="2"/>
      <c r="F285" s="19">
        <f t="shared" si="135"/>
        <v>0</v>
      </c>
      <c r="G285" s="2"/>
      <c r="H285" s="2">
        <v>18100</v>
      </c>
      <c r="I285" s="2"/>
      <c r="J285" s="19">
        <f t="shared" si="136"/>
        <v>2.9193708073854741E-2</v>
      </c>
      <c r="K285" s="2"/>
      <c r="L285" s="2">
        <f t="shared" si="137"/>
        <v>-18100</v>
      </c>
      <c r="M285" s="2"/>
      <c r="N285" s="19">
        <f t="shared" si="138"/>
        <v>-1</v>
      </c>
      <c r="O285" s="11"/>
      <c r="P285" s="2">
        <f>--21170</f>
        <v>21170</v>
      </c>
      <c r="Q285" s="2"/>
      <c r="R285" s="19">
        <f t="shared" si="139"/>
        <v>3.5524778258470566E-3</v>
      </c>
      <c r="S285" s="2"/>
      <c r="T285" s="2">
        <v>149800</v>
      </c>
      <c r="U285" s="2"/>
      <c r="V285" s="19">
        <f t="shared" si="140"/>
        <v>2.4880127843591039E-2</v>
      </c>
      <c r="W285" s="2"/>
      <c r="X285" s="2">
        <f t="shared" si="141"/>
        <v>-128630</v>
      </c>
      <c r="Y285" s="2"/>
      <c r="Z285" s="19">
        <f t="shared" si="142"/>
        <v>-0.85867823765020024</v>
      </c>
    </row>
    <row r="286" spans="1:26" s="24" customFormat="1" hidden="1" outlineLevel="1" x14ac:dyDescent="0.25">
      <c r="A286" s="44"/>
      <c r="B286" s="11" t="str">
        <f>CONCATENATE("          ", "9163", " - ", "MISC. INCOME")</f>
        <v xml:space="preserve">          9163 - MISC. INCOME</v>
      </c>
      <c r="C286" s="11"/>
      <c r="D286" s="2">
        <f>--61106.55</f>
        <v>61106.55</v>
      </c>
      <c r="E286" s="2"/>
      <c r="F286" s="19">
        <f t="shared" si="135"/>
        <v>9.7764307552678273E-2</v>
      </c>
      <c r="G286" s="2"/>
      <c r="H286" s="2"/>
      <c r="I286" s="2"/>
      <c r="J286" s="19">
        <f t="shared" si="136"/>
        <v>0</v>
      </c>
      <c r="K286" s="2"/>
      <c r="L286" s="2">
        <f t="shared" si="137"/>
        <v>61106.55</v>
      </c>
      <c r="M286" s="2"/>
      <c r="N286" s="19">
        <f t="shared" si="138"/>
        <v>0</v>
      </c>
      <c r="O286" s="11"/>
      <c r="P286" s="2">
        <f>--61106.55</f>
        <v>61106.55</v>
      </c>
      <c r="Q286" s="2"/>
      <c r="R286" s="19">
        <f t="shared" si="139"/>
        <v>1.0254117330610036E-2</v>
      </c>
      <c r="S286" s="2"/>
      <c r="T286" s="2"/>
      <c r="U286" s="2"/>
      <c r="V286" s="19">
        <f t="shared" si="140"/>
        <v>0</v>
      </c>
      <c r="W286" s="2"/>
      <c r="X286" s="2">
        <f t="shared" si="141"/>
        <v>61106.55</v>
      </c>
      <c r="Y286" s="2"/>
      <c r="Z286" s="19">
        <f t="shared" si="142"/>
        <v>0</v>
      </c>
    </row>
    <row r="287" spans="1:26" x14ac:dyDescent="0.25">
      <c r="A287" s="9"/>
      <c r="B287" s="10"/>
      <c r="C287" s="10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O287" s="10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x14ac:dyDescent="0.25">
      <c r="A288" s="10"/>
      <c r="B288" s="28" t="s">
        <v>3</v>
      </c>
      <c r="C288" s="28"/>
      <c r="D288" s="22">
        <f>+D179-D181+D276</f>
        <v>6168.8200000005018</v>
      </c>
      <c r="E288" s="14"/>
      <c r="F288" s="20">
        <f>IF(D$12=0,0,D288/D$12)</f>
        <v>9.86948887995087E-3</v>
      </c>
      <c r="G288" s="14"/>
      <c r="H288" s="22">
        <f>+H179-H181+H276</f>
        <v>-35331.332280218892</v>
      </c>
      <c r="I288" s="14"/>
      <c r="J288" s="20">
        <f>IF(H$12=0,0,H288/H$12)</f>
        <v>-5.6986331516523249E-2</v>
      </c>
      <c r="K288" s="16"/>
      <c r="L288" s="22">
        <f>+D288-H288</f>
        <v>41500.152280219394</v>
      </c>
      <c r="M288" s="16"/>
      <c r="N288" s="20">
        <f>IF(H288=0,0,L288/H288)</f>
        <v>-1.1745991334568004</v>
      </c>
      <c r="O288" s="29"/>
      <c r="P288" s="22">
        <f>+P179-P181+P276</f>
        <v>686490.03</v>
      </c>
      <c r="Q288" s="14"/>
      <c r="R288" s="20">
        <f>IF(P$12=0,0,P288/P$12)</f>
        <v>0.11519795036561553</v>
      </c>
      <c r="S288" s="14"/>
      <c r="T288" s="22">
        <f>+T179-T181+T276</f>
        <v>811423.00168404961</v>
      </c>
      <c r="U288" s="14"/>
      <c r="V288" s="20">
        <f>IF(T$12=0,0,T288/T$12)</f>
        <v>0.13476841132930267</v>
      </c>
      <c r="W288" s="16"/>
      <c r="X288" s="22">
        <f>+P288-T288</f>
        <v>-124932.97168404958</v>
      </c>
      <c r="Y288" s="16"/>
      <c r="Z288" s="20">
        <f>IF(T288=0,0,X288/T288)</f>
        <v>-0.15396774730906107</v>
      </c>
    </row>
    <row r="289" spans="1:26" x14ac:dyDescent="0.25">
      <c r="A289" s="9"/>
      <c r="B289" s="10"/>
      <c r="C289" s="9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s="23" customFormat="1" x14ac:dyDescent="0.25">
      <c r="A290" s="52"/>
      <c r="B290" s="10" t="s">
        <v>14</v>
      </c>
      <c r="C290" s="10"/>
      <c r="D290" s="4">
        <v>26908.63</v>
      </c>
      <c r="E290" s="4"/>
      <c r="F290" s="12">
        <f>IF(D$12=0,0,D290/D$12)</f>
        <v>4.3051089926386371E-2</v>
      </c>
      <c r="G290" s="4"/>
      <c r="H290" s="4">
        <v>41925</v>
      </c>
      <c r="I290" s="4"/>
      <c r="J290" s="12">
        <f>IF(H$12=0,0,H290/H$12)</f>
        <v>6.7621337624108283E-2</v>
      </c>
      <c r="K290" s="4"/>
      <c r="L290" s="4">
        <f>+D290-H290</f>
        <v>-15016.369999999999</v>
      </c>
      <c r="M290" s="4"/>
      <c r="N290" s="12">
        <f>IF(H290=0,0,L290/H290)</f>
        <v>-0.35817221228384016</v>
      </c>
      <c r="O290" s="10"/>
      <c r="P290" s="4">
        <v>599870.38</v>
      </c>
      <c r="Q290" s="4"/>
      <c r="R290" s="12">
        <f>IF(P$12=0,0,P290/P$12)</f>
        <v>0.10066255188155163</v>
      </c>
      <c r="S290" s="4"/>
      <c r="T290" s="4">
        <v>725052</v>
      </c>
      <c r="U290" s="4"/>
      <c r="V290" s="12">
        <f>IF(T$12=0,0,T290/T$12)</f>
        <v>0.120423140542399</v>
      </c>
      <c r="W290" s="4"/>
      <c r="X290" s="4">
        <f>+P290-T290</f>
        <v>-125181.62</v>
      </c>
      <c r="Y290" s="4"/>
      <c r="Z290" s="12">
        <f>IF(T290=0,0,X290/T290)</f>
        <v>-0.17265192013814182</v>
      </c>
    </row>
    <row r="291" spans="1:26" x14ac:dyDescent="0.25">
      <c r="A291" s="9"/>
      <c r="B291" s="10"/>
      <c r="C291" s="10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O291" s="10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ht="15.75" thickBot="1" x14ac:dyDescent="0.3">
      <c r="A292" s="10"/>
      <c r="B292" s="28" t="s">
        <v>4</v>
      </c>
      <c r="C292" s="28"/>
      <c r="D292" s="31">
        <f>+D288-D290</f>
        <v>-20739.809999999499</v>
      </c>
      <c r="E292" s="14"/>
      <c r="F292" s="33">
        <f>IF(D$12=0,0,D292/D$12)</f>
        <v>-3.3181601046435499E-2</v>
      </c>
      <c r="G292" s="14"/>
      <c r="H292" s="31">
        <f>+H288-H290</f>
        <v>-77256.332280218892</v>
      </c>
      <c r="I292" s="14"/>
      <c r="J292" s="33">
        <f>IF(H$12=0,0,H292/H$12)</f>
        <v>-0.12460766914063154</v>
      </c>
      <c r="K292" s="16"/>
      <c r="L292" s="31">
        <f>D292-H292</f>
        <v>56516.522280219389</v>
      </c>
      <c r="M292" s="16"/>
      <c r="N292" s="33">
        <f>IF(H292=0,0,L292/H292)</f>
        <v>-0.73154550070053181</v>
      </c>
      <c r="O292" s="29"/>
      <c r="P292" s="31">
        <f>+P288-P290</f>
        <v>86619.650000000023</v>
      </c>
      <c r="Q292" s="14"/>
      <c r="R292" s="33">
        <f>IF(P$12=0,0,P292/P$12)</f>
        <v>1.4535398484063915E-2</v>
      </c>
      <c r="S292" s="14"/>
      <c r="T292" s="31">
        <f>+T288-T290</f>
        <v>86371.00168404961</v>
      </c>
      <c r="U292" s="14"/>
      <c r="V292" s="33">
        <f>IF(T$12=0,0,T292/T$12)</f>
        <v>1.434527078690368E-2</v>
      </c>
      <c r="W292" s="16"/>
      <c r="X292" s="31">
        <f>P292-T292</f>
        <v>248.64831595041323</v>
      </c>
      <c r="Y292" s="16"/>
      <c r="Z292" s="33">
        <f>IF(T292=0,0,X292/T292)</f>
        <v>2.8788402484896951E-3</v>
      </c>
    </row>
    <row r="293" spans="1:26" ht="15.75" thickTop="1" x14ac:dyDescent="0.25">
      <c r="A293" s="9"/>
      <c r="B293" s="9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x14ac:dyDescent="0.25">
      <c r="A294" s="9"/>
      <c r="B294" s="9"/>
      <c r="C294" s="9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ht="15.75" thickBot="1" x14ac:dyDescent="0.3">
      <c r="A295" s="10"/>
      <c r="B295" s="28" t="s">
        <v>5</v>
      </c>
      <c r="C295" s="28"/>
      <c r="D295" s="32">
        <f>SUM(D292:D294)</f>
        <v>-20739.809999999499</v>
      </c>
      <c r="E295" s="14"/>
      <c r="F295" s="34">
        <f>IF(D$12=0,0,D295/D$12)</f>
        <v>-3.3181601046435499E-2</v>
      </c>
      <c r="G295" s="14"/>
      <c r="H295" s="32">
        <f>SUM(H292:H294)</f>
        <v>-77256.332280218892</v>
      </c>
      <c r="I295" s="14"/>
      <c r="J295" s="34">
        <f>IF(H$12=0,0,H295/H$12)</f>
        <v>-0.12460766914063154</v>
      </c>
      <c r="K295" s="16"/>
      <c r="L295" s="32">
        <f>+D295-H295</f>
        <v>56516.522280219389</v>
      </c>
      <c r="M295" s="16"/>
      <c r="N295" s="34">
        <f>IF(H295=0,0,L295/H295)</f>
        <v>-0.73154550070053181</v>
      </c>
      <c r="O295" s="29"/>
      <c r="P295" s="32">
        <f>SUM(P292:P294)</f>
        <v>86619.650000000023</v>
      </c>
      <c r="Q295" s="14"/>
      <c r="R295" s="34">
        <f>IF(P$12=0,0,P295/P$12)</f>
        <v>1.4535398484063915E-2</v>
      </c>
      <c r="S295" s="14"/>
      <c r="T295" s="32">
        <f>SUM(T292:T294)</f>
        <v>86371.00168404961</v>
      </c>
      <c r="U295" s="14"/>
      <c r="V295" s="34">
        <f>IF(T$12=0,0,T295/T$12)</f>
        <v>1.434527078690368E-2</v>
      </c>
      <c r="W295" s="16"/>
      <c r="X295" s="32">
        <f>+P295-T295</f>
        <v>248.64831595041323</v>
      </c>
      <c r="Y295" s="16"/>
      <c r="Z295" s="34">
        <f>IF(T295=0,0,X295/T295)</f>
        <v>2.8788402484896951E-3</v>
      </c>
    </row>
    <row r="296" spans="1:26" ht="15.75" thickTop="1" x14ac:dyDescent="0.25">
      <c r="A296" s="9"/>
      <c r="C296" s="9"/>
      <c r="D296" s="17"/>
      <c r="E296" s="17"/>
      <c r="G296" s="17"/>
      <c r="H296" s="17"/>
      <c r="I296" s="17"/>
      <c r="J296" s="43"/>
      <c r="K296" s="17"/>
      <c r="L296" s="17"/>
      <c r="M296" s="17"/>
      <c r="P296" s="17"/>
      <c r="Q296" s="17"/>
      <c r="R296" s="43"/>
      <c r="S296" s="17"/>
      <c r="T296" s="17"/>
      <c r="U296" s="17"/>
      <c r="V296" s="43"/>
      <c r="W296" s="17"/>
      <c r="X296" s="17"/>
    </row>
    <row r="297" spans="1:26" x14ac:dyDescent="0.25">
      <c r="A297" s="9"/>
      <c r="B297" s="60">
        <v>43791.347667013892</v>
      </c>
      <c r="D297" s="17"/>
      <c r="E297" s="17"/>
      <c r="G297" s="17"/>
      <c r="H297" s="17"/>
      <c r="I297" s="17"/>
      <c r="J297" s="43"/>
      <c r="K297" s="17"/>
      <c r="L297" s="17"/>
      <c r="M297" s="17"/>
      <c r="P297" s="17"/>
      <c r="Q297" s="17"/>
      <c r="R297" s="43"/>
      <c r="S297" s="17"/>
      <c r="T297" s="17"/>
      <c r="U297" s="17"/>
      <c r="V297" s="43"/>
      <c r="W297" s="17"/>
      <c r="X297" s="17"/>
    </row>
    <row r="298" spans="1:26" x14ac:dyDescent="0.25">
      <c r="A298" s="9"/>
      <c r="B298" s="54" t="s">
        <v>314</v>
      </c>
      <c r="D298" s="17"/>
      <c r="E298" s="17"/>
      <c r="G298" s="17"/>
      <c r="H298" s="17"/>
      <c r="I298" s="17"/>
      <c r="J298" s="43"/>
      <c r="K298" s="17"/>
      <c r="L298" s="17"/>
      <c r="M298" s="17"/>
      <c r="P298" s="17"/>
      <c r="Q298" s="17"/>
      <c r="R298" s="43"/>
      <c r="S298" s="17"/>
      <c r="T298" s="17"/>
      <c r="U298" s="17"/>
      <c r="V298" s="43"/>
      <c r="W298" s="17"/>
      <c r="X298" s="17"/>
    </row>
    <row r="299" spans="1:26" x14ac:dyDescent="0.25">
      <c r="A299" s="9"/>
      <c r="B299" s="55"/>
      <c r="D299" s="17"/>
      <c r="E299" s="17"/>
      <c r="G299" s="17"/>
      <c r="H299" s="17"/>
      <c r="I299" s="17"/>
      <c r="J299" s="43"/>
      <c r="K299" s="17"/>
      <c r="L299" s="17"/>
      <c r="M299" s="17"/>
      <c r="P299" s="17"/>
      <c r="Q299" s="17"/>
      <c r="R299" s="43"/>
      <c r="S299" s="17"/>
      <c r="T299" s="17"/>
      <c r="U299" s="17"/>
      <c r="V299" s="43"/>
      <c r="W299" s="17"/>
      <c r="X299" s="17"/>
    </row>
    <row r="300" spans="1:26" x14ac:dyDescent="0.25">
      <c r="D300" s="17"/>
      <c r="E300" s="17"/>
      <c r="G300" s="17"/>
      <c r="H300" s="17"/>
      <c r="I300" s="17"/>
      <c r="J300" s="43"/>
      <c r="K300" s="17"/>
      <c r="L300" s="17"/>
      <c r="M300" s="17"/>
      <c r="P300" s="17"/>
      <c r="Q300" s="17"/>
      <c r="R300" s="43"/>
      <c r="S300" s="17"/>
      <c r="T300" s="17"/>
      <c r="U300" s="17"/>
      <c r="V300" s="43"/>
      <c r="W300" s="17"/>
      <c r="X300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","301", " - ", "Bookstore")</f>
        <v>Department 301 - Bookstore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134428.11000000002</v>
      </c>
      <c r="E18" s="21"/>
      <c r="F18" s="35">
        <f t="shared" ref="F18:F28" si="0">IF(D$12=0,0,D18/D$12)</f>
        <v>0</v>
      </c>
      <c r="G18" s="21"/>
      <c r="H18" s="21">
        <f>SUM(OSRRefH22x_0)</f>
        <v>140426.76915545866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-5998.6591554586485</v>
      </c>
      <c r="M18" s="4"/>
      <c r="N18" s="35">
        <f t="shared" ref="N18:N28" si="3">IF(H18=0,0,L18/H18)</f>
        <v>-4.2717347921163572E-2</v>
      </c>
      <c r="O18" s="10"/>
      <c r="P18" s="21">
        <f>SUM(OSRRefP22x_0)</f>
        <v>560007.17000000004</v>
      </c>
      <c r="Q18" s="21"/>
      <c r="R18" s="35">
        <f t="shared" ref="R18:R28" si="4">IF(P$12=0,0,P18/P$12)</f>
        <v>0</v>
      </c>
      <c r="S18" s="21"/>
      <c r="T18" s="21">
        <f>SUM(OSRRefT22x_0)</f>
        <v>612506.98287715111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-52499.812877151067</v>
      </c>
      <c r="Y18" s="4"/>
      <c r="Z18" s="35">
        <f t="shared" ref="Z18:Z28" si="7">IF(T18=0,0,X18/T18)</f>
        <v>-8.5713003026580706E-2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17675.87</v>
      </c>
      <c r="E19" s="1"/>
      <c r="F19" s="5">
        <f t="shared" si="0"/>
        <v>0</v>
      </c>
      <c r="G19" s="1"/>
      <c r="H19" s="1">
        <f>SUM(OSRRefH22_0x_0)</f>
        <v>14922.054118920178</v>
      </c>
      <c r="I19" s="1"/>
      <c r="J19" s="5">
        <f t="shared" si="1"/>
        <v>0</v>
      </c>
      <c r="K19" s="1"/>
      <c r="L19" s="1">
        <f t="shared" si="2"/>
        <v>2753.8158810798213</v>
      </c>
      <c r="M19" s="1"/>
      <c r="N19" s="5">
        <f t="shared" si="3"/>
        <v>0.18454670242672319</v>
      </c>
      <c r="O19" s="13"/>
      <c r="P19" s="1">
        <f>SUM(OSRRefP22_0x_0)</f>
        <v>62105.83</v>
      </c>
      <c r="Q19" s="1"/>
      <c r="R19" s="5">
        <f t="shared" si="4"/>
        <v>0</v>
      </c>
      <c r="S19" s="1"/>
      <c r="T19" s="1">
        <f>SUM(OSRRefT22_0x_0)</f>
        <v>57900.151245612637</v>
      </c>
      <c r="U19" s="1"/>
      <c r="V19" s="5">
        <f t="shared" si="5"/>
        <v>0</v>
      </c>
      <c r="W19" s="1"/>
      <c r="X19" s="1">
        <f t="shared" si="6"/>
        <v>4205.6787543873652</v>
      </c>
      <c r="Y19" s="1"/>
      <c r="Z19" s="5">
        <f t="shared" si="7"/>
        <v>7.2636749022413807E-2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5518.7</v>
      </c>
      <c r="E20" s="2"/>
      <c r="F20" s="7">
        <f t="shared" si="0"/>
        <v>0</v>
      </c>
      <c r="G20" s="2"/>
      <c r="H20" s="6">
        <v>2474.8899019586497</v>
      </c>
      <c r="I20" s="2"/>
      <c r="J20" s="7">
        <f t="shared" si="1"/>
        <v>0</v>
      </c>
      <c r="K20" s="2"/>
      <c r="L20" s="6">
        <f t="shared" si="2"/>
        <v>3043.8100980413501</v>
      </c>
      <c r="M20" s="2"/>
      <c r="N20" s="7">
        <f t="shared" si="3"/>
        <v>1.2298769717523401</v>
      </c>
      <c r="O20" s="11"/>
      <c r="P20" s="6">
        <v>14538.22</v>
      </c>
      <c r="Q20" s="2"/>
      <c r="R20" s="7">
        <f t="shared" si="4"/>
        <v>0</v>
      </c>
      <c r="S20" s="2"/>
      <c r="T20" s="6">
        <v>10310.84881455114</v>
      </c>
      <c r="U20" s="2"/>
      <c r="V20" s="7">
        <f t="shared" si="5"/>
        <v>0</v>
      </c>
      <c r="W20" s="2"/>
      <c r="X20" s="6">
        <f t="shared" si="6"/>
        <v>4227.3711854488593</v>
      </c>
      <c r="Y20" s="2"/>
      <c r="Z20" s="7">
        <f t="shared" si="7"/>
        <v>0.40999254876892388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-12.72</v>
      </c>
      <c r="E21" s="2"/>
      <c r="F21" s="7">
        <f t="shared" si="0"/>
        <v>0</v>
      </c>
      <c r="G21" s="2"/>
      <c r="H21" s="6">
        <v>1037.37758182692</v>
      </c>
      <c r="I21" s="2"/>
      <c r="J21" s="7">
        <f t="shared" si="1"/>
        <v>0</v>
      </c>
      <c r="K21" s="2"/>
      <c r="L21" s="6">
        <f t="shared" si="2"/>
        <v>-1050.0975818269201</v>
      </c>
      <c r="M21" s="2"/>
      <c r="N21" s="7">
        <f t="shared" si="3"/>
        <v>-1.0122616877623274</v>
      </c>
      <c r="O21" s="11"/>
      <c r="P21" s="6">
        <v>2222.29</v>
      </c>
      <c r="Q21" s="2"/>
      <c r="R21" s="7">
        <f t="shared" si="4"/>
        <v>0</v>
      </c>
      <c r="S21" s="2"/>
      <c r="T21" s="6">
        <v>3916.8405445769199</v>
      </c>
      <c r="U21" s="2"/>
      <c r="V21" s="7">
        <f t="shared" si="5"/>
        <v>0</v>
      </c>
      <c r="W21" s="2"/>
      <c r="X21" s="6">
        <f t="shared" si="6"/>
        <v>-1694.5505445769199</v>
      </c>
      <c r="Y21" s="2"/>
      <c r="Z21" s="7">
        <f t="shared" si="7"/>
        <v>-0.43263199645007705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4075.74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-1604.5100000000002</v>
      </c>
      <c r="M22" s="2"/>
      <c r="N22" s="7">
        <f t="shared" si="3"/>
        <v>-0.28247172219532596</v>
      </c>
      <c r="O22" s="11"/>
      <c r="P22" s="6">
        <v>21105.15</v>
      </c>
      <c r="Q22" s="2"/>
      <c r="R22" s="7">
        <f t="shared" si="4"/>
        <v>0</v>
      </c>
      <c r="S22" s="2"/>
      <c r="T22" s="6">
        <v>22721</v>
      </c>
      <c r="U22" s="2"/>
      <c r="V22" s="7">
        <f t="shared" si="5"/>
        <v>0</v>
      </c>
      <c r="W22" s="2"/>
      <c r="X22" s="6">
        <f t="shared" si="6"/>
        <v>-1615.8499999999985</v>
      </c>
      <c r="Y22" s="2"/>
      <c r="Z22" s="7">
        <f t="shared" si="7"/>
        <v>-7.1117028299810689E-2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193.32</v>
      </c>
      <c r="E23" s="2"/>
      <c r="F23" s="7">
        <f t="shared" si="0"/>
        <v>0</v>
      </c>
      <c r="G23" s="2"/>
      <c r="H23" s="6">
        <v>141.95693224999999</v>
      </c>
      <c r="I23" s="2"/>
      <c r="J23" s="7">
        <f t="shared" si="1"/>
        <v>0</v>
      </c>
      <c r="K23" s="2"/>
      <c r="L23" s="6">
        <f t="shared" si="2"/>
        <v>51.363067749999999</v>
      </c>
      <c r="M23" s="2"/>
      <c r="N23" s="7">
        <f t="shared" si="3"/>
        <v>0.36182148300827344</v>
      </c>
      <c r="O23" s="11"/>
      <c r="P23" s="6">
        <v>624.91999999999996</v>
      </c>
      <c r="Q23" s="2"/>
      <c r="R23" s="7">
        <f t="shared" si="4"/>
        <v>0</v>
      </c>
      <c r="S23" s="2"/>
      <c r="T23" s="6">
        <v>535.98870609999994</v>
      </c>
      <c r="U23" s="2"/>
      <c r="V23" s="7">
        <f t="shared" si="5"/>
        <v>0</v>
      </c>
      <c r="W23" s="2"/>
      <c r="X23" s="6">
        <f t="shared" si="6"/>
        <v>88.931293900000014</v>
      </c>
      <c r="Y23" s="2"/>
      <c r="Z23" s="7">
        <f t="shared" si="7"/>
        <v>0.16592008915092329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3953.22</v>
      </c>
      <c r="E24" s="2"/>
      <c r="F24" s="7">
        <f t="shared" si="0"/>
        <v>0</v>
      </c>
      <c r="G24" s="2"/>
      <c r="H24" s="6">
        <v>2202.7554182692297</v>
      </c>
      <c r="I24" s="2"/>
      <c r="J24" s="7">
        <f t="shared" si="1"/>
        <v>0</v>
      </c>
      <c r="K24" s="2"/>
      <c r="L24" s="6">
        <f t="shared" si="2"/>
        <v>1750.4645817307701</v>
      </c>
      <c r="M24" s="2"/>
      <c r="N24" s="7">
        <f t="shared" si="3"/>
        <v>0.79467042378502561</v>
      </c>
      <c r="O24" s="11"/>
      <c r="P24" s="6">
        <v>9257.86</v>
      </c>
      <c r="Q24" s="2"/>
      <c r="R24" s="7">
        <f t="shared" si="4"/>
        <v>0</v>
      </c>
      <c r="S24" s="2"/>
      <c r="T24" s="6">
        <v>7929.9195057692195</v>
      </c>
      <c r="U24" s="2"/>
      <c r="V24" s="7">
        <f t="shared" si="5"/>
        <v>0</v>
      </c>
      <c r="W24" s="2"/>
      <c r="X24" s="6">
        <f t="shared" si="6"/>
        <v>1327.940494230781</v>
      </c>
      <c r="Y24" s="2"/>
      <c r="Z24" s="7">
        <f t="shared" si="7"/>
        <v>0.16745951749758245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2316.9299999999998</v>
      </c>
      <c r="E26" s="2"/>
      <c r="F26" s="7">
        <f t="shared" si="0"/>
        <v>0</v>
      </c>
      <c r="G26" s="2"/>
      <c r="H26" s="6">
        <v>1548.60050480769</v>
      </c>
      <c r="I26" s="2"/>
      <c r="J26" s="7">
        <f t="shared" si="1"/>
        <v>0</v>
      </c>
      <c r="K26" s="2"/>
      <c r="L26" s="6">
        <f t="shared" si="2"/>
        <v>768.32949519230988</v>
      </c>
      <c r="M26" s="2"/>
      <c r="N26" s="7">
        <f t="shared" si="3"/>
        <v>0.49614441736716564</v>
      </c>
      <c r="O26" s="11"/>
      <c r="P26" s="6">
        <v>7922.05</v>
      </c>
      <c r="Q26" s="2"/>
      <c r="R26" s="7">
        <f t="shared" si="4"/>
        <v>0</v>
      </c>
      <c r="S26" s="2"/>
      <c r="T26" s="6">
        <v>5574.9618173076797</v>
      </c>
      <c r="U26" s="2"/>
      <c r="V26" s="7">
        <f t="shared" si="5"/>
        <v>0</v>
      </c>
      <c r="W26" s="2"/>
      <c r="X26" s="6">
        <f t="shared" si="6"/>
        <v>2347.0881826923205</v>
      </c>
      <c r="Y26" s="2"/>
      <c r="Z26" s="7">
        <f t="shared" si="7"/>
        <v>0.42100524803698147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1342.66</v>
      </c>
      <c r="E27" s="2"/>
      <c r="F27" s="7">
        <f t="shared" si="0"/>
        <v>0</v>
      </c>
      <c r="G27" s="2"/>
      <c r="H27" s="6">
        <v>1336.2237798076899</v>
      </c>
      <c r="I27" s="2"/>
      <c r="J27" s="7">
        <f t="shared" si="1"/>
        <v>0</v>
      </c>
      <c r="K27" s="2"/>
      <c r="L27" s="6">
        <f t="shared" si="2"/>
        <v>6.436220192310202</v>
      </c>
      <c r="M27" s="2"/>
      <c r="N27" s="7">
        <f t="shared" si="3"/>
        <v>4.8167232836078596E-3</v>
      </c>
      <c r="O27" s="11"/>
      <c r="P27" s="6">
        <v>4916.75</v>
      </c>
      <c r="Q27" s="2"/>
      <c r="R27" s="7">
        <f t="shared" si="4"/>
        <v>0</v>
      </c>
      <c r="S27" s="2"/>
      <c r="T27" s="6">
        <v>4910.5918573076797</v>
      </c>
      <c r="U27" s="2"/>
      <c r="V27" s="7">
        <f t="shared" si="5"/>
        <v>0</v>
      </c>
      <c r="W27" s="2"/>
      <c r="X27" s="6">
        <f t="shared" si="6"/>
        <v>6.1581426923203253</v>
      </c>
      <c r="Y27" s="2"/>
      <c r="Z27" s="7">
        <f t="shared" si="7"/>
        <v>1.2540530492584326E-3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288.02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-211.98000000000002</v>
      </c>
      <c r="M28" s="2"/>
      <c r="N28" s="7">
        <f t="shared" si="3"/>
        <v>-0.42396000000000006</v>
      </c>
      <c r="O28" s="11"/>
      <c r="P28" s="6">
        <v>1518.59</v>
      </c>
      <c r="Q28" s="2"/>
      <c r="R28" s="7">
        <f t="shared" si="4"/>
        <v>0</v>
      </c>
      <c r="S28" s="2"/>
      <c r="T28" s="6">
        <v>2000</v>
      </c>
      <c r="U28" s="2"/>
      <c r="V28" s="7">
        <f t="shared" si="5"/>
        <v>0</v>
      </c>
      <c r="W28" s="2"/>
      <c r="X28" s="6">
        <f t="shared" si="6"/>
        <v>-481.41000000000008</v>
      </c>
      <c r="Y28" s="2"/>
      <c r="Z28" s="7">
        <f t="shared" si="7"/>
        <v>-0.24070500000000003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46328.160000000003</v>
      </c>
      <c r="E29" s="1"/>
      <c r="F29" s="5">
        <f t="shared" ref="F29:F39" si="8">IF(D$12=0,0,D29/D$12)</f>
        <v>0</v>
      </c>
      <c r="G29" s="1"/>
      <c r="H29" s="1">
        <f>SUM(OSRRefH22_1x_0)</f>
        <v>51835.715036538502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-5507.5550365384988</v>
      </c>
      <c r="M29" s="1"/>
      <c r="N29" s="5">
        <f t="shared" ref="N29:N39" si="11">IF(H29=0,0,L29/H29)</f>
        <v>-0.10625019897297212</v>
      </c>
      <c r="O29" s="13"/>
      <c r="P29" s="1">
        <f>SUM(OSRRefP22_1x_0)</f>
        <v>212318.2</v>
      </c>
      <c r="Q29" s="1"/>
      <c r="R29" s="5">
        <f t="shared" ref="R29:R39" si="12">IF(P$12=0,0,P29/P$12)</f>
        <v>0</v>
      </c>
      <c r="S29" s="1"/>
      <c r="T29" s="1">
        <f>SUM(OSRRefT22_1x_0)</f>
        <v>196176.83163153855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16141.368368461466</v>
      </c>
      <c r="Y29" s="1"/>
      <c r="Z29" s="5">
        <f t="shared" ref="Z29:Z39" si="15">IF(T29=0,0,X29/T29)</f>
        <v>8.2279687332183854E-2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12324.99</v>
      </c>
      <c r="E30" s="2"/>
      <c r="F30" s="7">
        <f t="shared" si="8"/>
        <v>0</v>
      </c>
      <c r="G30" s="2"/>
      <c r="H30" s="6">
        <v>12056.793749999999</v>
      </c>
      <c r="I30" s="2"/>
      <c r="J30" s="7">
        <f t="shared" si="9"/>
        <v>0</v>
      </c>
      <c r="K30" s="2"/>
      <c r="L30" s="6">
        <f t="shared" si="10"/>
        <v>268.19625000000087</v>
      </c>
      <c r="M30" s="2"/>
      <c r="N30" s="7">
        <f t="shared" si="11"/>
        <v>2.2244408883580754E-2</v>
      </c>
      <c r="O30" s="11"/>
      <c r="P30" s="6">
        <v>46083.689999999995</v>
      </c>
      <c r="Q30" s="2"/>
      <c r="R30" s="7">
        <f t="shared" si="12"/>
        <v>0</v>
      </c>
      <c r="S30" s="2"/>
      <c r="T30" s="6">
        <v>43404.457499999997</v>
      </c>
      <c r="U30" s="2"/>
      <c r="V30" s="7">
        <f t="shared" si="13"/>
        <v>0</v>
      </c>
      <c r="W30" s="2"/>
      <c r="X30" s="6">
        <f t="shared" si="14"/>
        <v>2679.2324999999983</v>
      </c>
      <c r="Y30" s="2"/>
      <c r="Z30" s="7">
        <f t="shared" si="15"/>
        <v>6.1727127910768113E-2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9380.98</v>
      </c>
      <c r="E31" s="2"/>
      <c r="F31" s="7">
        <f t="shared" si="8"/>
        <v>0</v>
      </c>
      <c r="G31" s="2"/>
      <c r="H31" s="6">
        <v>10995.297836538501</v>
      </c>
      <c r="I31" s="2"/>
      <c r="J31" s="7">
        <f t="shared" si="9"/>
        <v>0</v>
      </c>
      <c r="K31" s="2"/>
      <c r="L31" s="6">
        <f t="shared" si="10"/>
        <v>-1614.3178365385011</v>
      </c>
      <c r="M31" s="2"/>
      <c r="N31" s="7">
        <f t="shared" si="11"/>
        <v>-0.14681892755773815</v>
      </c>
      <c r="O31" s="11"/>
      <c r="P31" s="6">
        <v>36247.97</v>
      </c>
      <c r="Q31" s="2"/>
      <c r="R31" s="7">
        <f t="shared" si="12"/>
        <v>0</v>
      </c>
      <c r="S31" s="2"/>
      <c r="T31" s="6">
        <v>39583.072211538543</v>
      </c>
      <c r="U31" s="2"/>
      <c r="V31" s="7">
        <f t="shared" si="13"/>
        <v>0</v>
      </c>
      <c r="W31" s="2"/>
      <c r="X31" s="6">
        <f t="shared" si="14"/>
        <v>-3335.1022115385422</v>
      </c>
      <c r="Y31" s="2"/>
      <c r="Z31" s="7">
        <f t="shared" si="15"/>
        <v>-8.4255769580370093E-2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6523.62345</v>
      </c>
      <c r="I33" s="2"/>
      <c r="J33" s="7">
        <f t="shared" si="9"/>
        <v>0</v>
      </c>
      <c r="K33" s="2"/>
      <c r="L33" s="6">
        <f t="shared" si="10"/>
        <v>-6523.62345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24309.301920000002</v>
      </c>
      <c r="U33" s="2"/>
      <c r="V33" s="7">
        <f t="shared" si="13"/>
        <v>0</v>
      </c>
      <c r="W33" s="2"/>
      <c r="X33" s="6">
        <f t="shared" si="14"/>
        <v>-25956.31192</v>
      </c>
      <c r="Y33" s="2"/>
      <c r="Z33" s="7">
        <f t="shared" si="15"/>
        <v>-1.0677522540721316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8592.99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8592.99</v>
      </c>
      <c r="M34" s="2"/>
      <c r="N34" s="7">
        <f t="shared" si="11"/>
        <v>0</v>
      </c>
      <c r="O34" s="11"/>
      <c r="P34" s="6">
        <v>32760.560000000001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32760.560000000001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2659.25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2659.25</v>
      </c>
      <c r="M35" s="2"/>
      <c r="N35" s="7">
        <f t="shared" si="11"/>
        <v>0</v>
      </c>
      <c r="O35" s="11"/>
      <c r="P35" s="6">
        <v>9495.26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9495.26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13369.95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13369.95</v>
      </c>
      <c r="M36" s="2"/>
      <c r="N36" s="7">
        <f t="shared" si="11"/>
        <v>0</v>
      </c>
      <c r="O36" s="11"/>
      <c r="P36" s="6">
        <v>88825.73000000001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71365.73000000001</v>
      </c>
      <c r="Y36" s="2"/>
      <c r="Z36" s="7">
        <f t="shared" si="15"/>
        <v>4.0873843069874001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22260</v>
      </c>
      <c r="I37" s="2"/>
      <c r="J37" s="7">
        <f t="shared" si="9"/>
        <v>0</v>
      </c>
      <c r="K37" s="2"/>
      <c r="L37" s="6">
        <f t="shared" si="10"/>
        <v>-22260</v>
      </c>
      <c r="M37" s="2"/>
      <c r="N37" s="7">
        <f t="shared" si="11"/>
        <v>-1</v>
      </c>
      <c r="O37" s="11"/>
      <c r="P37" s="6">
        <v>552</v>
      </c>
      <c r="Q37" s="2"/>
      <c r="R37" s="7">
        <f t="shared" si="12"/>
        <v>0</v>
      </c>
      <c r="S37" s="2"/>
      <c r="T37" s="6">
        <v>71420</v>
      </c>
      <c r="U37" s="2"/>
      <c r="V37" s="7">
        <f t="shared" si="13"/>
        <v>0</v>
      </c>
      <c r="W37" s="2"/>
      <c r="X37" s="6">
        <f t="shared" si="14"/>
        <v>-70868</v>
      </c>
      <c r="Y37" s="2"/>
      <c r="Z37" s="7">
        <f t="shared" si="15"/>
        <v>-0.99227107252870339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6536.5</v>
      </c>
      <c r="E40" s="1"/>
      <c r="F40" s="5">
        <f t="shared" ref="F40:F44" si="16">IF(D$12=0,0,D40/D$12)</f>
        <v>0</v>
      </c>
      <c r="G40" s="1"/>
      <c r="H40" s="1">
        <f>SUM(OSRRefH22_2x_0)</f>
        <v>6200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336.5</v>
      </c>
      <c r="M40" s="1"/>
      <c r="N40" s="5">
        <f t="shared" ref="N40:N44" si="19">IF(H40=0,0,L40/H40)</f>
        <v>5.4274193548387098E-2</v>
      </c>
      <c r="O40" s="13"/>
      <c r="P40" s="1">
        <f>SUM(OSRRefP22_2x_0)</f>
        <v>7332.55</v>
      </c>
      <c r="Q40" s="1"/>
      <c r="R40" s="5">
        <f t="shared" ref="R40:R44" si="20">IF(P$12=0,0,P40/P$12)</f>
        <v>0</v>
      </c>
      <c r="S40" s="1"/>
      <c r="T40" s="1">
        <f>SUM(OSRRefT22_2x_0)</f>
        <v>13800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-6467.45</v>
      </c>
      <c r="Y40" s="1"/>
      <c r="Z40" s="5">
        <f t="shared" ref="Z40:Z44" si="23">IF(T40=0,0,X40/T40)</f>
        <v>-0.46865579710144928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6536.5</v>
      </c>
      <c r="E41" s="2"/>
      <c r="F41" s="7">
        <f t="shared" si="16"/>
        <v>0</v>
      </c>
      <c r="G41" s="2"/>
      <c r="H41" s="6">
        <v>6200</v>
      </c>
      <c r="I41" s="2"/>
      <c r="J41" s="7">
        <f t="shared" si="17"/>
        <v>0</v>
      </c>
      <c r="K41" s="2"/>
      <c r="L41" s="6">
        <f t="shared" si="18"/>
        <v>336.5</v>
      </c>
      <c r="M41" s="2"/>
      <c r="N41" s="7">
        <f t="shared" si="19"/>
        <v>5.4274193548387098E-2</v>
      </c>
      <c r="O41" s="11"/>
      <c r="P41" s="6">
        <v>7332.55</v>
      </c>
      <c r="Q41" s="2"/>
      <c r="R41" s="7">
        <f t="shared" si="20"/>
        <v>0</v>
      </c>
      <c r="S41" s="2"/>
      <c r="T41" s="6">
        <v>13800</v>
      </c>
      <c r="U41" s="2"/>
      <c r="V41" s="7">
        <f t="shared" si="21"/>
        <v>0</v>
      </c>
      <c r="W41" s="2"/>
      <c r="X41" s="6">
        <f t="shared" si="22"/>
        <v>-6467.45</v>
      </c>
      <c r="Y41" s="2"/>
      <c r="Z41" s="7">
        <f t="shared" si="23"/>
        <v>-0.46865579710144928</v>
      </c>
    </row>
    <row r="42" spans="1:26" s="26" customFormat="1" outlineLevel="1" collapsed="1" x14ac:dyDescent="0.25">
      <c r="A42" s="25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102.46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-22.540000000000006</v>
      </c>
      <c r="M42" s="1"/>
      <c r="N42" s="5">
        <f t="shared" si="19"/>
        <v>-0.18032000000000006</v>
      </c>
      <c r="O42" s="13"/>
      <c r="P42" s="1">
        <f>SUM(OSRRefP22_3x_0)</f>
        <v>-53.120000000000005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-553.12</v>
      </c>
      <c r="Y42" s="1"/>
      <c r="Z42" s="5">
        <f t="shared" si="23"/>
        <v>-1.1062400000000001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>
        <v>57.66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-67.34</v>
      </c>
      <c r="M43" s="2"/>
      <c r="N43" s="7">
        <f t="shared" si="19"/>
        <v>-0.53871999999999998</v>
      </c>
      <c r="O43" s="11"/>
      <c r="P43" s="6">
        <v>-97.92</v>
      </c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-597.91999999999996</v>
      </c>
      <c r="Y43" s="2"/>
      <c r="Z43" s="7">
        <f t="shared" si="23"/>
        <v>-1.19584</v>
      </c>
    </row>
    <row r="44" spans="1:26" s="24" customFormat="1" hidden="1" outlineLevel="2" x14ac:dyDescent="0.25">
      <c r="A44" s="27"/>
      <c r="B44" s="11" t="str">
        <f>CONCATENATE("          ", "6342", " - ", "BAD DEBT")</f>
        <v xml:space="preserve">          6342 - BAD DEBT</v>
      </c>
      <c r="C44" s="11"/>
      <c r="D44" s="6">
        <v>44.8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44.8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6" customFormat="1" outlineLevel="1" collapsed="1" x14ac:dyDescent="0.25">
      <c r="A45" s="25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10525.5</v>
      </c>
      <c r="E45" s="1"/>
      <c r="F45" s="5">
        <f t="shared" ref="F45:F51" si="24">IF(D$12=0,0,D45/D$12)</f>
        <v>0</v>
      </c>
      <c r="G45" s="1"/>
      <c r="H45" s="1">
        <f>SUM(OSRRefH22_4x_0)</f>
        <v>10000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525.5</v>
      </c>
      <c r="M45" s="1"/>
      <c r="N45" s="5">
        <f t="shared" ref="N45:N51" si="27">IF(H45=0,0,L45/H45)</f>
        <v>5.2549999999999999E-2</v>
      </c>
      <c r="O45" s="13"/>
      <c r="P45" s="1">
        <f>SUM(OSRRefP22_4x_0)</f>
        <v>68759.78</v>
      </c>
      <c r="Q45" s="1"/>
      <c r="R45" s="5">
        <f t="shared" ref="R45:R51" si="28">IF(P$12=0,0,P45/P$12)</f>
        <v>0</v>
      </c>
      <c r="S45" s="1"/>
      <c r="T45" s="1">
        <f>SUM(OSRRefT22_4x_0)</f>
        <v>72400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-3640.2200000000012</v>
      </c>
      <c r="Y45" s="1"/>
      <c r="Z45" s="5">
        <f t="shared" ref="Z45:Z51" si="31">IF(T45=0,0,X45/T45)</f>
        <v>-5.0279281767955819E-2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10525.5</v>
      </c>
      <c r="E46" s="2"/>
      <c r="F46" s="7">
        <f t="shared" si="24"/>
        <v>0</v>
      </c>
      <c r="G46" s="2"/>
      <c r="H46" s="6">
        <v>10000</v>
      </c>
      <c r="I46" s="2"/>
      <c r="J46" s="7">
        <f t="shared" si="25"/>
        <v>0</v>
      </c>
      <c r="K46" s="2"/>
      <c r="L46" s="6">
        <f t="shared" si="26"/>
        <v>525.5</v>
      </c>
      <c r="M46" s="2"/>
      <c r="N46" s="7">
        <f t="shared" si="27"/>
        <v>5.2549999999999999E-2</v>
      </c>
      <c r="O46" s="11"/>
      <c r="P46" s="6">
        <v>68759.78</v>
      </c>
      <c r="Q46" s="2"/>
      <c r="R46" s="7">
        <f t="shared" si="28"/>
        <v>0</v>
      </c>
      <c r="S46" s="2"/>
      <c r="T46" s="6">
        <v>72400</v>
      </c>
      <c r="U46" s="2"/>
      <c r="V46" s="7">
        <f t="shared" si="29"/>
        <v>0</v>
      </c>
      <c r="W46" s="2"/>
      <c r="X46" s="6">
        <f t="shared" si="30"/>
        <v>-3640.2200000000012</v>
      </c>
      <c r="Y46" s="2"/>
      <c r="Z46" s="7">
        <f t="shared" si="31"/>
        <v>-5.0279281767955819E-2</v>
      </c>
    </row>
    <row r="47" spans="1:26" s="26" customFormat="1" outlineLevel="1" collapsed="1" x14ac:dyDescent="0.25">
      <c r="A47" s="25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29607.43</v>
      </c>
      <c r="E47" s="1"/>
      <c r="F47" s="5">
        <f t="shared" si="24"/>
        <v>0</v>
      </c>
      <c r="G47" s="1"/>
      <c r="H47" s="1">
        <f>SUM(OSRRefH22_5x_0)</f>
        <v>30479</v>
      </c>
      <c r="I47" s="1"/>
      <c r="J47" s="5">
        <f t="shared" si="25"/>
        <v>0</v>
      </c>
      <c r="K47" s="1"/>
      <c r="L47" s="1">
        <f t="shared" si="26"/>
        <v>-871.56999999999971</v>
      </c>
      <c r="M47" s="1"/>
      <c r="N47" s="5">
        <f t="shared" si="27"/>
        <v>-2.8595754453886273E-2</v>
      </c>
      <c r="O47" s="13"/>
      <c r="P47" s="1">
        <f>SUM(OSRRefP22_5x_0)</f>
        <v>118429.72</v>
      </c>
      <c r="Q47" s="1"/>
      <c r="R47" s="5">
        <f t="shared" si="28"/>
        <v>0</v>
      </c>
      <c r="S47" s="1"/>
      <c r="T47" s="1">
        <f>SUM(OSRRefT22_5x_0)</f>
        <v>121085</v>
      </c>
      <c r="U47" s="1"/>
      <c r="V47" s="5">
        <f t="shared" si="29"/>
        <v>0</v>
      </c>
      <c r="W47" s="1"/>
      <c r="X47" s="1">
        <f t="shared" si="30"/>
        <v>-2655.2799999999988</v>
      </c>
      <c r="Y47" s="1"/>
      <c r="Z47" s="5">
        <f t="shared" si="31"/>
        <v>-2.1929058099682031E-2</v>
      </c>
    </row>
    <row r="48" spans="1:26" s="24" customFormat="1" hidden="1" outlineLevel="2" x14ac:dyDescent="0.25">
      <c r="A48" s="27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65586.080000000002</v>
      </c>
      <c r="Q48" s="2"/>
      <c r="R48" s="7">
        <f t="shared" si="28"/>
        <v>0</v>
      </c>
      <c r="S48" s="2"/>
      <c r="T48" s="6">
        <v>65756</v>
      </c>
      <c r="U48" s="2"/>
      <c r="V48" s="7">
        <f t="shared" si="29"/>
        <v>0</v>
      </c>
      <c r="W48" s="2"/>
      <c r="X48" s="6">
        <f t="shared" si="30"/>
        <v>-169.91999999999825</v>
      </c>
      <c r="Y48" s="2"/>
      <c r="Z48" s="7">
        <f t="shared" si="31"/>
        <v>-2.5840987894640527E-3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13210.91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161.90999999999985</v>
      </c>
      <c r="M49" s="2"/>
      <c r="N49" s="7">
        <f t="shared" si="27"/>
        <v>1.2407847344624098E-2</v>
      </c>
      <c r="O49" s="11"/>
      <c r="P49" s="6">
        <v>52843.64</v>
      </c>
      <c r="Q49" s="2"/>
      <c r="R49" s="7">
        <f t="shared" si="28"/>
        <v>0</v>
      </c>
      <c r="S49" s="2"/>
      <c r="T49" s="6">
        <v>52196</v>
      </c>
      <c r="U49" s="2"/>
      <c r="V49" s="7">
        <f t="shared" si="29"/>
        <v>0</v>
      </c>
      <c r="W49" s="2"/>
      <c r="X49" s="6">
        <f t="shared" si="30"/>
        <v>647.63999999999942</v>
      </c>
      <c r="Y49" s="2"/>
      <c r="Z49" s="7">
        <f t="shared" si="31"/>
        <v>1.2407847344624098E-2</v>
      </c>
    </row>
    <row r="50" spans="1:26" s="24" customFormat="1" hidden="1" outlineLevel="2" x14ac:dyDescent="0.25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700</v>
      </c>
      <c r="I50" s="2"/>
      <c r="J50" s="7">
        <f t="shared" si="25"/>
        <v>0</v>
      </c>
      <c r="K50" s="2"/>
      <c r="L50" s="6">
        <f t="shared" si="26"/>
        <v>-700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2800</v>
      </c>
      <c r="U50" s="2"/>
      <c r="V50" s="7">
        <f t="shared" si="29"/>
        <v>0</v>
      </c>
      <c r="W50" s="2"/>
      <c r="X50" s="6">
        <f t="shared" si="30"/>
        <v>-2800</v>
      </c>
      <c r="Y50" s="2"/>
      <c r="Z50" s="7">
        <f t="shared" si="31"/>
        <v>-1</v>
      </c>
    </row>
    <row r="51" spans="1:26" s="24" customFormat="1" hidden="1" outlineLevel="2" x14ac:dyDescent="0.25">
      <c r="A51" s="27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333</v>
      </c>
      <c r="U51" s="2"/>
      <c r="V51" s="7">
        <f t="shared" si="29"/>
        <v>0</v>
      </c>
      <c r="W51" s="2"/>
      <c r="X51" s="6">
        <f t="shared" si="30"/>
        <v>-333</v>
      </c>
      <c r="Y51" s="2"/>
      <c r="Z51" s="7">
        <f t="shared" si="31"/>
        <v>-1</v>
      </c>
    </row>
    <row r="52" spans="1:26" s="26" customFormat="1" outlineLevel="1" collapsed="1" x14ac:dyDescent="0.25">
      <c r="A52" s="25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-283.99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116.00999999999999</v>
      </c>
      <c r="M52" s="1"/>
      <c r="N52" s="5">
        <f t="shared" ref="N52:N54" si="35">IF(H52=0,0,L52/H52)</f>
        <v>-0.29002499999999998</v>
      </c>
      <c r="O52" s="13"/>
      <c r="P52" s="1">
        <f>SUM(OSRRefP22_6x_0)</f>
        <v>-1157.6799999999998</v>
      </c>
      <c r="Q52" s="1"/>
      <c r="R52" s="5">
        <f t="shared" ref="R52:R54" si="36">IF(P$12=0,0,P52/P$12)</f>
        <v>0</v>
      </c>
      <c r="S52" s="1"/>
      <c r="T52" s="1">
        <f>SUM(OSRRefT22_6x_0)</f>
        <v>-1600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442.32000000000016</v>
      </c>
      <c r="Y52" s="1"/>
      <c r="Z52" s="5">
        <f t="shared" ref="Z52:Z54" si="39">IF(T52=0,0,X52/T52)</f>
        <v>-0.27645000000000008</v>
      </c>
    </row>
    <row r="53" spans="1:26" s="24" customFormat="1" hidden="1" outlineLevel="2" x14ac:dyDescent="0.25">
      <c r="A53" s="27"/>
      <c r="B53" s="11" t="str">
        <f>CONCATENATE("          ", "6382", " - ", "DISCOUNTS/MARK DOWNS")</f>
        <v xml:space="preserve">          6382 - DISCOUNTS/MARK DOWNS</v>
      </c>
      <c r="C53" s="11"/>
      <c r="D53" s="6">
        <v>140.9</v>
      </c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540.9</v>
      </c>
      <c r="M53" s="2"/>
      <c r="N53" s="7">
        <f t="shared" si="35"/>
        <v>-1.35225</v>
      </c>
      <c r="O53" s="11"/>
      <c r="P53" s="6">
        <v>330.4</v>
      </c>
      <c r="Q53" s="2"/>
      <c r="R53" s="7">
        <f t="shared" si="36"/>
        <v>0</v>
      </c>
      <c r="S53" s="2"/>
      <c r="T53" s="6">
        <v>-1600</v>
      </c>
      <c r="U53" s="2"/>
      <c r="V53" s="7">
        <f t="shared" si="37"/>
        <v>0</v>
      </c>
      <c r="W53" s="2"/>
      <c r="X53" s="6">
        <f t="shared" si="38"/>
        <v>1930.4</v>
      </c>
      <c r="Y53" s="2"/>
      <c r="Z53" s="7">
        <f t="shared" si="39"/>
        <v>-1.2065000000000001</v>
      </c>
    </row>
    <row r="54" spans="1:26" s="24" customFormat="1" hidden="1" outlineLevel="2" x14ac:dyDescent="0.25">
      <c r="A54" s="27"/>
      <c r="B54" s="11" t="str">
        <f>CONCATENATE("          ", "9175", " - ", "EARNED DISCOUNTS")</f>
        <v xml:space="preserve">          9175 - EARNED DISCOUNTS</v>
      </c>
      <c r="C54" s="11"/>
      <c r="D54" s="6">
        <v>-424.89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-424.89</v>
      </c>
      <c r="M54" s="2"/>
      <c r="N54" s="7">
        <f t="shared" si="35"/>
        <v>0</v>
      </c>
      <c r="O54" s="11"/>
      <c r="P54" s="6">
        <v>-1488.08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-1488.08</v>
      </c>
      <c r="Y54" s="2"/>
      <c r="Z54" s="7">
        <f t="shared" si="39"/>
        <v>0</v>
      </c>
    </row>
    <row r="55" spans="1:26" s="26" customFormat="1" outlineLevel="1" collapsed="1" x14ac:dyDescent="0.25">
      <c r="A55" s="25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1006.14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6.1399999999999864</v>
      </c>
      <c r="M55" s="1"/>
      <c r="N55" s="5">
        <f t="shared" ref="N55:N57" si="43">IF(H55=0,0,L55/H55)</f>
        <v>6.1399999999999866E-3</v>
      </c>
      <c r="O55" s="13"/>
      <c r="P55" s="1">
        <f>SUM(OSRRefP22_7x_0)</f>
        <v>6231.48</v>
      </c>
      <c r="Q55" s="1"/>
      <c r="R55" s="5">
        <f t="shared" ref="R55:R57" si="44">IF(P$12=0,0,P55/P$12)</f>
        <v>0</v>
      </c>
      <c r="S55" s="1"/>
      <c r="T55" s="1">
        <f>SUM(OSRRefT22_7x_0)</f>
        <v>4000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2231.4799999999996</v>
      </c>
      <c r="Y55" s="1"/>
      <c r="Z55" s="5">
        <f t="shared" ref="Z55:Z57" si="47">IF(T55=0,0,X55/T55)</f>
        <v>0.55786999999999987</v>
      </c>
    </row>
    <row r="56" spans="1:26" s="24" customFormat="1" hidden="1" outlineLevel="2" x14ac:dyDescent="0.25">
      <c r="A56" s="27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4000</v>
      </c>
      <c r="U56" s="2"/>
      <c r="V56" s="7">
        <f t="shared" si="45"/>
        <v>0</v>
      </c>
      <c r="W56" s="2"/>
      <c r="X56" s="6">
        <f t="shared" si="46"/>
        <v>-4000</v>
      </c>
      <c r="Y56" s="2"/>
      <c r="Z56" s="7">
        <f t="shared" si="47"/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1006.14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1006.14</v>
      </c>
      <c r="M57" s="2"/>
      <c r="N57" s="7">
        <f t="shared" si="43"/>
        <v>0</v>
      </c>
      <c r="O57" s="11"/>
      <c r="P57" s="6">
        <v>6231.48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6231.48</v>
      </c>
      <c r="Y57" s="2"/>
      <c r="Z57" s="7">
        <f t="shared" si="47"/>
        <v>0</v>
      </c>
    </row>
    <row r="58" spans="1:26" s="26" customFormat="1" outlineLevel="1" collapsed="1" x14ac:dyDescent="0.25">
      <c r="A58" s="25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0</v>
      </c>
      <c r="E58" s="1"/>
      <c r="F58" s="5">
        <f t="shared" ref="F58:F75" si="48">IF(D$12=0,0,D58/D$12)</f>
        <v>0</v>
      </c>
      <c r="G58" s="1"/>
      <c r="H58" s="1">
        <f>SUM(OSRRefH22_8x_0)</f>
        <v>200</v>
      </c>
      <c r="I58" s="1"/>
      <c r="J58" s="5">
        <f t="shared" ref="J58:J75" si="49">IF(H$12=0,0,H58/H$12)</f>
        <v>0</v>
      </c>
      <c r="K58" s="1"/>
      <c r="L58" s="1">
        <f t="shared" ref="L58:L75" si="50">+D58-H58</f>
        <v>-200</v>
      </c>
      <c r="M58" s="1"/>
      <c r="N58" s="5">
        <f t="shared" ref="N58:N75" si="51">IF(H58=0,0,L58/H58)</f>
        <v>-1</v>
      </c>
      <c r="O58" s="13"/>
      <c r="P58" s="1">
        <f>SUM(OSRRefP22_8x_0)</f>
        <v>451.22</v>
      </c>
      <c r="Q58" s="1"/>
      <c r="R58" s="5">
        <f t="shared" ref="R58:R75" si="52">IF(P$12=0,0,P58/P$12)</f>
        <v>0</v>
      </c>
      <c r="S58" s="1"/>
      <c r="T58" s="1">
        <f>SUM(OSRRefT22_8x_0)</f>
        <v>800</v>
      </c>
      <c r="U58" s="1"/>
      <c r="V58" s="5">
        <f t="shared" ref="V58:V75" si="53">IF(T$12=0,0,T58/T$12)</f>
        <v>0</v>
      </c>
      <c r="W58" s="1"/>
      <c r="X58" s="1">
        <f t="shared" ref="X58:X75" si="54">+P58-T58</f>
        <v>-348.78</v>
      </c>
      <c r="Y58" s="1"/>
      <c r="Z58" s="5">
        <f t="shared" ref="Z58:Z75" si="55">IF(T58=0,0,X58/T58)</f>
        <v>-0.43597499999999995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-200</v>
      </c>
      <c r="M59" s="2"/>
      <c r="N59" s="7">
        <f t="shared" si="51"/>
        <v>-1</v>
      </c>
      <c r="O59" s="11"/>
      <c r="P59" s="6">
        <v>451.22</v>
      </c>
      <c r="Q59" s="2"/>
      <c r="R59" s="7">
        <f t="shared" si="52"/>
        <v>0</v>
      </c>
      <c r="S59" s="2"/>
      <c r="T59" s="6">
        <v>800</v>
      </c>
      <c r="U59" s="2"/>
      <c r="V59" s="7">
        <f t="shared" si="53"/>
        <v>0</v>
      </c>
      <c r="W59" s="2"/>
      <c r="X59" s="6">
        <f t="shared" si="54"/>
        <v>-348.78</v>
      </c>
      <c r="Y59" s="2"/>
      <c r="Z59" s="7">
        <f t="shared" si="55"/>
        <v>-0.43597499999999995</v>
      </c>
    </row>
    <row r="60" spans="1:26" s="26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14.39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-15.61</v>
      </c>
      <c r="M60" s="1"/>
      <c r="N60" s="5">
        <f t="shared" si="51"/>
        <v>-0.52033333333333331</v>
      </c>
      <c r="O60" s="13"/>
      <c r="P60" s="1">
        <f>SUM(OSRRefP22_9x_0)</f>
        <v>14.39</v>
      </c>
      <c r="Q60" s="1"/>
      <c r="R60" s="5">
        <f t="shared" si="52"/>
        <v>0</v>
      </c>
      <c r="S60" s="1"/>
      <c r="T60" s="1">
        <f>SUM(OSRRefT22_9x_0)</f>
        <v>120</v>
      </c>
      <c r="U60" s="1"/>
      <c r="V60" s="5">
        <f t="shared" si="53"/>
        <v>0</v>
      </c>
      <c r="W60" s="1"/>
      <c r="X60" s="1">
        <f t="shared" si="54"/>
        <v>-105.61</v>
      </c>
      <c r="Y60" s="1"/>
      <c r="Z60" s="5">
        <f t="shared" si="55"/>
        <v>-0.88008333333333333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>
        <v>14.39</v>
      </c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-15.61</v>
      </c>
      <c r="M61" s="2"/>
      <c r="N61" s="7">
        <f t="shared" si="51"/>
        <v>-0.52033333333333331</v>
      </c>
      <c r="O61" s="11"/>
      <c r="P61" s="6">
        <v>14.39</v>
      </c>
      <c r="Q61" s="2"/>
      <c r="R61" s="7">
        <f t="shared" si="52"/>
        <v>0</v>
      </c>
      <c r="S61" s="2"/>
      <c r="T61" s="6">
        <v>120</v>
      </c>
      <c r="U61" s="2"/>
      <c r="V61" s="7">
        <f t="shared" si="53"/>
        <v>0</v>
      </c>
      <c r="W61" s="2"/>
      <c r="X61" s="6">
        <f t="shared" si="54"/>
        <v>-105.61</v>
      </c>
      <c r="Y61" s="2"/>
      <c r="Z61" s="7">
        <f t="shared" si="55"/>
        <v>-0.88008333333333333</v>
      </c>
    </row>
    <row r="62" spans="1:26" s="26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-100</v>
      </c>
      <c r="M62" s="1"/>
      <c r="N62" s="5">
        <f t="shared" si="51"/>
        <v>-1</v>
      </c>
      <c r="O62" s="13"/>
      <c r="P62" s="1">
        <f>SUM(OSRRefP22_10x_0)</f>
        <v>-14984.3</v>
      </c>
      <c r="Q62" s="1"/>
      <c r="R62" s="5">
        <f t="shared" si="52"/>
        <v>0</v>
      </c>
      <c r="S62" s="1"/>
      <c r="T62" s="1">
        <f>SUM(OSRRefT22_10x_0)</f>
        <v>400</v>
      </c>
      <c r="U62" s="1"/>
      <c r="V62" s="5">
        <f t="shared" si="53"/>
        <v>0</v>
      </c>
      <c r="W62" s="1"/>
      <c r="X62" s="1">
        <f t="shared" si="54"/>
        <v>-15384.3</v>
      </c>
      <c r="Y62" s="1"/>
      <c r="Z62" s="5">
        <f t="shared" si="55"/>
        <v>-38.460749999999997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-100</v>
      </c>
      <c r="M63" s="2"/>
      <c r="N63" s="7">
        <f t="shared" si="51"/>
        <v>-1</v>
      </c>
      <c r="O63" s="11"/>
      <c r="P63" s="6">
        <v>-14984.3</v>
      </c>
      <c r="Q63" s="2"/>
      <c r="R63" s="7">
        <f t="shared" si="52"/>
        <v>0</v>
      </c>
      <c r="S63" s="2"/>
      <c r="T63" s="6">
        <v>400</v>
      </c>
      <c r="U63" s="2"/>
      <c r="V63" s="7">
        <f t="shared" si="53"/>
        <v>0</v>
      </c>
      <c r="W63" s="2"/>
      <c r="X63" s="6">
        <f t="shared" si="54"/>
        <v>-15384.3</v>
      </c>
      <c r="Y63" s="2"/>
      <c r="Z63" s="7">
        <f t="shared" si="55"/>
        <v>-38.460749999999997</v>
      </c>
    </row>
    <row r="64" spans="1:26" s="26" customFormat="1" outlineLevel="1" collapsed="1" x14ac:dyDescent="0.25">
      <c r="A64" s="25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15534.24</v>
      </c>
      <c r="Q64" s="1"/>
      <c r="R64" s="5">
        <f t="shared" si="52"/>
        <v>0</v>
      </c>
      <c r="S64" s="1"/>
      <c r="T64" s="1">
        <f>SUM(OSRRefT22_11x_0)</f>
        <v>14640</v>
      </c>
      <c r="U64" s="1"/>
      <c r="V64" s="5">
        <f t="shared" si="53"/>
        <v>0</v>
      </c>
      <c r="W64" s="1"/>
      <c r="X64" s="1">
        <f t="shared" si="54"/>
        <v>894.23999999999978</v>
      </c>
      <c r="Y64" s="1"/>
      <c r="Z64" s="5">
        <f t="shared" si="55"/>
        <v>6.1081967213114742E-2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15534.24</v>
      </c>
      <c r="Q65" s="2"/>
      <c r="R65" s="7">
        <f t="shared" si="52"/>
        <v>0</v>
      </c>
      <c r="S65" s="2"/>
      <c r="T65" s="6">
        <v>14640</v>
      </c>
      <c r="U65" s="2"/>
      <c r="V65" s="7">
        <f t="shared" si="53"/>
        <v>0</v>
      </c>
      <c r="W65" s="2"/>
      <c r="X65" s="6">
        <f t="shared" si="54"/>
        <v>894.23999999999978</v>
      </c>
      <c r="Y65" s="2"/>
      <c r="Z65" s="7">
        <f t="shared" si="55"/>
        <v>6.1081967213114742E-2</v>
      </c>
    </row>
    <row r="66" spans="1:26" s="26" customFormat="1" outlineLevel="1" collapsed="1" x14ac:dyDescent="0.25">
      <c r="A66" s="25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6" customFormat="1" outlineLevel="1" collapsed="1" x14ac:dyDescent="0.25">
      <c r="A68" s="25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3600</v>
      </c>
      <c r="U68" s="1"/>
      <c r="V68" s="5">
        <f t="shared" si="53"/>
        <v>0</v>
      </c>
      <c r="W68" s="1"/>
      <c r="X68" s="1">
        <f t="shared" si="54"/>
        <v>1058.4099999999999</v>
      </c>
      <c r="Y68" s="1"/>
      <c r="Z68" s="5">
        <f t="shared" si="55"/>
        <v>0.29400277777777772</v>
      </c>
    </row>
    <row r="69" spans="1:26" s="24" customFormat="1" hidden="1" outlineLevel="2" x14ac:dyDescent="0.25">
      <c r="A69" s="27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3600</v>
      </c>
      <c r="U69" s="2"/>
      <c r="V69" s="7">
        <f t="shared" si="53"/>
        <v>0</v>
      </c>
      <c r="W69" s="2"/>
      <c r="X69" s="6">
        <f t="shared" si="54"/>
        <v>1058.4099999999999</v>
      </c>
      <c r="Y69" s="2"/>
      <c r="Z69" s="7">
        <f t="shared" si="55"/>
        <v>0.29400277777777772</v>
      </c>
    </row>
    <row r="70" spans="1:26" s="26" customFormat="1" outlineLevel="1" collapsed="1" x14ac:dyDescent="0.25">
      <c r="A70" s="25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-3200</v>
      </c>
      <c r="Q70" s="1"/>
      <c r="R70" s="5">
        <f t="shared" si="52"/>
        <v>0</v>
      </c>
      <c r="S70" s="1"/>
      <c r="T70" s="1">
        <f>SUM(OSRRefT22_14x_0)</f>
        <v>-3200</v>
      </c>
      <c r="U70" s="1"/>
      <c r="V70" s="5">
        <f t="shared" si="53"/>
        <v>0</v>
      </c>
      <c r="W70" s="1"/>
      <c r="X70" s="1">
        <f t="shared" si="54"/>
        <v>0</v>
      </c>
      <c r="Y70" s="1"/>
      <c r="Z70" s="5">
        <f t="shared" si="55"/>
        <v>0</v>
      </c>
    </row>
    <row r="71" spans="1:26" s="24" customFormat="1" hidden="1" outlineLevel="2" x14ac:dyDescent="0.25">
      <c r="A71" s="27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-3200</v>
      </c>
      <c r="Q71" s="2"/>
      <c r="R71" s="7">
        <f t="shared" si="52"/>
        <v>0</v>
      </c>
      <c r="S71" s="2"/>
      <c r="T71" s="6">
        <v>-3200</v>
      </c>
      <c r="U71" s="2"/>
      <c r="V71" s="7">
        <f t="shared" si="53"/>
        <v>0</v>
      </c>
      <c r="W71" s="2"/>
      <c r="X71" s="6">
        <f t="shared" si="54"/>
        <v>0</v>
      </c>
      <c r="Y71" s="2"/>
      <c r="Z71" s="7">
        <f t="shared" si="55"/>
        <v>0</v>
      </c>
    </row>
    <row r="72" spans="1:26" s="26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6605.9800000000005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-394.01999999999953</v>
      </c>
      <c r="M72" s="1"/>
      <c r="N72" s="5">
        <f t="shared" si="51"/>
        <v>-5.6288571428571361E-2</v>
      </c>
      <c r="O72" s="13"/>
      <c r="P72" s="1">
        <f>SUM(OSRRefP22_15x_0)</f>
        <v>36418.400000000001</v>
      </c>
      <c r="Q72" s="1"/>
      <c r="R72" s="5">
        <f t="shared" si="52"/>
        <v>0</v>
      </c>
      <c r="S72" s="1"/>
      <c r="T72" s="1">
        <f>SUM(OSRRefT22_15x_0)</f>
        <v>70285</v>
      </c>
      <c r="U72" s="1"/>
      <c r="V72" s="5">
        <f t="shared" si="53"/>
        <v>0</v>
      </c>
      <c r="W72" s="1"/>
      <c r="X72" s="1">
        <f t="shared" si="54"/>
        <v>-33866.6</v>
      </c>
      <c r="Y72" s="1"/>
      <c r="Z72" s="5">
        <f t="shared" si="55"/>
        <v>-0.48184676673543431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601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601</v>
      </c>
      <c r="M73" s="2"/>
      <c r="N73" s="7">
        <f t="shared" si="51"/>
        <v>0</v>
      </c>
      <c r="O73" s="11"/>
      <c r="P73" s="6">
        <v>12751.4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-35783.599999999999</v>
      </c>
      <c r="Y73" s="2"/>
      <c r="Z73" s="7">
        <f t="shared" si="55"/>
        <v>-0.73727413206964043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6">
        <v>1598.05</v>
      </c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1598.05</v>
      </c>
      <c r="M74" s="2"/>
      <c r="N74" s="7">
        <f t="shared" si="51"/>
        <v>0</v>
      </c>
      <c r="O74" s="11"/>
      <c r="P74" s="6">
        <v>2114.0500000000002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2114.0500000000002</v>
      </c>
      <c r="Y74" s="2"/>
      <c r="Z74" s="7">
        <f t="shared" si="55"/>
        <v>0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4406.93</v>
      </c>
      <c r="E75" s="2"/>
      <c r="F75" s="7">
        <f t="shared" si="48"/>
        <v>0</v>
      </c>
      <c r="G75" s="2"/>
      <c r="H75" s="6">
        <v>7000</v>
      </c>
      <c r="I75" s="2"/>
      <c r="J75" s="7">
        <f t="shared" si="49"/>
        <v>0</v>
      </c>
      <c r="K75" s="2"/>
      <c r="L75" s="6">
        <f t="shared" si="50"/>
        <v>-2593.0699999999997</v>
      </c>
      <c r="M75" s="2"/>
      <c r="N75" s="7">
        <f t="shared" si="51"/>
        <v>-0.37043857142857139</v>
      </c>
      <c r="O75" s="11"/>
      <c r="P75" s="6">
        <v>21552.95</v>
      </c>
      <c r="Q75" s="2"/>
      <c r="R75" s="7">
        <f t="shared" si="52"/>
        <v>0</v>
      </c>
      <c r="S75" s="2"/>
      <c r="T75" s="6">
        <v>21750</v>
      </c>
      <c r="U75" s="2"/>
      <c r="V75" s="7">
        <f t="shared" si="53"/>
        <v>0</v>
      </c>
      <c r="W75" s="2"/>
      <c r="X75" s="6">
        <f t="shared" si="54"/>
        <v>-197.04999999999927</v>
      </c>
      <c r="Y75" s="2"/>
      <c r="Z75" s="7">
        <f t="shared" si="55"/>
        <v>-9.0597701149424947E-3</v>
      </c>
    </row>
    <row r="76" spans="1:26" s="26" customFormat="1" outlineLevel="1" collapsed="1" x14ac:dyDescent="0.25">
      <c r="A76" s="25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SUM(OSRRefD22_16x_0)</f>
        <v>4058.93</v>
      </c>
      <c r="E76" s="1"/>
      <c r="F76" s="5">
        <f t="shared" ref="F76:F79" si="56">IF(D$12=0,0,D76/D$12)</f>
        <v>0</v>
      </c>
      <c r="G76" s="1"/>
      <c r="H76" s="1">
        <f>SUM(OSRRefH22_16x_0)</f>
        <v>4100</v>
      </c>
      <c r="I76" s="1"/>
      <c r="J76" s="5">
        <f t="shared" ref="J76:J79" si="57">IF(H$12=0,0,H76/H$12)</f>
        <v>0</v>
      </c>
      <c r="K76" s="1"/>
      <c r="L76" s="1">
        <f t="shared" ref="L76:L79" si="58">+D76-H76</f>
        <v>-41.070000000000164</v>
      </c>
      <c r="M76" s="1"/>
      <c r="N76" s="5">
        <f t="shared" ref="N76:N79" si="59">IF(H76=0,0,L76/H76)</f>
        <v>-1.0017073170731748E-2</v>
      </c>
      <c r="O76" s="13"/>
      <c r="P76" s="1">
        <f>SUM(OSRRefP22_16x_0)</f>
        <v>15866.05</v>
      </c>
      <c r="Q76" s="1"/>
      <c r="R76" s="5">
        <f t="shared" ref="R76:R79" si="60">IF(P$12=0,0,P76/P$12)</f>
        <v>0</v>
      </c>
      <c r="S76" s="1"/>
      <c r="T76" s="1">
        <f>SUM(OSRRefT22_16x_0)</f>
        <v>16400</v>
      </c>
      <c r="U76" s="1"/>
      <c r="V76" s="5">
        <f t="shared" ref="V76:V79" si="61">IF(T$12=0,0,T76/T$12)</f>
        <v>0</v>
      </c>
      <c r="W76" s="1"/>
      <c r="X76" s="1">
        <f t="shared" ref="X76:X79" si="62">+P76-T76</f>
        <v>-533.95000000000073</v>
      </c>
      <c r="Y76" s="1"/>
      <c r="Z76" s="5">
        <f t="shared" ref="Z76:Z79" si="63">IF(T76=0,0,X76/T76)</f>
        <v>-3.2557926829268335E-2</v>
      </c>
    </row>
    <row r="77" spans="1:26" s="24" customFormat="1" hidden="1" outlineLevel="2" x14ac:dyDescent="0.25">
      <c r="A77" s="27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222.5</v>
      </c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222.5</v>
      </c>
      <c r="M77" s="2"/>
      <c r="N77" s="7">
        <f t="shared" si="59"/>
        <v>0</v>
      </c>
      <c r="O77" s="11"/>
      <c r="P77" s="6">
        <v>890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890</v>
      </c>
      <c r="Y77" s="2"/>
      <c r="Z77" s="7">
        <f t="shared" si="63"/>
        <v>0</v>
      </c>
    </row>
    <row r="78" spans="1:26" s="24" customFormat="1" hidden="1" outlineLevel="2" x14ac:dyDescent="0.25">
      <c r="A78" s="27"/>
      <c r="B78" s="11" t="str">
        <f>CONCATENATE("          ", "6283", " - ", "PLANT SERVICE")</f>
        <v xml:space="preserve">          6283 - PLANT SERVICE</v>
      </c>
      <c r="C78" s="11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1"/>
      <c r="P78" s="6">
        <v>363.33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363.33</v>
      </c>
      <c r="Y78" s="2"/>
      <c r="Z78" s="7">
        <f t="shared" si="63"/>
        <v>0</v>
      </c>
    </row>
    <row r="79" spans="1:26" s="24" customFormat="1" hidden="1" outlineLevel="2" x14ac:dyDescent="0.25">
      <c r="A79" s="27"/>
      <c r="B79" s="11" t="str">
        <f>CONCATENATE("          ", "6285", " - ", "JANITORIAL SERVICES")</f>
        <v xml:space="preserve">          6285 - JANITORIAL SERVICES</v>
      </c>
      <c r="C79" s="11"/>
      <c r="D79" s="6">
        <v>3836.43</v>
      </c>
      <c r="E79" s="2"/>
      <c r="F79" s="7">
        <f t="shared" si="56"/>
        <v>0</v>
      </c>
      <c r="G79" s="2"/>
      <c r="H79" s="6">
        <v>4100</v>
      </c>
      <c r="I79" s="2"/>
      <c r="J79" s="7">
        <f t="shared" si="57"/>
        <v>0</v>
      </c>
      <c r="K79" s="2"/>
      <c r="L79" s="6">
        <f t="shared" si="58"/>
        <v>-263.57000000000016</v>
      </c>
      <c r="M79" s="2"/>
      <c r="N79" s="7">
        <f t="shared" si="59"/>
        <v>-6.4285365853658571E-2</v>
      </c>
      <c r="O79" s="11"/>
      <c r="P79" s="6">
        <v>14612.72</v>
      </c>
      <c r="Q79" s="2"/>
      <c r="R79" s="7">
        <f t="shared" si="60"/>
        <v>0</v>
      </c>
      <c r="S79" s="2"/>
      <c r="T79" s="6">
        <v>16400</v>
      </c>
      <c r="U79" s="2"/>
      <c r="V79" s="7">
        <f t="shared" si="61"/>
        <v>0</v>
      </c>
      <c r="W79" s="2"/>
      <c r="X79" s="6">
        <f t="shared" si="62"/>
        <v>-1787.2800000000007</v>
      </c>
      <c r="Y79" s="2"/>
      <c r="Z79" s="7">
        <f t="shared" si="63"/>
        <v>-0.1089804878048781</v>
      </c>
    </row>
    <row r="80" spans="1:26" s="26" customFormat="1" outlineLevel="1" collapsed="1" x14ac:dyDescent="0.25">
      <c r="A80" s="25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SUM(OSRRefD22_17x_0)</f>
        <v>0</v>
      </c>
      <c r="E80" s="1"/>
      <c r="F80" s="5">
        <f t="shared" ref="F80:F82" si="64">IF(D$12=0,0,D80/D$12)</f>
        <v>0</v>
      </c>
      <c r="G80" s="1"/>
      <c r="H80" s="1">
        <f>SUM(OSRRefH22_17x_0)</f>
        <v>200</v>
      </c>
      <c r="I80" s="1"/>
      <c r="J80" s="5">
        <f t="shared" ref="J80:J82" si="65">IF(H$12=0,0,H80/H$12)</f>
        <v>0</v>
      </c>
      <c r="K80" s="1"/>
      <c r="L80" s="1">
        <f t="shared" ref="L80:L82" si="66">+D80-H80</f>
        <v>-200</v>
      </c>
      <c r="M80" s="1"/>
      <c r="N80" s="5">
        <f t="shared" ref="N80:N82" si="67">IF(H80=0,0,L80/H80)</f>
        <v>-1</v>
      </c>
      <c r="O80" s="13"/>
      <c r="P80" s="1">
        <f>SUM(OSRRefP22_17x_0)</f>
        <v>479.94</v>
      </c>
      <c r="Q80" s="1"/>
      <c r="R80" s="5">
        <f t="shared" ref="R80:R82" si="68">IF(P$12=0,0,P80/P$12)</f>
        <v>0</v>
      </c>
      <c r="S80" s="1"/>
      <c r="T80" s="1">
        <f>SUM(OSRRefT22_17x_0)</f>
        <v>1600</v>
      </c>
      <c r="U80" s="1"/>
      <c r="V80" s="5">
        <f t="shared" ref="V80:V82" si="69">IF(T$12=0,0,T80/T$12)</f>
        <v>0</v>
      </c>
      <c r="W80" s="1"/>
      <c r="X80" s="1">
        <f t="shared" ref="X80:X82" si="70">+P80-T80</f>
        <v>-1120.06</v>
      </c>
      <c r="Y80" s="1"/>
      <c r="Z80" s="5">
        <f t="shared" ref="Z80:Z82" si="71">IF(T80=0,0,X80/T80)</f>
        <v>-0.70003749999999998</v>
      </c>
    </row>
    <row r="81" spans="1:26" s="24" customFormat="1" hidden="1" outlineLevel="2" x14ac:dyDescent="0.25">
      <c r="A81" s="27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64"/>
        <v>0</v>
      </c>
      <c r="G81" s="2"/>
      <c r="H81" s="6">
        <v>200</v>
      </c>
      <c r="I81" s="2"/>
      <c r="J81" s="7">
        <f t="shared" si="65"/>
        <v>0</v>
      </c>
      <c r="K81" s="2"/>
      <c r="L81" s="6">
        <f t="shared" si="66"/>
        <v>-200</v>
      </c>
      <c r="M81" s="2"/>
      <c r="N81" s="7">
        <f t="shared" si="67"/>
        <v>-1</v>
      </c>
      <c r="O81" s="11"/>
      <c r="P81" s="6"/>
      <c r="Q81" s="2"/>
      <c r="R81" s="7">
        <f t="shared" si="68"/>
        <v>0</v>
      </c>
      <c r="S81" s="2"/>
      <c r="T81" s="6">
        <v>1600</v>
      </c>
      <c r="U81" s="2"/>
      <c r="V81" s="7">
        <f t="shared" si="69"/>
        <v>0</v>
      </c>
      <c r="W81" s="2"/>
      <c r="X81" s="6">
        <f t="shared" si="70"/>
        <v>-1600</v>
      </c>
      <c r="Y81" s="2"/>
      <c r="Z81" s="7">
        <f t="shared" si="71"/>
        <v>-1</v>
      </c>
    </row>
    <row r="82" spans="1:26" s="24" customFormat="1" hidden="1" outlineLevel="2" x14ac:dyDescent="0.25">
      <c r="A82" s="27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0</v>
      </c>
      <c r="M82" s="2"/>
      <c r="N82" s="7">
        <f t="shared" si="67"/>
        <v>0</v>
      </c>
      <c r="O82" s="11"/>
      <c r="P82" s="6">
        <v>479.94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479.94</v>
      </c>
      <c r="Y82" s="2"/>
      <c r="Z82" s="7">
        <f t="shared" si="71"/>
        <v>0</v>
      </c>
    </row>
    <row r="83" spans="1:26" s="26" customFormat="1" outlineLevel="1" collapsed="1" x14ac:dyDescent="0.25">
      <c r="A83" s="25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SUM(OSRRefD22_18x_0)</f>
        <v>1139.5999999999999</v>
      </c>
      <c r="E83" s="1"/>
      <c r="F83" s="5">
        <f t="shared" ref="F83:F89" si="72">IF(D$12=0,0,D83/D$12)</f>
        <v>0</v>
      </c>
      <c r="G83" s="1"/>
      <c r="H83" s="1">
        <f>SUM(OSRRefH22_18x_0)</f>
        <v>4250</v>
      </c>
      <c r="I83" s="1"/>
      <c r="J83" s="5">
        <f t="shared" ref="J83:J89" si="73">IF(H$12=0,0,H83/H$12)</f>
        <v>0</v>
      </c>
      <c r="K83" s="1"/>
      <c r="L83" s="1">
        <f t="shared" ref="L83:L89" si="74">+D83-H83</f>
        <v>-3110.4</v>
      </c>
      <c r="M83" s="1"/>
      <c r="N83" s="5">
        <f t="shared" ref="N83:N89" si="75">IF(H83=0,0,L83/H83)</f>
        <v>-0.73185882352941178</v>
      </c>
      <c r="O83" s="13"/>
      <c r="P83" s="1">
        <f>SUM(OSRRefP22_18x_0)</f>
        <v>7801.079999999999</v>
      </c>
      <c r="Q83" s="1"/>
      <c r="R83" s="5">
        <f t="shared" ref="R83:R89" si="76">IF(P$12=0,0,P83/P$12)</f>
        <v>0</v>
      </c>
      <c r="S83" s="1"/>
      <c r="T83" s="1">
        <f>SUM(OSRRefT22_18x_0)</f>
        <v>17100</v>
      </c>
      <c r="U83" s="1"/>
      <c r="V83" s="5">
        <f t="shared" ref="V83:V89" si="77">IF(T$12=0,0,T83/T$12)</f>
        <v>0</v>
      </c>
      <c r="W83" s="1"/>
      <c r="X83" s="1">
        <f t="shared" ref="X83:X89" si="78">+P83-T83</f>
        <v>-9298.9200000000019</v>
      </c>
      <c r="Y83" s="1"/>
      <c r="Z83" s="5">
        <f t="shared" ref="Z83:Z89" si="79">IF(T83=0,0,X83/T83)</f>
        <v>-0.54379649122807028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0</v>
      </c>
      <c r="M84" s="2"/>
      <c r="N84" s="7">
        <f t="shared" si="75"/>
        <v>0</v>
      </c>
      <c r="O84" s="11"/>
      <c r="P84" s="6">
        <v>714.78</v>
      </c>
      <c r="Q84" s="2"/>
      <c r="R84" s="7">
        <f t="shared" si="76"/>
        <v>0</v>
      </c>
      <c r="S84" s="2"/>
      <c r="T84" s="6"/>
      <c r="U84" s="2"/>
      <c r="V84" s="7">
        <f t="shared" si="77"/>
        <v>0</v>
      </c>
      <c r="W84" s="2"/>
      <c r="X84" s="6">
        <f t="shared" si="78"/>
        <v>714.78</v>
      </c>
      <c r="Y84" s="2"/>
      <c r="Z84" s="7">
        <f t="shared" si="79"/>
        <v>0</v>
      </c>
    </row>
    <row r="85" spans="1:26" s="24" customFormat="1" hidden="1" outlineLevel="2" x14ac:dyDescent="0.25">
      <c r="A85" s="27"/>
      <c r="B85" s="11" t="str">
        <f>CONCATENATE("          ", "6237", " - ", "JANITORIAL SUPPLIES")</f>
        <v xml:space="preserve">          6237 - JANITORIAL SUPPLIES</v>
      </c>
      <c r="C85" s="11"/>
      <c r="D85" s="6">
        <v>219.55</v>
      </c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219.55</v>
      </c>
      <c r="M85" s="2"/>
      <c r="N85" s="7">
        <f t="shared" si="75"/>
        <v>0</v>
      </c>
      <c r="O85" s="11"/>
      <c r="P85" s="6">
        <v>1878.5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1878.5</v>
      </c>
      <c r="Y85" s="2"/>
      <c r="Z85" s="7">
        <f t="shared" si="79"/>
        <v>0</v>
      </c>
    </row>
    <row r="86" spans="1:26" s="24" customFormat="1" hidden="1" outlineLevel="2" x14ac:dyDescent="0.25">
      <c r="A86" s="27"/>
      <c r="B86" s="11" t="str">
        <f>CONCATENATE("          ", "6241", " - ", "OFFICE EXPENSE")</f>
        <v xml:space="preserve">          6241 - OFFICE EXPENSE</v>
      </c>
      <c r="C86" s="11"/>
      <c r="D86" s="6">
        <v>840.52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840.52</v>
      </c>
      <c r="M86" s="2"/>
      <c r="N86" s="7">
        <f t="shared" si="75"/>
        <v>0</v>
      </c>
      <c r="O86" s="11"/>
      <c r="P86" s="6">
        <v>5091.46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5091.46</v>
      </c>
      <c r="Y86" s="2"/>
      <c r="Z86" s="7">
        <f t="shared" si="79"/>
        <v>0</v>
      </c>
    </row>
    <row r="87" spans="1:26" s="24" customFormat="1" hidden="1" outlineLevel="2" x14ac:dyDescent="0.25">
      <c r="A87" s="27"/>
      <c r="B87" s="11" t="str">
        <f>CONCATENATE("          ", "6245", " - ", "PRINTING")</f>
        <v xml:space="preserve">          6245 - PRINTING</v>
      </c>
      <c r="C87" s="11"/>
      <c r="D87" s="6"/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0</v>
      </c>
      <c r="M87" s="2"/>
      <c r="N87" s="7">
        <f t="shared" si="75"/>
        <v>0</v>
      </c>
      <c r="O87" s="11"/>
      <c r="P87" s="6">
        <v>19.73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19.73</v>
      </c>
      <c r="Y87" s="2"/>
      <c r="Z87" s="7">
        <f t="shared" si="79"/>
        <v>0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>
        <v>79.53</v>
      </c>
      <c r="E88" s="2"/>
      <c r="F88" s="7">
        <f t="shared" si="72"/>
        <v>0</v>
      </c>
      <c r="G88" s="2"/>
      <c r="H88" s="6">
        <v>3250</v>
      </c>
      <c r="I88" s="2"/>
      <c r="J88" s="7">
        <f t="shared" si="73"/>
        <v>0</v>
      </c>
      <c r="K88" s="2"/>
      <c r="L88" s="6">
        <f t="shared" si="74"/>
        <v>-3170.47</v>
      </c>
      <c r="M88" s="2"/>
      <c r="N88" s="7">
        <f t="shared" si="75"/>
        <v>-0.9755292307692307</v>
      </c>
      <c r="O88" s="11"/>
      <c r="P88" s="6">
        <v>96.61</v>
      </c>
      <c r="Q88" s="2"/>
      <c r="R88" s="7">
        <f t="shared" si="76"/>
        <v>0</v>
      </c>
      <c r="S88" s="2"/>
      <c r="T88" s="6">
        <v>13100</v>
      </c>
      <c r="U88" s="2"/>
      <c r="V88" s="7">
        <f t="shared" si="77"/>
        <v>0</v>
      </c>
      <c r="W88" s="2"/>
      <c r="X88" s="6">
        <f t="shared" si="78"/>
        <v>-13003.39</v>
      </c>
      <c r="Y88" s="2"/>
      <c r="Z88" s="7">
        <f t="shared" si="79"/>
        <v>-0.99262519083969458</v>
      </c>
    </row>
    <row r="89" spans="1:26" s="24" customFormat="1" hidden="1" outlineLevel="2" x14ac:dyDescent="0.25">
      <c r="A89" s="27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72"/>
        <v>0</v>
      </c>
      <c r="G89" s="2"/>
      <c r="H89" s="6">
        <v>1000</v>
      </c>
      <c r="I89" s="2"/>
      <c r="J89" s="7">
        <f t="shared" si="73"/>
        <v>0</v>
      </c>
      <c r="K89" s="2"/>
      <c r="L89" s="6">
        <f t="shared" si="74"/>
        <v>-1000</v>
      </c>
      <c r="M89" s="2"/>
      <c r="N89" s="7">
        <f t="shared" si="75"/>
        <v>-1</v>
      </c>
      <c r="O89" s="11"/>
      <c r="P89" s="6"/>
      <c r="Q89" s="2"/>
      <c r="R89" s="7">
        <f t="shared" si="76"/>
        <v>0</v>
      </c>
      <c r="S89" s="2"/>
      <c r="T89" s="6">
        <v>4000</v>
      </c>
      <c r="U89" s="2"/>
      <c r="V89" s="7">
        <f t="shared" si="77"/>
        <v>0</v>
      </c>
      <c r="W89" s="2"/>
      <c r="X89" s="6">
        <f t="shared" si="78"/>
        <v>-4000</v>
      </c>
      <c r="Y89" s="2"/>
      <c r="Z89" s="7">
        <f t="shared" si="79"/>
        <v>-1</v>
      </c>
    </row>
    <row r="90" spans="1:26" s="26" customFormat="1" outlineLevel="1" collapsed="1" x14ac:dyDescent="0.25">
      <c r="A90" s="25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SUM(OSRRefD22_19x_0)</f>
        <v>528.71</v>
      </c>
      <c r="E90" s="1"/>
      <c r="F90" s="5">
        <f t="shared" ref="F90:F96" si="80">IF(D$12=0,0,D90/D$12)</f>
        <v>0</v>
      </c>
      <c r="G90" s="1"/>
      <c r="H90" s="1">
        <f>SUM(OSRRefH22_19x_0)</f>
        <v>500</v>
      </c>
      <c r="I90" s="1"/>
      <c r="J90" s="5">
        <f t="shared" ref="J90:J96" si="81">IF(H$12=0,0,H90/H$12)</f>
        <v>0</v>
      </c>
      <c r="K90" s="1"/>
      <c r="L90" s="1">
        <f t="shared" ref="L90:L96" si="82">+D90-H90</f>
        <v>28.710000000000036</v>
      </c>
      <c r="M90" s="1"/>
      <c r="N90" s="5">
        <f t="shared" ref="N90:N96" si="83">IF(H90=0,0,L90/H90)</f>
        <v>5.7420000000000075E-2</v>
      </c>
      <c r="O90" s="13"/>
      <c r="P90" s="1">
        <f>SUM(OSRRefP22_19x_0)</f>
        <v>2132.79</v>
      </c>
      <c r="Q90" s="1"/>
      <c r="R90" s="5">
        <f t="shared" ref="R90:R96" si="84">IF(P$12=0,0,P90/P$12)</f>
        <v>0</v>
      </c>
      <c r="S90" s="1"/>
      <c r="T90" s="1">
        <f>SUM(OSRRefT22_19x_0)</f>
        <v>2000</v>
      </c>
      <c r="U90" s="1"/>
      <c r="V90" s="5">
        <f t="shared" ref="V90:V96" si="85">IF(T$12=0,0,T90/T$12)</f>
        <v>0</v>
      </c>
      <c r="W90" s="1"/>
      <c r="X90" s="1">
        <f t="shared" ref="X90:X96" si="86">+P90-T90</f>
        <v>132.78999999999996</v>
      </c>
      <c r="Y90" s="1"/>
      <c r="Z90" s="5">
        <f t="shared" ref="Z90:Z96" si="87">IF(T90=0,0,X90/T90)</f>
        <v>6.6394999999999982E-2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6">
        <v>528.71</v>
      </c>
      <c r="E91" s="2"/>
      <c r="F91" s="7">
        <f t="shared" si="80"/>
        <v>0</v>
      </c>
      <c r="G91" s="2"/>
      <c r="H91" s="6">
        <v>500</v>
      </c>
      <c r="I91" s="2"/>
      <c r="J91" s="7">
        <f t="shared" si="81"/>
        <v>0</v>
      </c>
      <c r="K91" s="2"/>
      <c r="L91" s="6">
        <f t="shared" si="82"/>
        <v>28.710000000000036</v>
      </c>
      <c r="M91" s="2"/>
      <c r="N91" s="7">
        <f t="shared" si="83"/>
        <v>5.7420000000000075E-2</v>
      </c>
      <c r="O91" s="11"/>
      <c r="P91" s="6">
        <v>2132.79</v>
      </c>
      <c r="Q91" s="2"/>
      <c r="R91" s="7">
        <f t="shared" si="84"/>
        <v>0</v>
      </c>
      <c r="S91" s="2"/>
      <c r="T91" s="6">
        <v>2000</v>
      </c>
      <c r="U91" s="2"/>
      <c r="V91" s="7">
        <f t="shared" si="85"/>
        <v>0</v>
      </c>
      <c r="W91" s="2"/>
      <c r="X91" s="6">
        <f t="shared" si="86"/>
        <v>132.78999999999996</v>
      </c>
      <c r="Y91" s="2"/>
      <c r="Z91" s="7">
        <f t="shared" si="87"/>
        <v>6.6394999999999982E-2</v>
      </c>
    </row>
    <row r="92" spans="1:26" s="26" customFormat="1" outlineLevel="1" collapsed="1" x14ac:dyDescent="0.25">
      <c r="A92" s="25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SUM(OSRRefD22_20x_0)</f>
        <v>1797.96</v>
      </c>
      <c r="E92" s="1"/>
      <c r="F92" s="5">
        <f t="shared" si="80"/>
        <v>0</v>
      </c>
      <c r="G92" s="1"/>
      <c r="H92" s="1">
        <f>SUM(OSRRefH22_20x_0)</f>
        <v>1125</v>
      </c>
      <c r="I92" s="1"/>
      <c r="J92" s="5">
        <f t="shared" si="81"/>
        <v>0</v>
      </c>
      <c r="K92" s="1"/>
      <c r="L92" s="1">
        <f t="shared" si="82"/>
        <v>672.96</v>
      </c>
      <c r="M92" s="1"/>
      <c r="N92" s="5">
        <f t="shared" si="83"/>
        <v>0.59818666666666664</v>
      </c>
      <c r="O92" s="13"/>
      <c r="P92" s="1">
        <f>SUM(OSRRefP22_20x_0)</f>
        <v>3469.52</v>
      </c>
      <c r="Q92" s="1"/>
      <c r="R92" s="5">
        <f t="shared" si="84"/>
        <v>0</v>
      </c>
      <c r="S92" s="1"/>
      <c r="T92" s="1">
        <f>SUM(OSRRefT22_20x_0)</f>
        <v>4500</v>
      </c>
      <c r="U92" s="1"/>
      <c r="V92" s="5">
        <f t="shared" si="85"/>
        <v>0</v>
      </c>
      <c r="W92" s="1"/>
      <c r="X92" s="1">
        <f t="shared" si="86"/>
        <v>-1030.48</v>
      </c>
      <c r="Y92" s="1"/>
      <c r="Z92" s="5">
        <f t="shared" si="87"/>
        <v>-0.22899555555555556</v>
      </c>
    </row>
    <row r="93" spans="1:26" s="24" customFormat="1" hidden="1" outlineLevel="2" x14ac:dyDescent="0.25">
      <c r="A93" s="27"/>
      <c r="B93" s="11" t="str">
        <f>CONCATENATE("          ", "6376", " - ", "TRAINING")</f>
        <v xml:space="preserve">          6376 - TRAINING</v>
      </c>
      <c r="C93" s="11"/>
      <c r="D93" s="6">
        <v>1797.96</v>
      </c>
      <c r="E93" s="2"/>
      <c r="F93" s="7">
        <f t="shared" si="80"/>
        <v>0</v>
      </c>
      <c r="G93" s="2"/>
      <c r="H93" s="6">
        <v>1125</v>
      </c>
      <c r="I93" s="2"/>
      <c r="J93" s="7">
        <f t="shared" si="81"/>
        <v>0</v>
      </c>
      <c r="K93" s="2"/>
      <c r="L93" s="6">
        <f t="shared" si="82"/>
        <v>672.96</v>
      </c>
      <c r="M93" s="2"/>
      <c r="N93" s="7">
        <f t="shared" si="83"/>
        <v>0.59818666666666664</v>
      </c>
      <c r="O93" s="11"/>
      <c r="P93" s="6">
        <v>3469.52</v>
      </c>
      <c r="Q93" s="2"/>
      <c r="R93" s="7">
        <f t="shared" si="84"/>
        <v>0</v>
      </c>
      <c r="S93" s="2"/>
      <c r="T93" s="6">
        <v>4500</v>
      </c>
      <c r="U93" s="2"/>
      <c r="V93" s="7">
        <f t="shared" si="85"/>
        <v>0</v>
      </c>
      <c r="W93" s="2"/>
      <c r="X93" s="6">
        <f t="shared" si="86"/>
        <v>-1030.48</v>
      </c>
      <c r="Y93" s="2"/>
      <c r="Z93" s="7">
        <f t="shared" si="87"/>
        <v>-0.22899555555555556</v>
      </c>
    </row>
    <row r="94" spans="1:26" s="26" customFormat="1" outlineLevel="1" collapsed="1" x14ac:dyDescent="0.25">
      <c r="A94" s="25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SUM(OSRRefD22_21x_0)</f>
        <v>107.91</v>
      </c>
      <c r="E94" s="1"/>
      <c r="F94" s="5">
        <f t="shared" si="80"/>
        <v>0</v>
      </c>
      <c r="G94" s="1"/>
      <c r="H94" s="1">
        <f>SUM(OSRRefH22_21x_0)</f>
        <v>0</v>
      </c>
      <c r="I94" s="1"/>
      <c r="J94" s="5">
        <f t="shared" si="81"/>
        <v>0</v>
      </c>
      <c r="K94" s="1"/>
      <c r="L94" s="1">
        <f t="shared" si="82"/>
        <v>107.91</v>
      </c>
      <c r="M94" s="1"/>
      <c r="N94" s="5">
        <f t="shared" si="83"/>
        <v>0</v>
      </c>
      <c r="O94" s="13"/>
      <c r="P94" s="1">
        <f>SUM(OSRRefP22_21x_0)</f>
        <v>619.67000000000007</v>
      </c>
      <c r="Q94" s="1"/>
      <c r="R94" s="5">
        <f t="shared" si="84"/>
        <v>0</v>
      </c>
      <c r="S94" s="1"/>
      <c r="T94" s="1">
        <f>SUM(OSRRefT22_21x_0)</f>
        <v>0</v>
      </c>
      <c r="U94" s="1"/>
      <c r="V94" s="5">
        <f t="shared" si="85"/>
        <v>0</v>
      </c>
      <c r="W94" s="1"/>
      <c r="X94" s="1">
        <f t="shared" si="86"/>
        <v>619.67000000000007</v>
      </c>
      <c r="Y94" s="1"/>
      <c r="Z94" s="5">
        <f t="shared" si="87"/>
        <v>0</v>
      </c>
    </row>
    <row r="95" spans="1:26" s="24" customFormat="1" hidden="1" outlineLevel="2" x14ac:dyDescent="0.25">
      <c r="A95" s="27"/>
      <c r="B95" s="11" t="str">
        <f>CONCATENATE("          ", "6292", " - ", "TRAVEL/CONFERENCE")</f>
        <v xml:space="preserve">          6292 - TRAVEL/CONFERENCE</v>
      </c>
      <c r="C95" s="11"/>
      <c r="D95" s="6">
        <v>107.91</v>
      </c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107.91</v>
      </c>
      <c r="M95" s="2"/>
      <c r="N95" s="7">
        <f t="shared" si="83"/>
        <v>0</v>
      </c>
      <c r="O95" s="11"/>
      <c r="P95" s="6">
        <v>449.68</v>
      </c>
      <c r="Q95" s="2"/>
      <c r="R95" s="7">
        <f t="shared" si="84"/>
        <v>0</v>
      </c>
      <c r="S95" s="2"/>
      <c r="T95" s="6"/>
      <c r="U95" s="2"/>
      <c r="V95" s="7">
        <f t="shared" si="85"/>
        <v>0</v>
      </c>
      <c r="W95" s="2"/>
      <c r="X95" s="6">
        <f t="shared" si="86"/>
        <v>449.68</v>
      </c>
      <c r="Y95" s="2"/>
      <c r="Z95" s="7">
        <f t="shared" si="87"/>
        <v>0</v>
      </c>
    </row>
    <row r="96" spans="1:26" s="24" customFormat="1" hidden="1" outlineLevel="2" x14ac:dyDescent="0.25">
      <c r="A96" s="27"/>
      <c r="B96" s="11" t="str">
        <f>CONCATENATE("          ", "6298", " - ", "VEHICLE MILEAGE")</f>
        <v xml:space="preserve">          6298 - VEHICLE MILEAGE</v>
      </c>
      <c r="C96" s="11"/>
      <c r="D96" s="6"/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0</v>
      </c>
      <c r="M96" s="2"/>
      <c r="N96" s="7">
        <f t="shared" si="83"/>
        <v>0</v>
      </c>
      <c r="O96" s="11"/>
      <c r="P96" s="6">
        <v>169.99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169.99</v>
      </c>
      <c r="Y96" s="2"/>
      <c r="Z96" s="7">
        <f t="shared" si="87"/>
        <v>0</v>
      </c>
    </row>
    <row r="97" spans="1:26" s="26" customFormat="1" outlineLevel="1" collapsed="1" x14ac:dyDescent="0.25">
      <c r="A97" s="25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SUM(OSRRefD22_22x_0)</f>
        <v>5593</v>
      </c>
      <c r="E97" s="1"/>
      <c r="F97" s="5">
        <f t="shared" ref="F97:F98" si="88">IF(D$12=0,0,D97/D$12)</f>
        <v>0</v>
      </c>
      <c r="G97" s="1"/>
      <c r="H97" s="1">
        <f>SUM(OSRRefH22_22x_0)</f>
        <v>5000</v>
      </c>
      <c r="I97" s="1"/>
      <c r="J97" s="5">
        <f t="shared" ref="J97:J98" si="89">IF(H$12=0,0,H97/H$12)</f>
        <v>0</v>
      </c>
      <c r="K97" s="1"/>
      <c r="L97" s="1">
        <f t="shared" ref="L97:L98" si="90">+D97-H97</f>
        <v>593</v>
      </c>
      <c r="M97" s="1"/>
      <c r="N97" s="5">
        <f t="shared" ref="N97:N98" si="91">IF(H97=0,0,L97/H97)</f>
        <v>0.1186</v>
      </c>
      <c r="O97" s="13"/>
      <c r="P97" s="1">
        <f>SUM(OSRRefP22_22x_0)</f>
        <v>16779</v>
      </c>
      <c r="Q97" s="1"/>
      <c r="R97" s="5">
        <f t="shared" ref="R97:R98" si="92">IF(P$12=0,0,P97/P$12)</f>
        <v>0</v>
      </c>
      <c r="S97" s="1"/>
      <c r="T97" s="1">
        <f>SUM(OSRRefT22_22x_0)</f>
        <v>20000</v>
      </c>
      <c r="U97" s="1"/>
      <c r="V97" s="5">
        <f t="shared" ref="V97:V98" si="93">IF(T$12=0,0,T97/T$12)</f>
        <v>0</v>
      </c>
      <c r="W97" s="1"/>
      <c r="X97" s="1">
        <f t="shared" ref="X97:X98" si="94">+P97-T97</f>
        <v>-3221</v>
      </c>
      <c r="Y97" s="1"/>
      <c r="Z97" s="5">
        <f t="shared" ref="Z97:Z98" si="95">IF(T97=0,0,X97/T97)</f>
        <v>-0.16105</v>
      </c>
    </row>
    <row r="98" spans="1:26" s="24" customFormat="1" hidden="1" outlineLevel="2" x14ac:dyDescent="0.25">
      <c r="A98" s="27"/>
      <c r="B98" s="11" t="str">
        <f>CONCATENATE("          ", "6274", " - ", "UTILITIES")</f>
        <v xml:space="preserve">          6274 - UTILITIES</v>
      </c>
      <c r="C98" s="11"/>
      <c r="D98" s="6">
        <v>5593</v>
      </c>
      <c r="E98" s="2"/>
      <c r="F98" s="7">
        <f t="shared" si="88"/>
        <v>0</v>
      </c>
      <c r="G98" s="2"/>
      <c r="H98" s="6">
        <v>5000</v>
      </c>
      <c r="I98" s="2"/>
      <c r="J98" s="7">
        <f t="shared" si="89"/>
        <v>0</v>
      </c>
      <c r="K98" s="2"/>
      <c r="L98" s="6">
        <f t="shared" si="90"/>
        <v>593</v>
      </c>
      <c r="M98" s="2"/>
      <c r="N98" s="7">
        <f t="shared" si="91"/>
        <v>0.1186</v>
      </c>
      <c r="O98" s="11"/>
      <c r="P98" s="6">
        <v>16779</v>
      </c>
      <c r="Q98" s="2"/>
      <c r="R98" s="7">
        <f t="shared" si="92"/>
        <v>0</v>
      </c>
      <c r="S98" s="2"/>
      <c r="T98" s="6">
        <v>20000</v>
      </c>
      <c r="U98" s="2"/>
      <c r="V98" s="7">
        <f t="shared" si="93"/>
        <v>0</v>
      </c>
      <c r="W98" s="2"/>
      <c r="X98" s="6">
        <f t="shared" si="94"/>
        <v>-3221</v>
      </c>
      <c r="Y98" s="2"/>
      <c r="Z98" s="7">
        <f t="shared" si="95"/>
        <v>-0.16105</v>
      </c>
    </row>
    <row r="99" spans="1:26" s="61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9" t="s">
        <v>0</v>
      </c>
      <c r="C100" s="10"/>
      <c r="D100" s="4">
        <f>SUM(OSRRefD25x_0)</f>
        <v>15216.93</v>
      </c>
      <c r="E100" s="4"/>
      <c r="F100" s="12">
        <f t="shared" ref="F100:F103" si="96">IF(D$12=0,0,D100/D$12)</f>
        <v>0</v>
      </c>
      <c r="G100" s="4"/>
      <c r="H100" s="4">
        <f>SUM(OSRRefH25x_0)</f>
        <v>24000</v>
      </c>
      <c r="I100" s="4"/>
      <c r="J100" s="12">
        <f t="shared" ref="J100:J103" si="97">IF(H$12=0,0,H100/H$12)</f>
        <v>0</v>
      </c>
      <c r="K100" s="4"/>
      <c r="L100" s="4">
        <f t="shared" ref="L100:L103" si="98">+D100-H100</f>
        <v>-8783.07</v>
      </c>
      <c r="M100" s="4"/>
      <c r="N100" s="12">
        <f t="shared" ref="N100:N103" si="99">IF(H100=0,0,L100/H100)</f>
        <v>-0.36596124999999996</v>
      </c>
      <c r="O100" s="10"/>
      <c r="P100" s="4">
        <f>SUM(OSRRefP25x_0)</f>
        <v>84851.23000000001</v>
      </c>
      <c r="Q100" s="4"/>
      <c r="R100" s="12">
        <f t="shared" ref="R100:R103" si="100">IF(P$12=0,0,P100/P$12)</f>
        <v>0</v>
      </c>
      <c r="S100" s="4"/>
      <c r="T100" s="4">
        <f>SUM(OSRRefT25x_0)</f>
        <v>96000</v>
      </c>
      <c r="U100" s="4"/>
      <c r="V100" s="12">
        <f t="shared" ref="V100:V103" si="101">IF(T$12=0,0,T100/T$12)</f>
        <v>0</v>
      </c>
      <c r="W100" s="4"/>
      <c r="X100" s="4">
        <f t="shared" ref="X100:X103" si="102">+P100-T100</f>
        <v>-11148.76999999999</v>
      </c>
      <c r="Y100" s="4"/>
      <c r="Z100" s="12">
        <f t="shared" ref="Z100:Z103" si="103">IF(T100=0,0,X100/T100)</f>
        <v>-0.11613302083333323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--11186.17</f>
        <v>11186.17</v>
      </c>
      <c r="E101" s="2"/>
      <c r="F101" s="19">
        <f t="shared" si="96"/>
        <v>0</v>
      </c>
      <c r="G101" s="2"/>
      <c r="H101" s="2">
        <v>21500</v>
      </c>
      <c r="I101" s="2"/>
      <c r="J101" s="19">
        <f t="shared" si="97"/>
        <v>0</v>
      </c>
      <c r="K101" s="2"/>
      <c r="L101" s="2">
        <f t="shared" si="98"/>
        <v>-10313.83</v>
      </c>
      <c r="M101" s="2"/>
      <c r="N101" s="19">
        <f t="shared" si="99"/>
        <v>-0.47971302325581394</v>
      </c>
      <c r="O101" s="11"/>
      <c r="P101" s="2">
        <f>--85303.16</f>
        <v>85303.16</v>
      </c>
      <c r="Q101" s="2"/>
      <c r="R101" s="19">
        <f t="shared" si="100"/>
        <v>0</v>
      </c>
      <c r="S101" s="2"/>
      <c r="T101" s="2">
        <v>86000</v>
      </c>
      <c r="U101" s="2"/>
      <c r="V101" s="19">
        <f t="shared" si="101"/>
        <v>0</v>
      </c>
      <c r="W101" s="2"/>
      <c r="X101" s="2">
        <f t="shared" si="102"/>
        <v>-696.83999999999651</v>
      </c>
      <c r="Y101" s="2"/>
      <c r="Z101" s="19">
        <f t="shared" si="103"/>
        <v>-8.1027906976743787E-3</v>
      </c>
    </row>
    <row r="102" spans="1:26" s="24" customFormat="1" hidden="1" outlineLevel="1" x14ac:dyDescent="0.25">
      <c r="A102" s="44"/>
      <c r="B102" s="11" t="str">
        <f>CONCATENATE("          ", "9151", " - ", "MISC. INCOME")</f>
        <v xml:space="preserve">          9151 - MISC. INCOME</v>
      </c>
      <c r="C102" s="11"/>
      <c r="D102" s="2">
        <f>--4030.76</f>
        <v>4030.76</v>
      </c>
      <c r="E102" s="2"/>
      <c r="F102" s="19">
        <f t="shared" si="96"/>
        <v>0</v>
      </c>
      <c r="G102" s="2"/>
      <c r="H102" s="2">
        <v>500</v>
      </c>
      <c r="I102" s="2"/>
      <c r="J102" s="19">
        <f t="shared" si="97"/>
        <v>0</v>
      </c>
      <c r="K102" s="2"/>
      <c r="L102" s="2">
        <f t="shared" si="98"/>
        <v>3530.76</v>
      </c>
      <c r="M102" s="2"/>
      <c r="N102" s="19">
        <f t="shared" si="99"/>
        <v>7.0615200000000007</v>
      </c>
      <c r="O102" s="11"/>
      <c r="P102" s="2">
        <f>-451.93</f>
        <v>-451.93</v>
      </c>
      <c r="Q102" s="2"/>
      <c r="R102" s="19">
        <f t="shared" si="100"/>
        <v>0</v>
      </c>
      <c r="S102" s="2"/>
      <c r="T102" s="2">
        <v>2000</v>
      </c>
      <c r="U102" s="2"/>
      <c r="V102" s="19">
        <f t="shared" si="101"/>
        <v>0</v>
      </c>
      <c r="W102" s="2"/>
      <c r="X102" s="2">
        <f t="shared" si="102"/>
        <v>-2451.9299999999998</v>
      </c>
      <c r="Y102" s="2"/>
      <c r="Z102" s="19">
        <f t="shared" si="103"/>
        <v>-1.225965</v>
      </c>
    </row>
    <row r="103" spans="1:26" s="24" customFormat="1" hidden="1" outlineLevel="1" x14ac:dyDescent="0.25">
      <c r="A103" s="44"/>
      <c r="B103" s="11" t="str">
        <f>CONCATENATE("          ", "9160", " - ", "MISC. INCOME")</f>
        <v xml:space="preserve">          9160 - MISC. INCOME</v>
      </c>
      <c r="C103" s="11"/>
      <c r="D103" s="2">
        <f>0</f>
        <v>0</v>
      </c>
      <c r="E103" s="2"/>
      <c r="F103" s="19">
        <f t="shared" si="96"/>
        <v>0</v>
      </c>
      <c r="G103" s="2"/>
      <c r="H103" s="2">
        <v>2000</v>
      </c>
      <c r="I103" s="2"/>
      <c r="J103" s="19">
        <f t="shared" si="97"/>
        <v>0</v>
      </c>
      <c r="K103" s="2"/>
      <c r="L103" s="2">
        <f t="shared" si="98"/>
        <v>-2000</v>
      </c>
      <c r="M103" s="2"/>
      <c r="N103" s="19">
        <f t="shared" si="99"/>
        <v>-1</v>
      </c>
      <c r="O103" s="11"/>
      <c r="P103" s="2">
        <f>0</f>
        <v>0</v>
      </c>
      <c r="Q103" s="2"/>
      <c r="R103" s="19">
        <f t="shared" si="100"/>
        <v>0</v>
      </c>
      <c r="S103" s="2"/>
      <c r="T103" s="2">
        <v>8000</v>
      </c>
      <c r="U103" s="2"/>
      <c r="V103" s="19">
        <f t="shared" si="101"/>
        <v>0</v>
      </c>
      <c r="W103" s="2"/>
      <c r="X103" s="2">
        <f t="shared" si="102"/>
        <v>-8000</v>
      </c>
      <c r="Y103" s="2"/>
      <c r="Z103" s="19">
        <f t="shared" si="103"/>
        <v>-1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8" t="s">
        <v>3</v>
      </c>
      <c r="C105" s="28"/>
      <c r="D105" s="22">
        <f>+D16-D18+D100</f>
        <v>-119211.18000000002</v>
      </c>
      <c r="E105" s="14"/>
      <c r="F105" s="20">
        <f>IF(D$12=0,0,D105/D$12)</f>
        <v>0</v>
      </c>
      <c r="G105" s="14"/>
      <c r="H105" s="22">
        <f>+H16-H18+H100</f>
        <v>-116426.76915545866</v>
      </c>
      <c r="I105" s="14"/>
      <c r="J105" s="20">
        <f>IF(H$12=0,0,H105/H$12)</f>
        <v>0</v>
      </c>
      <c r="K105" s="16"/>
      <c r="L105" s="22">
        <f>+D105-H105</f>
        <v>-2784.4108445413585</v>
      </c>
      <c r="M105" s="16"/>
      <c r="N105" s="20">
        <f>IF(H105=0,0,L105/H105)</f>
        <v>2.391555537217973E-2</v>
      </c>
      <c r="O105" s="29"/>
      <c r="P105" s="22">
        <f>+P16-P18+P100</f>
        <v>-475155.94000000006</v>
      </c>
      <c r="Q105" s="14"/>
      <c r="R105" s="20">
        <f>IF(P$12=0,0,P105/P$12)</f>
        <v>0</v>
      </c>
      <c r="S105" s="14"/>
      <c r="T105" s="22">
        <f>+T16-T18+T100</f>
        <v>-516506.98287715111</v>
      </c>
      <c r="U105" s="14"/>
      <c r="V105" s="20">
        <f>IF(T$12=0,0,T105/T$12)</f>
        <v>0</v>
      </c>
      <c r="W105" s="16"/>
      <c r="X105" s="22">
        <f>+P105-T105</f>
        <v>41351.042877151049</v>
      </c>
      <c r="Y105" s="16"/>
      <c r="Z105" s="20">
        <f>IF(T105=0,0,X105/T105)</f>
        <v>-8.0059020009389123E-2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2"/>
      <c r="B107" s="10" t="s">
        <v>14</v>
      </c>
      <c r="C107" s="10"/>
      <c r="D107" s="4"/>
      <c r="E107" s="4"/>
      <c r="F107" s="12">
        <f>IF(D$12=0,0,D107/D$12)</f>
        <v>0</v>
      </c>
      <c r="G107" s="4"/>
      <c r="H107" s="4"/>
      <c r="I107" s="4"/>
      <c r="J107" s="12">
        <f>IF(H$12=0,0,H107/H$12)</f>
        <v>0</v>
      </c>
      <c r="K107" s="4"/>
      <c r="L107" s="4">
        <f>+D107-H107</f>
        <v>0</v>
      </c>
      <c r="M107" s="4"/>
      <c r="N107" s="12">
        <f>IF(H107=0,0,L107/H107)</f>
        <v>0</v>
      </c>
      <c r="O107" s="10"/>
      <c r="P107" s="4"/>
      <c r="Q107" s="4"/>
      <c r="R107" s="12">
        <f>IF(P$12=0,0,P107/P$12)</f>
        <v>0</v>
      </c>
      <c r="S107" s="4"/>
      <c r="T107" s="4"/>
      <c r="U107" s="4"/>
      <c r="V107" s="12">
        <f>IF(T$12=0,0,T107/T$12)</f>
        <v>0</v>
      </c>
      <c r="W107" s="4"/>
      <c r="X107" s="4">
        <f>+P107-T107</f>
        <v>0</v>
      </c>
      <c r="Y107" s="4"/>
      <c r="Z107" s="12">
        <f>IF(T107=0,0,X107/T107)</f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4</v>
      </c>
      <c r="C109" s="28"/>
      <c r="D109" s="31">
        <f>+D105-D107</f>
        <v>-119211.18000000002</v>
      </c>
      <c r="E109" s="14"/>
      <c r="F109" s="33">
        <f>IF(D$12=0,0,D109/D$12)</f>
        <v>0</v>
      </c>
      <c r="G109" s="14"/>
      <c r="H109" s="31">
        <f>+H105-H107</f>
        <v>-116426.76915545866</v>
      </c>
      <c r="I109" s="14"/>
      <c r="J109" s="33">
        <f>IF(H$12=0,0,H109/H$12)</f>
        <v>0</v>
      </c>
      <c r="K109" s="16"/>
      <c r="L109" s="31">
        <f>D109-H109</f>
        <v>-2784.4108445413585</v>
      </c>
      <c r="M109" s="16"/>
      <c r="N109" s="33">
        <f>IF(H109=0,0,L109/H109)</f>
        <v>2.391555537217973E-2</v>
      </c>
      <c r="O109" s="29"/>
      <c r="P109" s="31">
        <f>+P105-P107</f>
        <v>-475155.94000000006</v>
      </c>
      <c r="Q109" s="14"/>
      <c r="R109" s="33">
        <f>IF(P$12=0,0,P109/P$12)</f>
        <v>0</v>
      </c>
      <c r="S109" s="14"/>
      <c r="T109" s="31">
        <f>+T105-T107</f>
        <v>-516506.98287715111</v>
      </c>
      <c r="U109" s="14"/>
      <c r="V109" s="33">
        <f>IF(T$12=0,0,T109/T$12)</f>
        <v>0</v>
      </c>
      <c r="W109" s="16"/>
      <c r="X109" s="31">
        <f>P109-T109</f>
        <v>41351.042877151049</v>
      </c>
      <c r="Y109" s="16"/>
      <c r="Z109" s="33">
        <f>IF(T109=0,0,X109/T109)</f>
        <v>-8.0059020009389123E-2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8" t="s">
        <v>5</v>
      </c>
      <c r="C112" s="28"/>
      <c r="D112" s="32">
        <f>SUM(D109:D111)</f>
        <v>-119211.18000000002</v>
      </c>
      <c r="E112" s="14"/>
      <c r="F112" s="34">
        <f>IF(D$12=0,0,D112/D$12)</f>
        <v>0</v>
      </c>
      <c r="G112" s="14"/>
      <c r="H112" s="32">
        <f>SUM(H109:H111)</f>
        <v>-116426.76915545866</v>
      </c>
      <c r="I112" s="14"/>
      <c r="J112" s="34">
        <f>IF(H$12=0,0,H112/H$12)</f>
        <v>0</v>
      </c>
      <c r="K112" s="16"/>
      <c r="L112" s="32">
        <f>+D112-H112</f>
        <v>-2784.4108445413585</v>
      </c>
      <c r="M112" s="16"/>
      <c r="N112" s="34">
        <f>IF(H112=0,0,L112/H112)</f>
        <v>2.391555537217973E-2</v>
      </c>
      <c r="O112" s="29"/>
      <c r="P112" s="32">
        <f>SUM(P109:P111)</f>
        <v>-475155.94000000006</v>
      </c>
      <c r="Q112" s="14"/>
      <c r="R112" s="34">
        <f>IF(P$12=0,0,P112/P$12)</f>
        <v>0</v>
      </c>
      <c r="S112" s="14"/>
      <c r="T112" s="32">
        <f>SUM(T109:T111)</f>
        <v>-516506.98287715111</v>
      </c>
      <c r="U112" s="14"/>
      <c r="V112" s="34">
        <f>IF(T$12=0,0,T112/T$12)</f>
        <v>0</v>
      </c>
      <c r="W112" s="16"/>
      <c r="X112" s="32">
        <f>+P112-T112</f>
        <v>41351.042877151049</v>
      </c>
      <c r="Y112" s="16"/>
      <c r="Z112" s="34">
        <f>IF(T112=0,0,X112/T112)</f>
        <v>-8.0059020009389123E-2</v>
      </c>
    </row>
    <row r="113" spans="1:24" ht="15.75" thickTop="1" x14ac:dyDescent="0.25">
      <c r="A113" s="9"/>
      <c r="C113" s="9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60">
        <v>43791.348039236109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A115" s="9"/>
      <c r="B115" s="54" t="s">
        <v>314</v>
      </c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25">
      <c r="A116" s="9"/>
      <c r="B116" s="55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4" x14ac:dyDescent="0.25"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48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","306", " - ", "Warehouse")</f>
        <v>Department 306 - Warehouse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35902.289999999994</v>
      </c>
      <c r="E18" s="21"/>
      <c r="F18" s="35">
        <f t="shared" ref="F18:F28" si="0">IF(D$12=0,0,D18/D$12)</f>
        <v>0</v>
      </c>
      <c r="G18" s="21"/>
      <c r="H18" s="21">
        <f>SUM(OSRRefH22x_0)</f>
        <v>33482.283884545002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2420.0061154549912</v>
      </c>
      <c r="M18" s="4"/>
      <c r="N18" s="35">
        <f t="shared" ref="N18:N28" si="3">IF(H18=0,0,L18/H18)</f>
        <v>7.2277211548643347E-2</v>
      </c>
      <c r="O18" s="10"/>
      <c r="P18" s="21">
        <f>SUM(OSRRefP22x_0)</f>
        <v>185765.77999999997</v>
      </c>
      <c r="Q18" s="21"/>
      <c r="R18" s="35">
        <f t="shared" ref="R18:R28" si="4">IF(P$12=0,0,P18/P$12)</f>
        <v>0</v>
      </c>
      <c r="S18" s="21"/>
      <c r="T18" s="21">
        <f>SUM(OSRRefT22x_0)</f>
        <v>198338.554906862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-12572.774906862032</v>
      </c>
      <c r="Y18" s="4"/>
      <c r="Z18" s="35">
        <f t="shared" ref="Z18:Z28" si="7">IF(T18=0,0,X18/T18)</f>
        <v>-6.3390473489968166E-2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6095.32</v>
      </c>
      <c r="E19" s="1"/>
      <c r="F19" s="5">
        <f t="shared" si="0"/>
        <v>0</v>
      </c>
      <c r="G19" s="1"/>
      <c r="H19" s="1">
        <f>SUM(OSRRefH22_0x_0)</f>
        <v>4646.4399995450003</v>
      </c>
      <c r="I19" s="1"/>
      <c r="J19" s="5">
        <f t="shared" si="1"/>
        <v>0</v>
      </c>
      <c r="K19" s="1"/>
      <c r="L19" s="1">
        <f t="shared" si="2"/>
        <v>1448.8800004549994</v>
      </c>
      <c r="M19" s="1"/>
      <c r="N19" s="5">
        <f t="shared" si="3"/>
        <v>0.31182582807415571</v>
      </c>
      <c r="O19" s="13"/>
      <c r="P19" s="1">
        <f>SUM(OSRRefP22_0x_0)</f>
        <v>27423.230000000003</v>
      </c>
      <c r="Q19" s="1"/>
      <c r="R19" s="5">
        <f t="shared" si="4"/>
        <v>0</v>
      </c>
      <c r="S19" s="1"/>
      <c r="T19" s="1">
        <f>SUM(OSRRefT22_0x_0)</f>
        <v>22743.816920862002</v>
      </c>
      <c r="U19" s="1"/>
      <c r="V19" s="5">
        <f t="shared" si="5"/>
        <v>0</v>
      </c>
      <c r="W19" s="1"/>
      <c r="X19" s="1">
        <f t="shared" si="6"/>
        <v>4679.4130791380012</v>
      </c>
      <c r="Y19" s="1"/>
      <c r="Z19" s="5">
        <f t="shared" si="7"/>
        <v>0.20574440497037949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1744.8</v>
      </c>
      <c r="E20" s="2"/>
      <c r="F20" s="7">
        <f t="shared" si="0"/>
        <v>0</v>
      </c>
      <c r="G20" s="2"/>
      <c r="H20" s="6">
        <v>1107.641381145</v>
      </c>
      <c r="I20" s="2"/>
      <c r="J20" s="7">
        <f t="shared" si="1"/>
        <v>0</v>
      </c>
      <c r="K20" s="2"/>
      <c r="L20" s="6">
        <f t="shared" si="2"/>
        <v>637.15861885499999</v>
      </c>
      <c r="M20" s="2"/>
      <c r="N20" s="7">
        <f t="shared" si="3"/>
        <v>0.57523908884331432</v>
      </c>
      <c r="O20" s="11"/>
      <c r="P20" s="6">
        <v>8535.43</v>
      </c>
      <c r="Q20" s="2"/>
      <c r="R20" s="7">
        <f t="shared" si="4"/>
        <v>0</v>
      </c>
      <c r="S20" s="2"/>
      <c r="T20" s="6">
        <v>7518.5457746220009</v>
      </c>
      <c r="U20" s="2"/>
      <c r="V20" s="7">
        <f t="shared" si="5"/>
        <v>0</v>
      </c>
      <c r="W20" s="2"/>
      <c r="X20" s="6">
        <f t="shared" si="6"/>
        <v>1016.8842253779994</v>
      </c>
      <c r="Y20" s="2"/>
      <c r="Z20" s="7">
        <f t="shared" si="7"/>
        <v>0.13525012094897085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-141.36000000000001</v>
      </c>
      <c r="E21" s="2"/>
      <c r="F21" s="7">
        <f t="shared" si="0"/>
        <v>0</v>
      </c>
      <c r="G21" s="2"/>
      <c r="H21" s="6">
        <v>552.42588350000005</v>
      </c>
      <c r="I21" s="2"/>
      <c r="J21" s="7">
        <f t="shared" si="1"/>
        <v>0</v>
      </c>
      <c r="K21" s="2"/>
      <c r="L21" s="6">
        <f t="shared" si="2"/>
        <v>-693.78588350000007</v>
      </c>
      <c r="M21" s="2"/>
      <c r="N21" s="7">
        <f t="shared" si="3"/>
        <v>-1.2558895305636055</v>
      </c>
      <c r="O21" s="11"/>
      <c r="P21" s="6">
        <v>2222.96</v>
      </c>
      <c r="Q21" s="2"/>
      <c r="R21" s="7">
        <f t="shared" si="4"/>
        <v>0</v>
      </c>
      <c r="S21" s="2"/>
      <c r="T21" s="6">
        <v>3323.7814806000001</v>
      </c>
      <c r="U21" s="2"/>
      <c r="V21" s="7">
        <f t="shared" si="5"/>
        <v>0</v>
      </c>
      <c r="W21" s="2"/>
      <c r="X21" s="6">
        <f t="shared" si="6"/>
        <v>-1100.8214806000001</v>
      </c>
      <c r="Y21" s="2"/>
      <c r="Z21" s="7">
        <f t="shared" si="7"/>
        <v>-0.33119550338227494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1286.27</v>
      </c>
      <c r="M22" s="2"/>
      <c r="N22" s="7">
        <f t="shared" si="3"/>
        <v>1.9400754147812971</v>
      </c>
      <c r="O22" s="11"/>
      <c r="P22" s="6">
        <v>7797.08</v>
      </c>
      <c r="Q22" s="2"/>
      <c r="R22" s="7">
        <f t="shared" si="4"/>
        <v>0</v>
      </c>
      <c r="S22" s="2"/>
      <c r="T22" s="6">
        <v>2652</v>
      </c>
      <c r="U22" s="2"/>
      <c r="V22" s="7">
        <f t="shared" si="5"/>
        <v>0</v>
      </c>
      <c r="W22" s="2"/>
      <c r="X22" s="6">
        <f t="shared" si="6"/>
        <v>5145.08</v>
      </c>
      <c r="Y22" s="2"/>
      <c r="Z22" s="7">
        <f t="shared" si="7"/>
        <v>1.9400754147812971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84.31</v>
      </c>
      <c r="E23" s="2"/>
      <c r="F23" s="7">
        <f t="shared" si="0"/>
        <v>0</v>
      </c>
      <c r="G23" s="2"/>
      <c r="H23" s="6">
        <v>75.595120899999998</v>
      </c>
      <c r="I23" s="2"/>
      <c r="J23" s="7">
        <f t="shared" si="1"/>
        <v>0</v>
      </c>
      <c r="K23" s="2"/>
      <c r="L23" s="6">
        <f t="shared" si="2"/>
        <v>8.7148791000000045</v>
      </c>
      <c r="M23" s="2"/>
      <c r="N23" s="7">
        <f t="shared" si="3"/>
        <v>0.11528361878709562</v>
      </c>
      <c r="O23" s="11"/>
      <c r="P23" s="6">
        <v>400.06</v>
      </c>
      <c r="Q23" s="2"/>
      <c r="R23" s="7">
        <f t="shared" si="4"/>
        <v>0</v>
      </c>
      <c r="S23" s="2"/>
      <c r="T23" s="6">
        <v>454.83325524000003</v>
      </c>
      <c r="U23" s="2"/>
      <c r="V23" s="7">
        <f t="shared" si="5"/>
        <v>0</v>
      </c>
      <c r="W23" s="2"/>
      <c r="X23" s="6">
        <f t="shared" si="6"/>
        <v>-54.773255240000026</v>
      </c>
      <c r="Y23" s="2"/>
      <c r="Z23" s="7">
        <f t="shared" si="7"/>
        <v>-0.12042491310600859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971.92</v>
      </c>
      <c r="E24" s="2"/>
      <c r="F24" s="7">
        <f t="shared" si="0"/>
        <v>0</v>
      </c>
      <c r="G24" s="2"/>
      <c r="H24" s="6">
        <v>872.66749900000002</v>
      </c>
      <c r="I24" s="2"/>
      <c r="J24" s="7">
        <f t="shared" si="1"/>
        <v>0</v>
      </c>
      <c r="K24" s="2"/>
      <c r="L24" s="6">
        <f t="shared" si="2"/>
        <v>99.252500999999938</v>
      </c>
      <c r="M24" s="2"/>
      <c r="N24" s="7">
        <f t="shared" si="3"/>
        <v>0.11373461382913257</v>
      </c>
      <c r="O24" s="11"/>
      <c r="P24" s="6">
        <v>3045.82</v>
      </c>
      <c r="Q24" s="2"/>
      <c r="R24" s="7">
        <f t="shared" si="4"/>
        <v>0</v>
      </c>
      <c r="S24" s="2"/>
      <c r="T24" s="6">
        <v>3141.6029964000004</v>
      </c>
      <c r="U24" s="2"/>
      <c r="V24" s="7">
        <f t="shared" si="5"/>
        <v>0</v>
      </c>
      <c r="W24" s="2"/>
      <c r="X24" s="6">
        <f t="shared" si="6"/>
        <v>-95.782996400000229</v>
      </c>
      <c r="Y24" s="2"/>
      <c r="Z24" s="7">
        <f t="shared" si="7"/>
        <v>-3.0488574307370817E-2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575.33000000000004</v>
      </c>
      <c r="E26" s="2"/>
      <c r="F26" s="7">
        <f t="shared" si="0"/>
        <v>0</v>
      </c>
      <c r="G26" s="2"/>
      <c r="H26" s="6">
        <v>758.31075499999997</v>
      </c>
      <c r="I26" s="2"/>
      <c r="J26" s="7">
        <f t="shared" si="1"/>
        <v>0</v>
      </c>
      <c r="K26" s="2"/>
      <c r="L26" s="6">
        <f t="shared" si="2"/>
        <v>-182.98075499999993</v>
      </c>
      <c r="M26" s="2"/>
      <c r="N26" s="7">
        <f t="shared" si="3"/>
        <v>-0.24130048768726739</v>
      </c>
      <c r="O26" s="11"/>
      <c r="P26" s="6">
        <v>1619.98</v>
      </c>
      <c r="Q26" s="2"/>
      <c r="R26" s="7">
        <f t="shared" si="4"/>
        <v>0</v>
      </c>
      <c r="S26" s="2"/>
      <c r="T26" s="6">
        <v>2729.9187180000004</v>
      </c>
      <c r="U26" s="2"/>
      <c r="V26" s="7">
        <f t="shared" si="5"/>
        <v>0</v>
      </c>
      <c r="W26" s="2"/>
      <c r="X26" s="6">
        <f t="shared" si="6"/>
        <v>-1109.9387180000003</v>
      </c>
      <c r="Y26" s="2"/>
      <c r="Z26" s="7">
        <f t="shared" si="7"/>
        <v>-0.40658306442660913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561.66</v>
      </c>
      <c r="E27" s="2"/>
      <c r="F27" s="7">
        <f t="shared" si="0"/>
        <v>0</v>
      </c>
      <c r="G27" s="2"/>
      <c r="H27" s="6">
        <v>616.79935999999998</v>
      </c>
      <c r="I27" s="2"/>
      <c r="J27" s="7">
        <f t="shared" si="1"/>
        <v>0</v>
      </c>
      <c r="K27" s="2"/>
      <c r="L27" s="6">
        <f t="shared" si="2"/>
        <v>-55.139360000000011</v>
      </c>
      <c r="M27" s="2"/>
      <c r="N27" s="7">
        <f t="shared" si="3"/>
        <v>-8.9395942304479711E-2</v>
      </c>
      <c r="O27" s="11"/>
      <c r="P27" s="6">
        <v>2563.61</v>
      </c>
      <c r="Q27" s="2"/>
      <c r="R27" s="7">
        <f t="shared" si="4"/>
        <v>0</v>
      </c>
      <c r="S27" s="2"/>
      <c r="T27" s="6">
        <v>2923.1346960000001</v>
      </c>
      <c r="U27" s="2"/>
      <c r="V27" s="7">
        <f t="shared" si="5"/>
        <v>0</v>
      </c>
      <c r="W27" s="2"/>
      <c r="X27" s="6">
        <f t="shared" si="6"/>
        <v>-359.52469599999995</v>
      </c>
      <c r="Y27" s="2"/>
      <c r="Z27" s="7">
        <f t="shared" si="7"/>
        <v>-0.12299285985417346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349.39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349.39</v>
      </c>
      <c r="M28" s="2"/>
      <c r="N28" s="7">
        <f t="shared" si="3"/>
        <v>0</v>
      </c>
      <c r="O28" s="11"/>
      <c r="P28" s="6">
        <v>1238.29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1238.29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28708.29</v>
      </c>
      <c r="E29" s="1"/>
      <c r="F29" s="5">
        <f t="shared" ref="F29:F39" si="8">IF(D$12=0,0,D29/D$12)</f>
        <v>0</v>
      </c>
      <c r="G29" s="1"/>
      <c r="H29" s="1">
        <f>SUM(OSRRefH22_1x_0)</f>
        <v>27910.843884999998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797.44611500000246</v>
      </c>
      <c r="M29" s="1"/>
      <c r="N29" s="5">
        <f t="shared" ref="N29:N39" si="11">IF(H29=0,0,L29/H29)</f>
        <v>2.8571193271177672E-2</v>
      </c>
      <c r="O29" s="13"/>
      <c r="P29" s="1">
        <f>SUM(OSRRefP22_1x_0)</f>
        <v>156351.97999999998</v>
      </c>
      <c r="Q29" s="1"/>
      <c r="R29" s="5">
        <f t="shared" ref="R29:R39" si="12">IF(P$12=0,0,P29/P$12)</f>
        <v>0</v>
      </c>
      <c r="S29" s="1"/>
      <c r="T29" s="1">
        <f>SUM(OSRRefT22_1x_0)</f>
        <v>170744.73798599999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-14392.757986000011</v>
      </c>
      <c r="Y29" s="1"/>
      <c r="Z29" s="5">
        <f t="shared" ref="Z29:Z39" si="15">IF(T29=0,0,X29/T29)</f>
        <v>-8.4294006103896021E-2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4759.0938849999993</v>
      </c>
      <c r="I30" s="2"/>
      <c r="J30" s="7">
        <f t="shared" si="9"/>
        <v>0</v>
      </c>
      <c r="K30" s="2"/>
      <c r="L30" s="6">
        <f t="shared" si="10"/>
        <v>-4759.0938849999993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17132.737986</v>
      </c>
      <c r="U30" s="2"/>
      <c r="V30" s="7">
        <f t="shared" si="13"/>
        <v>0</v>
      </c>
      <c r="W30" s="2"/>
      <c r="X30" s="6">
        <f t="shared" si="14"/>
        <v>-17132.737986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9549.8700000000008</v>
      </c>
      <c r="E31" s="2"/>
      <c r="F31" s="7">
        <f t="shared" si="8"/>
        <v>0</v>
      </c>
      <c r="G31" s="2"/>
      <c r="H31" s="6">
        <v>4224</v>
      </c>
      <c r="I31" s="2"/>
      <c r="J31" s="7">
        <f t="shared" si="9"/>
        <v>0</v>
      </c>
      <c r="K31" s="2"/>
      <c r="L31" s="6">
        <f t="shared" si="10"/>
        <v>5325.8700000000008</v>
      </c>
      <c r="M31" s="2"/>
      <c r="N31" s="7">
        <f t="shared" si="11"/>
        <v>1.2608593750000001</v>
      </c>
      <c r="O31" s="11"/>
      <c r="P31" s="6">
        <v>35164.39</v>
      </c>
      <c r="Q31" s="2"/>
      <c r="R31" s="7">
        <f t="shared" si="12"/>
        <v>0</v>
      </c>
      <c r="S31" s="2"/>
      <c r="T31" s="6">
        <v>15206.4</v>
      </c>
      <c r="U31" s="2"/>
      <c r="V31" s="7">
        <f t="shared" si="13"/>
        <v>0</v>
      </c>
      <c r="W31" s="2"/>
      <c r="X31" s="6">
        <f t="shared" si="14"/>
        <v>19957.989999999998</v>
      </c>
      <c r="Y31" s="2"/>
      <c r="Z31" s="7">
        <f t="shared" si="15"/>
        <v>1.31247303766835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4326</v>
      </c>
      <c r="I33" s="2"/>
      <c r="J33" s="7">
        <f t="shared" si="9"/>
        <v>0</v>
      </c>
      <c r="K33" s="2"/>
      <c r="L33" s="6">
        <f t="shared" si="10"/>
        <v>-4326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15573.6</v>
      </c>
      <c r="U33" s="2"/>
      <c r="V33" s="7">
        <f t="shared" si="13"/>
        <v>0</v>
      </c>
      <c r="W33" s="2"/>
      <c r="X33" s="6">
        <f t="shared" si="14"/>
        <v>-15573.6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1562.78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1562.78</v>
      </c>
      <c r="M34" s="2"/>
      <c r="N34" s="7">
        <f t="shared" si="11"/>
        <v>0</v>
      </c>
      <c r="O34" s="11"/>
      <c r="P34" s="6">
        <v>9082.4599999999991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9082.4599999999991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1595.87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1595.87</v>
      </c>
      <c r="M35" s="2"/>
      <c r="N35" s="7">
        <f t="shared" si="11"/>
        <v>0</v>
      </c>
      <c r="O35" s="11"/>
      <c r="P35" s="6">
        <v>8893.3700000000008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8893.3700000000008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14892.769999999999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14892.769999999999</v>
      </c>
      <c r="M36" s="2"/>
      <c r="N36" s="7">
        <f t="shared" si="11"/>
        <v>0</v>
      </c>
      <c r="O36" s="11"/>
      <c r="P36" s="6">
        <v>99227.76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53088.509999999995</v>
      </c>
      <c r="Y36" s="2"/>
      <c r="Z36" s="7">
        <f t="shared" si="15"/>
        <v>1.1506149319722361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1107</v>
      </c>
      <c r="E37" s="2"/>
      <c r="F37" s="7">
        <f t="shared" si="8"/>
        <v>0</v>
      </c>
      <c r="G37" s="2"/>
      <c r="H37" s="6">
        <v>14601.75</v>
      </c>
      <c r="I37" s="2"/>
      <c r="J37" s="7">
        <f t="shared" si="9"/>
        <v>0</v>
      </c>
      <c r="K37" s="2"/>
      <c r="L37" s="6">
        <f t="shared" si="10"/>
        <v>-13494.75</v>
      </c>
      <c r="M37" s="2"/>
      <c r="N37" s="7">
        <f t="shared" si="11"/>
        <v>-0.92418716934613998</v>
      </c>
      <c r="O37" s="11"/>
      <c r="P37" s="6">
        <v>3984</v>
      </c>
      <c r="Q37" s="2"/>
      <c r="R37" s="7">
        <f t="shared" si="12"/>
        <v>0</v>
      </c>
      <c r="S37" s="2"/>
      <c r="T37" s="6">
        <v>76692.75</v>
      </c>
      <c r="U37" s="2"/>
      <c r="V37" s="7">
        <f t="shared" si="13"/>
        <v>0</v>
      </c>
      <c r="W37" s="2"/>
      <c r="X37" s="6">
        <f t="shared" si="14"/>
        <v>-72708.75</v>
      </c>
      <c r="Y37" s="2"/>
      <c r="Z37" s="7">
        <f t="shared" si="15"/>
        <v>-0.9480524560665774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12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12</v>
      </c>
      <c r="M40" s="1"/>
      <c r="N40" s="5">
        <f t="shared" ref="N40:N52" si="19">IF(H40=0,0,L40/H40)</f>
        <v>0</v>
      </c>
      <c r="O40" s="13"/>
      <c r="P40" s="1">
        <f>SUM(OSRRefP22_2x_0)</f>
        <v>150</v>
      </c>
      <c r="Q40" s="1"/>
      <c r="R40" s="5">
        <f t="shared" ref="R40:R52" si="20">IF(P$12=0,0,P40/P$12)</f>
        <v>0</v>
      </c>
      <c r="S40" s="1"/>
      <c r="T40" s="1">
        <f>SUM(OSRRefT22_2x_0)</f>
        <v>400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-250</v>
      </c>
      <c r="Y40" s="1"/>
      <c r="Z40" s="5">
        <f t="shared" ref="Z40:Z52" si="23">IF(T40=0,0,X40/T40)</f>
        <v>-0.625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12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12</v>
      </c>
      <c r="M41" s="2"/>
      <c r="N41" s="7">
        <f t="shared" si="19"/>
        <v>0</v>
      </c>
      <c r="O41" s="11"/>
      <c r="P41" s="6">
        <v>150</v>
      </c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-250</v>
      </c>
      <c r="Y41" s="2"/>
      <c r="Z41" s="7">
        <f t="shared" si="23"/>
        <v>-0.625</v>
      </c>
    </row>
    <row r="42" spans="1:26" s="26" customFormat="1" outlineLevel="1" collapsed="1" x14ac:dyDescent="0.25">
      <c r="A42" s="25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200</v>
      </c>
      <c r="U42" s="1"/>
      <c r="V42" s="5">
        <f t="shared" si="21"/>
        <v>0</v>
      </c>
      <c r="W42" s="1"/>
      <c r="X42" s="1">
        <f t="shared" si="22"/>
        <v>-200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200</v>
      </c>
      <c r="U43" s="2"/>
      <c r="V43" s="7">
        <f t="shared" si="21"/>
        <v>0</v>
      </c>
      <c r="W43" s="2"/>
      <c r="X43" s="6">
        <f t="shared" si="22"/>
        <v>-200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182.52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57.52000000000001</v>
      </c>
      <c r="M44" s="1"/>
      <c r="N44" s="5">
        <f t="shared" si="19"/>
        <v>0.46016000000000007</v>
      </c>
      <c r="O44" s="13"/>
      <c r="P44" s="1">
        <f>SUM(OSRRefP22_4x_0)</f>
        <v>182.52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-317.48</v>
      </c>
      <c r="Y44" s="1"/>
      <c r="Z44" s="5">
        <f t="shared" si="23"/>
        <v>-0.63496000000000008</v>
      </c>
    </row>
    <row r="45" spans="1:26" s="24" customFormat="1" hidden="1" outlineLevel="2" x14ac:dyDescent="0.25">
      <c r="A45" s="27"/>
      <c r="B45" s="11" t="str">
        <f>CONCATENATE("          ", "6351", " - ", "EQUIPMENT RENTAL")</f>
        <v xml:space="preserve">          6351 - EQUIPMENT RENTAL</v>
      </c>
      <c r="C45" s="11"/>
      <c r="D45" s="6">
        <v>182.52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57.52000000000001</v>
      </c>
      <c r="M45" s="2"/>
      <c r="N45" s="7">
        <f t="shared" si="19"/>
        <v>0.46016000000000007</v>
      </c>
      <c r="O45" s="11"/>
      <c r="P45" s="6">
        <v>182.52</v>
      </c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-317.48</v>
      </c>
      <c r="Y45" s="2"/>
      <c r="Z45" s="7">
        <f t="shared" si="23"/>
        <v>-0.63496000000000008</v>
      </c>
    </row>
    <row r="46" spans="1:26" s="26" customFormat="1" outlineLevel="1" collapsed="1" x14ac:dyDescent="0.25">
      <c r="A46" s="25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-10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40</v>
      </c>
      <c r="U46" s="1"/>
      <c r="V46" s="5">
        <f t="shared" si="21"/>
        <v>0</v>
      </c>
      <c r="W46" s="1"/>
      <c r="X46" s="1">
        <f t="shared" si="22"/>
        <v>-40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/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-10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40</v>
      </c>
      <c r="U47" s="2"/>
      <c r="V47" s="7">
        <f t="shared" si="21"/>
        <v>0</v>
      </c>
      <c r="W47" s="2"/>
      <c r="X47" s="6">
        <f t="shared" si="22"/>
        <v>-40</v>
      </c>
      <c r="Y47" s="2"/>
      <c r="Z47" s="7">
        <f t="shared" si="23"/>
        <v>-1</v>
      </c>
    </row>
    <row r="48" spans="1:26" s="26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89.45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89.45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6">
        <v>89.45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89.45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192.73000000000002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67.730000000000018</v>
      </c>
      <c r="M50" s="1"/>
      <c r="N50" s="5">
        <f t="shared" si="19"/>
        <v>0.5418400000000001</v>
      </c>
      <c r="O50" s="13"/>
      <c r="P50" s="1">
        <f>SUM(OSRRefP22_7x_0)</f>
        <v>207.29000000000002</v>
      </c>
      <c r="Q50" s="1"/>
      <c r="R50" s="5">
        <f t="shared" si="20"/>
        <v>0</v>
      </c>
      <c r="S50" s="1"/>
      <c r="T50" s="1">
        <f>SUM(OSRRefT22_7x_0)</f>
        <v>500</v>
      </c>
      <c r="U50" s="1"/>
      <c r="V50" s="5">
        <f t="shared" si="21"/>
        <v>0</v>
      </c>
      <c r="W50" s="1"/>
      <c r="X50" s="1">
        <f t="shared" si="22"/>
        <v>-292.70999999999998</v>
      </c>
      <c r="Y50" s="1"/>
      <c r="Z50" s="5">
        <f t="shared" si="23"/>
        <v>-0.58541999999999994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6">
        <v>0.4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0.4</v>
      </c>
      <c r="M51" s="2"/>
      <c r="N51" s="7">
        <f t="shared" si="19"/>
        <v>0</v>
      </c>
      <c r="O51" s="11"/>
      <c r="P51" s="6">
        <v>14.96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14.96</v>
      </c>
      <c r="Y51" s="2"/>
      <c r="Z51" s="7">
        <f t="shared" si="23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>
        <v>192.33</v>
      </c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67.330000000000013</v>
      </c>
      <c r="M52" s="2"/>
      <c r="N52" s="7">
        <f t="shared" si="19"/>
        <v>0.53864000000000012</v>
      </c>
      <c r="O52" s="11"/>
      <c r="P52" s="6">
        <v>192.33</v>
      </c>
      <c r="Q52" s="2"/>
      <c r="R52" s="7">
        <f t="shared" si="20"/>
        <v>0</v>
      </c>
      <c r="S52" s="2"/>
      <c r="T52" s="6">
        <v>500</v>
      </c>
      <c r="U52" s="2"/>
      <c r="V52" s="7">
        <f t="shared" si="21"/>
        <v>0</v>
      </c>
      <c r="W52" s="2"/>
      <c r="X52" s="6">
        <f t="shared" si="22"/>
        <v>-307.66999999999996</v>
      </c>
      <c r="Y52" s="2"/>
      <c r="Z52" s="7">
        <f t="shared" si="23"/>
        <v>-0.61533999999999989</v>
      </c>
    </row>
    <row r="53" spans="1:26" s="26" customFormat="1" outlineLevel="1" collapsed="1" x14ac:dyDescent="0.25">
      <c r="A53" s="25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371.98</v>
      </c>
      <c r="E53" s="1"/>
      <c r="F53" s="5">
        <f t="shared" ref="F53:F56" si="24">IF(D$12=0,0,D53/D$12)</f>
        <v>0</v>
      </c>
      <c r="G53" s="1"/>
      <c r="H53" s="1">
        <f>SUM(OSRRefH22_8x_0)</f>
        <v>450</v>
      </c>
      <c r="I53" s="1"/>
      <c r="J53" s="5">
        <f t="shared" ref="J53:J56" si="25">IF(H$12=0,0,H53/H$12)</f>
        <v>0</v>
      </c>
      <c r="K53" s="1"/>
      <c r="L53" s="1">
        <f t="shared" ref="L53:L56" si="26">+D53-H53</f>
        <v>-78.019999999999982</v>
      </c>
      <c r="M53" s="1"/>
      <c r="N53" s="5">
        <f t="shared" ref="N53:N56" si="27">IF(H53=0,0,L53/H53)</f>
        <v>-0.17337777777777774</v>
      </c>
      <c r="O53" s="13"/>
      <c r="P53" s="1">
        <f>SUM(OSRRefP22_8x_0)</f>
        <v>668.46</v>
      </c>
      <c r="Q53" s="1"/>
      <c r="R53" s="5">
        <f t="shared" ref="R53:R56" si="28">IF(P$12=0,0,P53/P$12)</f>
        <v>0</v>
      </c>
      <c r="S53" s="1"/>
      <c r="T53" s="1">
        <f>SUM(OSRRefT22_8x_0)</f>
        <v>2550</v>
      </c>
      <c r="U53" s="1"/>
      <c r="V53" s="5">
        <f t="shared" ref="V53:V56" si="29">IF(T$12=0,0,T53/T$12)</f>
        <v>0</v>
      </c>
      <c r="W53" s="1"/>
      <c r="X53" s="1">
        <f t="shared" ref="X53:X56" si="30">+P53-T53</f>
        <v>-1881.54</v>
      </c>
      <c r="Y53" s="1"/>
      <c r="Z53" s="5">
        <f t="shared" ref="Z53:Z56" si="31">IF(T53=0,0,X53/T53)</f>
        <v>-0.73785882352941179</v>
      </c>
    </row>
    <row r="54" spans="1:26" s="24" customFormat="1" hidden="1" outlineLevel="2" x14ac:dyDescent="0.25">
      <c r="A54" s="27"/>
      <c r="B54" s="11" t="str">
        <f>CONCATENATE("          ", "6241", " - ", "OFFICE EXPENSE")</f>
        <v xml:space="preserve">          6241 - OFFICE EXPENSE</v>
      </c>
      <c r="C54" s="11"/>
      <c r="D54" s="6">
        <v>77.489999999999995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-72.510000000000005</v>
      </c>
      <c r="M54" s="2"/>
      <c r="N54" s="7">
        <f t="shared" si="27"/>
        <v>-0.48340000000000005</v>
      </c>
      <c r="O54" s="11"/>
      <c r="P54" s="6">
        <v>221.33</v>
      </c>
      <c r="Q54" s="2"/>
      <c r="R54" s="7">
        <f t="shared" si="28"/>
        <v>0</v>
      </c>
      <c r="S54" s="2"/>
      <c r="T54" s="6">
        <v>850</v>
      </c>
      <c r="U54" s="2"/>
      <c r="V54" s="7">
        <f t="shared" si="29"/>
        <v>0</v>
      </c>
      <c r="W54" s="2"/>
      <c r="X54" s="6">
        <f t="shared" si="30"/>
        <v>-628.66999999999996</v>
      </c>
      <c r="Y54" s="2"/>
      <c r="Z54" s="7">
        <f t="shared" si="31"/>
        <v>-0.7396117647058823</v>
      </c>
    </row>
    <row r="55" spans="1:26" s="24" customFormat="1" hidden="1" outlineLevel="2" x14ac:dyDescent="0.25">
      <c r="A55" s="27"/>
      <c r="B55" s="11" t="str">
        <f>CONCATENATE("          ", "6243", " - ", "PAPER SUPPLIES")</f>
        <v xml:space="preserve">          6243 - PAPER SUPPLIES</v>
      </c>
      <c r="C55" s="11"/>
      <c r="D55" s="6"/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/>
      <c r="Q55" s="2"/>
      <c r="R55" s="7">
        <f t="shared" si="28"/>
        <v>0</v>
      </c>
      <c r="S55" s="2"/>
      <c r="T55" s="6">
        <v>500</v>
      </c>
      <c r="U55" s="2"/>
      <c r="V55" s="7">
        <f t="shared" si="29"/>
        <v>0</v>
      </c>
      <c r="W55" s="2"/>
      <c r="X55" s="6">
        <f t="shared" si="30"/>
        <v>-500</v>
      </c>
      <c r="Y55" s="2"/>
      <c r="Z55" s="7">
        <f t="shared" si="31"/>
        <v>-1</v>
      </c>
    </row>
    <row r="56" spans="1:26" s="24" customFormat="1" hidden="1" outlineLevel="2" x14ac:dyDescent="0.25">
      <c r="A56" s="27"/>
      <c r="B56" s="11" t="str">
        <f>CONCATENATE("          ", "6247", " - ", "STORE SUPPLIES")</f>
        <v xml:space="preserve">          6247 - STORE SUPPLIES</v>
      </c>
      <c r="C56" s="11"/>
      <c r="D56" s="6">
        <v>294.49</v>
      </c>
      <c r="E56" s="2"/>
      <c r="F56" s="7">
        <f t="shared" si="24"/>
        <v>0</v>
      </c>
      <c r="G56" s="2"/>
      <c r="H56" s="6">
        <v>300</v>
      </c>
      <c r="I56" s="2"/>
      <c r="J56" s="7">
        <f t="shared" si="25"/>
        <v>0</v>
      </c>
      <c r="K56" s="2"/>
      <c r="L56" s="6">
        <f t="shared" si="26"/>
        <v>-5.5099999999999909</v>
      </c>
      <c r="M56" s="2"/>
      <c r="N56" s="7">
        <f t="shared" si="27"/>
        <v>-1.8366666666666635E-2</v>
      </c>
      <c r="O56" s="11"/>
      <c r="P56" s="6">
        <v>447.13</v>
      </c>
      <c r="Q56" s="2"/>
      <c r="R56" s="7">
        <f t="shared" si="28"/>
        <v>0</v>
      </c>
      <c r="S56" s="2"/>
      <c r="T56" s="6">
        <v>1200</v>
      </c>
      <c r="U56" s="2"/>
      <c r="V56" s="7">
        <f t="shared" si="29"/>
        <v>0</v>
      </c>
      <c r="W56" s="2"/>
      <c r="X56" s="6">
        <f t="shared" si="30"/>
        <v>-752.87</v>
      </c>
      <c r="Y56" s="2"/>
      <c r="Z56" s="7">
        <f t="shared" si="31"/>
        <v>-0.62739166666666668</v>
      </c>
    </row>
    <row r="57" spans="1:26" s="26" customFormat="1" outlineLevel="1" collapsed="1" x14ac:dyDescent="0.25">
      <c r="A57" s="25"/>
      <c r="B57" s="13" t="str">
        <f>CONCATENATE("     ","Telephone/Data Lines                              ")</f>
        <v xml:space="preserve">     Telephone/Data Lines                              </v>
      </c>
      <c r="C57" s="13"/>
      <c r="D57" s="1">
        <f>SUM(OSRRefD22_9x_0)</f>
        <v>170</v>
      </c>
      <c r="E57" s="1"/>
      <c r="F57" s="5">
        <f t="shared" ref="F57:F60" si="32">IF(D$12=0,0,D57/D$12)</f>
        <v>0</v>
      </c>
      <c r="G57" s="1"/>
      <c r="H57" s="1">
        <f>SUM(OSRRefH22_9x_0)</f>
        <v>165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5</v>
      </c>
      <c r="M57" s="1"/>
      <c r="N57" s="5">
        <f t="shared" ref="N57:N60" si="35">IF(H57=0,0,L57/H57)</f>
        <v>3.0303030303030304E-2</v>
      </c>
      <c r="O57" s="13"/>
      <c r="P57" s="1">
        <f>SUM(OSRRefP22_9x_0)</f>
        <v>612.85</v>
      </c>
      <c r="Q57" s="1"/>
      <c r="R57" s="5">
        <f t="shared" ref="R57:R60" si="36">IF(P$12=0,0,P57/P$12)</f>
        <v>0</v>
      </c>
      <c r="S57" s="1"/>
      <c r="T57" s="1">
        <f>SUM(OSRRefT22_9x_0)</f>
        <v>660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-47.149999999999977</v>
      </c>
      <c r="Y57" s="1"/>
      <c r="Z57" s="5">
        <f t="shared" ref="Z57:Z60" si="39">IF(T57=0,0,X57/T57)</f>
        <v>-7.14393939393939E-2</v>
      </c>
    </row>
    <row r="58" spans="1:26" s="24" customFormat="1" hidden="1" outlineLevel="2" x14ac:dyDescent="0.25">
      <c r="A58" s="27"/>
      <c r="B58" s="11" t="str">
        <f>CONCATENATE("          ", "6309", " - ", "TELEPHONE")</f>
        <v xml:space="preserve">          6309 - TELEPHONE</v>
      </c>
      <c r="C58" s="11"/>
      <c r="D58" s="6">
        <v>170</v>
      </c>
      <c r="E58" s="2"/>
      <c r="F58" s="7">
        <f t="shared" si="32"/>
        <v>0</v>
      </c>
      <c r="G58" s="2"/>
      <c r="H58" s="6">
        <v>165</v>
      </c>
      <c r="I58" s="2"/>
      <c r="J58" s="7">
        <f t="shared" si="33"/>
        <v>0</v>
      </c>
      <c r="K58" s="2"/>
      <c r="L58" s="6">
        <f t="shared" si="34"/>
        <v>5</v>
      </c>
      <c r="M58" s="2"/>
      <c r="N58" s="7">
        <f t="shared" si="35"/>
        <v>3.0303030303030304E-2</v>
      </c>
      <c r="O58" s="11"/>
      <c r="P58" s="6">
        <v>612.85</v>
      </c>
      <c r="Q58" s="2"/>
      <c r="R58" s="7">
        <f t="shared" si="36"/>
        <v>0</v>
      </c>
      <c r="S58" s="2"/>
      <c r="T58" s="6">
        <v>660</v>
      </c>
      <c r="U58" s="2"/>
      <c r="V58" s="7">
        <f t="shared" si="37"/>
        <v>0</v>
      </c>
      <c r="W58" s="2"/>
      <c r="X58" s="6">
        <f t="shared" si="38"/>
        <v>-47.149999999999977</v>
      </c>
      <c r="Y58" s="2"/>
      <c r="Z58" s="7">
        <f t="shared" si="39"/>
        <v>-7.14393939393939E-2</v>
      </c>
    </row>
    <row r="59" spans="1:26" s="26" customFormat="1" outlineLevel="1" collapsed="1" x14ac:dyDescent="0.25">
      <c r="A59" s="25"/>
      <c r="B59" s="13" t="str">
        <f>CONCATENATE("     ","Training                                          ")</f>
        <v xml:space="preserve">     Training                                          </v>
      </c>
      <c r="C59" s="13"/>
      <c r="D59" s="1">
        <f>SUM(OSRRefD22_10x_0)</f>
        <v>80</v>
      </c>
      <c r="E59" s="1"/>
      <c r="F59" s="5">
        <f t="shared" si="32"/>
        <v>0</v>
      </c>
      <c r="G59" s="1"/>
      <c r="H59" s="1">
        <f>SUM(OSRRefH22_10x_0)</f>
        <v>0</v>
      </c>
      <c r="I59" s="1"/>
      <c r="J59" s="5">
        <f t="shared" si="33"/>
        <v>0</v>
      </c>
      <c r="K59" s="1"/>
      <c r="L59" s="1">
        <f t="shared" si="34"/>
        <v>80</v>
      </c>
      <c r="M59" s="1"/>
      <c r="N59" s="5">
        <f t="shared" si="35"/>
        <v>0</v>
      </c>
      <c r="O59" s="13"/>
      <c r="P59" s="1">
        <f>SUM(OSRRefP22_10x_0)</f>
        <v>80</v>
      </c>
      <c r="Q59" s="1"/>
      <c r="R59" s="5">
        <f t="shared" si="36"/>
        <v>0</v>
      </c>
      <c r="S59" s="1"/>
      <c r="T59" s="1">
        <f>SUM(OSRRefT22_10x_0)</f>
        <v>0</v>
      </c>
      <c r="U59" s="1"/>
      <c r="V59" s="5">
        <f t="shared" si="37"/>
        <v>0</v>
      </c>
      <c r="W59" s="1"/>
      <c r="X59" s="1">
        <f t="shared" si="38"/>
        <v>80</v>
      </c>
      <c r="Y59" s="1"/>
      <c r="Z59" s="5">
        <f t="shared" si="39"/>
        <v>0</v>
      </c>
    </row>
    <row r="60" spans="1:26" s="24" customFormat="1" hidden="1" outlineLevel="2" x14ac:dyDescent="0.25">
      <c r="A60" s="27"/>
      <c r="B60" s="11" t="str">
        <f>CONCATENATE("          ", "6376", " - ", "TRAINING")</f>
        <v xml:space="preserve">          6376 - TRAINING</v>
      </c>
      <c r="C60" s="11"/>
      <c r="D60" s="6">
        <v>80</v>
      </c>
      <c r="E60" s="2"/>
      <c r="F60" s="7">
        <f t="shared" si="32"/>
        <v>0</v>
      </c>
      <c r="G60" s="2"/>
      <c r="H60" s="6"/>
      <c r="I60" s="2"/>
      <c r="J60" s="7">
        <f t="shared" si="33"/>
        <v>0</v>
      </c>
      <c r="K60" s="2"/>
      <c r="L60" s="6">
        <f t="shared" si="34"/>
        <v>80</v>
      </c>
      <c r="M60" s="2"/>
      <c r="N60" s="7">
        <f t="shared" si="35"/>
        <v>0</v>
      </c>
      <c r="O60" s="11"/>
      <c r="P60" s="6">
        <v>80</v>
      </c>
      <c r="Q60" s="2"/>
      <c r="R60" s="7">
        <f t="shared" si="36"/>
        <v>0</v>
      </c>
      <c r="S60" s="2"/>
      <c r="T60" s="6"/>
      <c r="U60" s="2"/>
      <c r="V60" s="7">
        <f t="shared" si="37"/>
        <v>0</v>
      </c>
      <c r="W60" s="2"/>
      <c r="X60" s="6">
        <f t="shared" si="38"/>
        <v>80</v>
      </c>
      <c r="Y60" s="2"/>
      <c r="Z60" s="7">
        <f t="shared" si="39"/>
        <v>0</v>
      </c>
    </row>
    <row r="61" spans="1:26" s="61" customFormat="1" x14ac:dyDescent="0.25">
      <c r="A61" s="36"/>
      <c r="B61" s="36"/>
      <c r="C61" s="36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9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8" t="s">
        <v>3</v>
      </c>
      <c r="C64" s="28"/>
      <c r="D64" s="22">
        <f>+D16-D18+D62</f>
        <v>-35902.289999999994</v>
      </c>
      <c r="E64" s="14"/>
      <c r="F64" s="20">
        <f>IF(D$12=0,0,D64/D$12)</f>
        <v>0</v>
      </c>
      <c r="G64" s="14"/>
      <c r="H64" s="22">
        <f>+H16-H18+H62</f>
        <v>-33482.283884545002</v>
      </c>
      <c r="I64" s="14"/>
      <c r="J64" s="20">
        <f>IF(H$12=0,0,H64/H$12)</f>
        <v>0</v>
      </c>
      <c r="K64" s="16"/>
      <c r="L64" s="22">
        <f>+D64-H64</f>
        <v>-2420.0061154549912</v>
      </c>
      <c r="M64" s="16"/>
      <c r="N64" s="20">
        <f>IF(H64=0,0,L64/H64)</f>
        <v>7.2277211548643347E-2</v>
      </c>
      <c r="O64" s="29"/>
      <c r="P64" s="22">
        <f>+P16-P18+P62</f>
        <v>-185765.77999999997</v>
      </c>
      <c r="Q64" s="14"/>
      <c r="R64" s="20">
        <f>IF(P$12=0,0,P64/P$12)</f>
        <v>0</v>
      </c>
      <c r="S64" s="14"/>
      <c r="T64" s="22">
        <f>+T16-T18+T62</f>
        <v>-198338.554906862</v>
      </c>
      <c r="U64" s="14"/>
      <c r="V64" s="20">
        <f>IF(T$12=0,0,T64/T$12)</f>
        <v>0</v>
      </c>
      <c r="W64" s="16"/>
      <c r="X64" s="22">
        <f>+P64-T64</f>
        <v>12572.774906862032</v>
      </c>
      <c r="Y64" s="16"/>
      <c r="Z64" s="20">
        <f>IF(T64=0,0,X64/T64)</f>
        <v>-6.3390473489968166E-2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2"/>
      <c r="B66" s="10" t="s">
        <v>14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4</v>
      </c>
      <c r="C68" s="28"/>
      <c r="D68" s="31">
        <f>+D64-D66</f>
        <v>-35902.289999999994</v>
      </c>
      <c r="E68" s="14"/>
      <c r="F68" s="33">
        <f>IF(D$12=0,0,D68/D$12)</f>
        <v>0</v>
      </c>
      <c r="G68" s="14"/>
      <c r="H68" s="31">
        <f>+H64-H66</f>
        <v>-33482.283884545002</v>
      </c>
      <c r="I68" s="14"/>
      <c r="J68" s="33">
        <f>IF(H$12=0,0,H68/H$12)</f>
        <v>0</v>
      </c>
      <c r="K68" s="16"/>
      <c r="L68" s="31">
        <f>D68-H68</f>
        <v>-2420.0061154549912</v>
      </c>
      <c r="M68" s="16"/>
      <c r="N68" s="33">
        <f>IF(H68=0,0,L68/H68)</f>
        <v>7.2277211548643347E-2</v>
      </c>
      <c r="O68" s="29"/>
      <c r="P68" s="31">
        <f>+P64-P66</f>
        <v>-185765.77999999997</v>
      </c>
      <c r="Q68" s="14"/>
      <c r="R68" s="33">
        <f>IF(P$12=0,0,P68/P$12)</f>
        <v>0</v>
      </c>
      <c r="S68" s="14"/>
      <c r="T68" s="31">
        <f>+T64-T66</f>
        <v>-198338.554906862</v>
      </c>
      <c r="U68" s="14"/>
      <c r="V68" s="33">
        <f>IF(T$12=0,0,T68/T$12)</f>
        <v>0</v>
      </c>
      <c r="W68" s="16"/>
      <c r="X68" s="31">
        <f>P68-T68</f>
        <v>12572.774906862032</v>
      </c>
      <c r="Y68" s="16"/>
      <c r="Z68" s="33">
        <f>IF(T68=0,0,X68/T68)</f>
        <v>-6.3390473489968166E-2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8" t="s">
        <v>5</v>
      </c>
      <c r="C71" s="28"/>
      <c r="D71" s="32">
        <f>SUM(D68:D70)</f>
        <v>-35902.289999999994</v>
      </c>
      <c r="E71" s="14"/>
      <c r="F71" s="34">
        <f>IF(D$12=0,0,D71/D$12)</f>
        <v>0</v>
      </c>
      <c r="G71" s="14"/>
      <c r="H71" s="32">
        <f>SUM(H68:H70)</f>
        <v>-33482.283884545002</v>
      </c>
      <c r="I71" s="14"/>
      <c r="J71" s="34">
        <f>IF(H$12=0,0,H71/H$12)</f>
        <v>0</v>
      </c>
      <c r="K71" s="16"/>
      <c r="L71" s="32">
        <f>+D71-H71</f>
        <v>-2420.0061154549912</v>
      </c>
      <c r="M71" s="16"/>
      <c r="N71" s="34">
        <f>IF(H71=0,0,L71/H71)</f>
        <v>7.2277211548643347E-2</v>
      </c>
      <c r="O71" s="29"/>
      <c r="P71" s="32">
        <f>SUM(P68:P70)</f>
        <v>-185765.77999999997</v>
      </c>
      <c r="Q71" s="14"/>
      <c r="R71" s="34">
        <f>IF(P$12=0,0,P71/P$12)</f>
        <v>0</v>
      </c>
      <c r="S71" s="14"/>
      <c r="T71" s="32">
        <f>SUM(T68:T70)</f>
        <v>-198338.554906862</v>
      </c>
      <c r="U71" s="14"/>
      <c r="V71" s="34">
        <f>IF(T$12=0,0,T71/T$12)</f>
        <v>0</v>
      </c>
      <c r="W71" s="16"/>
      <c r="X71" s="32">
        <f>+P71-T71</f>
        <v>12572.774906862032</v>
      </c>
      <c r="Y71" s="16"/>
      <c r="Z71" s="34">
        <f>IF(T71=0,0,X71/T71)</f>
        <v>-6.3390473489968166E-2</v>
      </c>
    </row>
    <row r="72" spans="1:26" ht="15.75" thickTop="1" x14ac:dyDescent="0.25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0">
        <v>43791.348096064816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4" t="s">
        <v>314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55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306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115804.00999999998</v>
      </c>
      <c r="E12" s="4"/>
      <c r="F12" s="12"/>
      <c r="G12" s="4"/>
      <c r="H12" s="4">
        <f>SUM(OSRRefH13x_0)</f>
        <v>126060</v>
      </c>
      <c r="I12" s="4"/>
      <c r="J12" s="12"/>
      <c r="K12" s="4"/>
      <c r="L12" s="4">
        <f t="shared" ref="L12:L47" si="0">+D12-H12</f>
        <v>-10255.99000000002</v>
      </c>
      <c r="M12" s="4"/>
      <c r="N12" s="12">
        <f t="shared" ref="N12:N47" si="1">IF(H12=0,0,L12/H12)</f>
        <v>-8.1358004125019992E-2</v>
      </c>
      <c r="O12" s="10"/>
      <c r="P12" s="4">
        <f>SUM(OSRRefP13x_0)</f>
        <v>406532.96000000008</v>
      </c>
      <c r="Q12" s="4"/>
      <c r="R12" s="12"/>
      <c r="S12" s="4"/>
      <c r="T12" s="4">
        <f>SUM(OSRRefT13x_0)</f>
        <v>442808</v>
      </c>
      <c r="U12" s="4"/>
      <c r="V12" s="12"/>
      <c r="W12" s="4"/>
      <c r="X12" s="4">
        <f t="shared" ref="X12:X47" si="2">+P12-T12</f>
        <v>-36275.039999999921</v>
      </c>
      <c r="Y12" s="4"/>
      <c r="Z12" s="12">
        <f t="shared" ref="Z12:Z47" si="3">IF(T12=0,0,X12/T12)</f>
        <v>-8.1920471174865672E-2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99613</v>
      </c>
      <c r="I13" s="2"/>
      <c r="J13" s="19"/>
      <c r="K13" s="2"/>
      <c r="L13" s="2">
        <f t="shared" si="0"/>
        <v>-99613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379090</v>
      </c>
      <c r="U13" s="2"/>
      <c r="V13" s="19"/>
      <c r="W13" s="2"/>
      <c r="X13" s="2">
        <f t="shared" si="2"/>
        <v>-379090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--2.98</f>
        <v>2.98</v>
      </c>
      <c r="E14" s="2"/>
      <c r="F14" s="19"/>
      <c r="G14" s="2"/>
      <c r="H14" s="2"/>
      <c r="I14" s="2"/>
      <c r="J14" s="19"/>
      <c r="K14" s="2"/>
      <c r="L14" s="2">
        <f t="shared" si="0"/>
        <v>2.98</v>
      </c>
      <c r="M14" s="2"/>
      <c r="N14" s="19">
        <f t="shared" si="1"/>
        <v>0</v>
      </c>
      <c r="O14" s="11"/>
      <c r="P14" s="2">
        <f>--225.67</f>
        <v>225.67</v>
      </c>
      <c r="Q14" s="2"/>
      <c r="R14" s="19"/>
      <c r="S14" s="2"/>
      <c r="T14" s="2"/>
      <c r="U14" s="2"/>
      <c r="V14" s="19"/>
      <c r="W14" s="2"/>
      <c r="X14" s="2">
        <f t="shared" si="2"/>
        <v>225.67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--14.95</f>
        <v>14.95</v>
      </c>
      <c r="E15" s="2"/>
      <c r="F15" s="19"/>
      <c r="G15" s="2"/>
      <c r="H15" s="2"/>
      <c r="I15" s="2"/>
      <c r="J15" s="19"/>
      <c r="K15" s="2"/>
      <c r="L15" s="2">
        <f t="shared" si="0"/>
        <v>14.95</v>
      </c>
      <c r="M15" s="2"/>
      <c r="N15" s="19">
        <f t="shared" si="1"/>
        <v>0</v>
      </c>
      <c r="O15" s="11"/>
      <c r="P15" s="2">
        <f>--29.9</f>
        <v>29.9</v>
      </c>
      <c r="Q15" s="2"/>
      <c r="R15" s="19"/>
      <c r="S15" s="2"/>
      <c r="T15" s="2"/>
      <c r="U15" s="2"/>
      <c r="V15" s="19"/>
      <c r="W15" s="2"/>
      <c r="X15" s="2">
        <f t="shared" si="2"/>
        <v>29.9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--10035.97</f>
        <v>10035.969999999999</v>
      </c>
      <c r="E16" s="2"/>
      <c r="F16" s="19"/>
      <c r="G16" s="2"/>
      <c r="H16" s="2"/>
      <c r="I16" s="2"/>
      <c r="J16" s="19"/>
      <c r="K16" s="2"/>
      <c r="L16" s="2">
        <f t="shared" si="0"/>
        <v>10035.969999999999</v>
      </c>
      <c r="M16" s="2"/>
      <c r="N16" s="19">
        <f t="shared" si="1"/>
        <v>0</v>
      </c>
      <c r="O16" s="11"/>
      <c r="P16" s="2">
        <f>--26332.04</f>
        <v>26332.04</v>
      </c>
      <c r="Q16" s="2"/>
      <c r="R16" s="19"/>
      <c r="S16" s="2"/>
      <c r="T16" s="2"/>
      <c r="U16" s="2"/>
      <c r="V16" s="19"/>
      <c r="W16" s="2"/>
      <c r="X16" s="2">
        <f t="shared" si="2"/>
        <v>26332.04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--12548.68</f>
        <v>12548.68</v>
      </c>
      <c r="E17" s="2"/>
      <c r="F17" s="19"/>
      <c r="G17" s="2"/>
      <c r="H17" s="2"/>
      <c r="I17" s="2"/>
      <c r="J17" s="19"/>
      <c r="K17" s="2"/>
      <c r="L17" s="2">
        <f t="shared" si="0"/>
        <v>12548.68</v>
      </c>
      <c r="M17" s="2"/>
      <c r="N17" s="19">
        <f t="shared" si="1"/>
        <v>0</v>
      </c>
      <c r="O17" s="11"/>
      <c r="P17" s="2">
        <f>--36964.26</f>
        <v>36964.26</v>
      </c>
      <c r="Q17" s="2"/>
      <c r="R17" s="19"/>
      <c r="S17" s="2"/>
      <c r="T17" s="2"/>
      <c r="U17" s="2"/>
      <c r="V17" s="19"/>
      <c r="W17" s="2"/>
      <c r="X17" s="2">
        <f t="shared" si="2"/>
        <v>36964.26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--20952.95</f>
        <v>20952.95</v>
      </c>
      <c r="E18" s="2"/>
      <c r="F18" s="19"/>
      <c r="G18" s="2"/>
      <c r="H18" s="2"/>
      <c r="I18" s="2"/>
      <c r="J18" s="19"/>
      <c r="K18" s="2"/>
      <c r="L18" s="2">
        <f t="shared" si="0"/>
        <v>20952.95</v>
      </c>
      <c r="M18" s="2"/>
      <c r="N18" s="19">
        <f t="shared" si="1"/>
        <v>0</v>
      </c>
      <c r="O18" s="11"/>
      <c r="P18" s="2">
        <f>--144225.63</f>
        <v>144225.63</v>
      </c>
      <c r="Q18" s="2"/>
      <c r="R18" s="19"/>
      <c r="S18" s="2"/>
      <c r="T18" s="2"/>
      <c r="U18" s="2"/>
      <c r="V18" s="19"/>
      <c r="W18" s="2"/>
      <c r="X18" s="2">
        <f t="shared" si="2"/>
        <v>144225.63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--45836.99</f>
        <v>45836.99</v>
      </c>
      <c r="E19" s="2"/>
      <c r="F19" s="19"/>
      <c r="G19" s="2"/>
      <c r="H19" s="2"/>
      <c r="I19" s="2"/>
      <c r="J19" s="19"/>
      <c r="K19" s="2"/>
      <c r="L19" s="2">
        <f t="shared" si="0"/>
        <v>45836.99</v>
      </c>
      <c r="M19" s="2"/>
      <c r="N19" s="19">
        <f t="shared" si="1"/>
        <v>0</v>
      </c>
      <c r="O19" s="11"/>
      <c r="P19" s="2">
        <f>--146564.67</f>
        <v>146564.67000000001</v>
      </c>
      <c r="Q19" s="2"/>
      <c r="R19" s="19"/>
      <c r="S19" s="2"/>
      <c r="T19" s="2"/>
      <c r="U19" s="2"/>
      <c r="V19" s="19"/>
      <c r="W19" s="2"/>
      <c r="X19" s="2">
        <f t="shared" si="2"/>
        <v>146564.67000000001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--100.46</f>
        <v>100.46</v>
      </c>
      <c r="E20" s="2"/>
      <c r="F20" s="19"/>
      <c r="G20" s="2"/>
      <c r="H20" s="2"/>
      <c r="I20" s="2"/>
      <c r="J20" s="19"/>
      <c r="K20" s="2"/>
      <c r="L20" s="2">
        <f t="shared" si="0"/>
        <v>100.46</v>
      </c>
      <c r="M20" s="2"/>
      <c r="N20" s="19">
        <f t="shared" si="1"/>
        <v>0</v>
      </c>
      <c r="O20" s="11"/>
      <c r="P20" s="2">
        <f>--221.28</f>
        <v>221.28</v>
      </c>
      <c r="Q20" s="2"/>
      <c r="R20" s="19"/>
      <c r="S20" s="2"/>
      <c r="T20" s="2"/>
      <c r="U20" s="2"/>
      <c r="V20" s="19"/>
      <c r="W20" s="2"/>
      <c r="X20" s="2">
        <f t="shared" si="2"/>
        <v>221.28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--32.07</f>
        <v>32.07</v>
      </c>
      <c r="E21" s="2"/>
      <c r="F21" s="19"/>
      <c r="G21" s="2"/>
      <c r="H21" s="2"/>
      <c r="I21" s="2"/>
      <c r="J21" s="19"/>
      <c r="K21" s="2"/>
      <c r="L21" s="2">
        <f t="shared" si="0"/>
        <v>32.07</v>
      </c>
      <c r="M21" s="2"/>
      <c r="N21" s="19">
        <f t="shared" si="1"/>
        <v>0</v>
      </c>
      <c r="O21" s="11"/>
      <c r="P21" s="2">
        <f>--53.42</f>
        <v>53.42</v>
      </c>
      <c r="Q21" s="2"/>
      <c r="R21" s="19"/>
      <c r="S21" s="2"/>
      <c r="T21" s="2"/>
      <c r="U21" s="2"/>
      <c r="V21" s="19"/>
      <c r="W21" s="2"/>
      <c r="X21" s="2">
        <f t="shared" si="2"/>
        <v>53.42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--44.43</f>
        <v>44.43</v>
      </c>
      <c r="E22" s="2"/>
      <c r="F22" s="19"/>
      <c r="G22" s="2"/>
      <c r="H22" s="2"/>
      <c r="I22" s="2"/>
      <c r="J22" s="19"/>
      <c r="K22" s="2"/>
      <c r="L22" s="2">
        <f t="shared" si="0"/>
        <v>44.43</v>
      </c>
      <c r="M22" s="2"/>
      <c r="N22" s="19">
        <f t="shared" si="1"/>
        <v>0</v>
      </c>
      <c r="O22" s="11"/>
      <c r="P22" s="2">
        <f>--85.4</f>
        <v>85.4</v>
      </c>
      <c r="Q22" s="2"/>
      <c r="R22" s="19"/>
      <c r="S22" s="2"/>
      <c r="T22" s="2"/>
      <c r="U22" s="2"/>
      <c r="V22" s="19"/>
      <c r="W22" s="2"/>
      <c r="X22" s="2">
        <f t="shared" si="2"/>
        <v>85.4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--1854.69</f>
        <v>1854.69</v>
      </c>
      <c r="E23" s="2"/>
      <c r="F23" s="19"/>
      <c r="G23" s="2"/>
      <c r="H23" s="2"/>
      <c r="I23" s="2"/>
      <c r="J23" s="19"/>
      <c r="K23" s="2"/>
      <c r="L23" s="2">
        <f t="shared" si="0"/>
        <v>1854.69</v>
      </c>
      <c r="M23" s="2"/>
      <c r="N23" s="19">
        <f t="shared" si="1"/>
        <v>0</v>
      </c>
      <c r="O23" s="11"/>
      <c r="P23" s="2">
        <f>--3714.24</f>
        <v>3714.24</v>
      </c>
      <c r="Q23" s="2"/>
      <c r="R23" s="19"/>
      <c r="S23" s="2"/>
      <c r="T23" s="2"/>
      <c r="U23" s="2"/>
      <c r="V23" s="19"/>
      <c r="W23" s="2"/>
      <c r="X23" s="2">
        <f t="shared" si="2"/>
        <v>3714.24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--425.93</f>
        <v>425.93</v>
      </c>
      <c r="E24" s="2"/>
      <c r="F24" s="19"/>
      <c r="G24" s="2"/>
      <c r="H24" s="2"/>
      <c r="I24" s="2"/>
      <c r="J24" s="19"/>
      <c r="K24" s="2"/>
      <c r="L24" s="2">
        <f t="shared" si="0"/>
        <v>425.93</v>
      </c>
      <c r="M24" s="2"/>
      <c r="N24" s="19">
        <f t="shared" si="1"/>
        <v>0</v>
      </c>
      <c r="O24" s="11"/>
      <c r="P24" s="2">
        <f>--864.36</f>
        <v>864.36</v>
      </c>
      <c r="Q24" s="2"/>
      <c r="R24" s="19"/>
      <c r="S24" s="2"/>
      <c r="T24" s="2"/>
      <c r="U24" s="2"/>
      <c r="V24" s="19"/>
      <c r="W24" s="2"/>
      <c r="X24" s="2">
        <f t="shared" si="2"/>
        <v>864.36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--128.42</f>
        <v>128.41999999999999</v>
      </c>
      <c r="E25" s="2"/>
      <c r="F25" s="19"/>
      <c r="G25" s="2"/>
      <c r="H25" s="2"/>
      <c r="I25" s="2"/>
      <c r="J25" s="19"/>
      <c r="K25" s="2"/>
      <c r="L25" s="2">
        <f t="shared" si="0"/>
        <v>128.41999999999999</v>
      </c>
      <c r="M25" s="2"/>
      <c r="N25" s="19">
        <f t="shared" si="1"/>
        <v>0</v>
      </c>
      <c r="O25" s="11"/>
      <c r="P25" s="2">
        <f>--302.57</f>
        <v>302.57</v>
      </c>
      <c r="Q25" s="2"/>
      <c r="R25" s="19"/>
      <c r="S25" s="2"/>
      <c r="T25" s="2"/>
      <c r="U25" s="2"/>
      <c r="V25" s="19"/>
      <c r="W25" s="2"/>
      <c r="X25" s="2">
        <f t="shared" si="2"/>
        <v>302.57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--873.49</f>
        <v>873.49</v>
      </c>
      <c r="E26" s="2"/>
      <c r="F26" s="19"/>
      <c r="G26" s="2"/>
      <c r="H26" s="2"/>
      <c r="I26" s="2"/>
      <c r="J26" s="19"/>
      <c r="K26" s="2"/>
      <c r="L26" s="2">
        <f t="shared" si="0"/>
        <v>873.49</v>
      </c>
      <c r="M26" s="2"/>
      <c r="N26" s="19">
        <f t="shared" si="1"/>
        <v>0</v>
      </c>
      <c r="O26" s="11"/>
      <c r="P26" s="2">
        <f>--1792.91</f>
        <v>1792.91</v>
      </c>
      <c r="Q26" s="2"/>
      <c r="R26" s="19"/>
      <c r="S26" s="2"/>
      <c r="T26" s="2"/>
      <c r="U26" s="2"/>
      <c r="V26" s="19"/>
      <c r="W26" s="2"/>
      <c r="X26" s="2">
        <f t="shared" si="2"/>
        <v>1792.91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--162</f>
        <v>162</v>
      </c>
      <c r="Q27" s="2"/>
      <c r="R27" s="19"/>
      <c r="S27" s="2"/>
      <c r="T27" s="2"/>
      <c r="U27" s="2"/>
      <c r="V27" s="19"/>
      <c r="W27" s="2"/>
      <c r="X27" s="2">
        <f t="shared" si="2"/>
        <v>162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--129.89</f>
        <v>129.88999999999999</v>
      </c>
      <c r="E28" s="2"/>
      <c r="F28" s="19"/>
      <c r="G28" s="2"/>
      <c r="H28" s="2"/>
      <c r="I28" s="2"/>
      <c r="J28" s="19"/>
      <c r="K28" s="2"/>
      <c r="L28" s="2">
        <f t="shared" si="0"/>
        <v>129.88999999999999</v>
      </c>
      <c r="M28" s="2"/>
      <c r="N28" s="19">
        <f t="shared" si="1"/>
        <v>0</v>
      </c>
      <c r="O28" s="11"/>
      <c r="P28" s="2">
        <f>--429.69</f>
        <v>429.69</v>
      </c>
      <c r="Q28" s="2"/>
      <c r="R28" s="19"/>
      <c r="S28" s="2"/>
      <c r="T28" s="2"/>
      <c r="U28" s="2"/>
      <c r="V28" s="19"/>
      <c r="W28" s="2"/>
      <c r="X28" s="2">
        <f t="shared" si="2"/>
        <v>429.69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--80.97</f>
        <v>80.97</v>
      </c>
      <c r="E29" s="2"/>
      <c r="F29" s="19"/>
      <c r="G29" s="2"/>
      <c r="H29" s="2"/>
      <c r="I29" s="2"/>
      <c r="J29" s="19"/>
      <c r="K29" s="2"/>
      <c r="L29" s="2">
        <f t="shared" si="0"/>
        <v>80.97</v>
      </c>
      <c r="M29" s="2"/>
      <c r="N29" s="19">
        <f t="shared" si="1"/>
        <v>0</v>
      </c>
      <c r="O29" s="11"/>
      <c r="P29" s="2">
        <f>--534.79</f>
        <v>534.79</v>
      </c>
      <c r="Q29" s="2"/>
      <c r="R29" s="19"/>
      <c r="S29" s="2"/>
      <c r="T29" s="2"/>
      <c r="U29" s="2"/>
      <c r="V29" s="19"/>
      <c r="W29" s="2"/>
      <c r="X29" s="2">
        <f t="shared" si="2"/>
        <v>534.79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"4100", " - ", "NON-TAXABLE SALES")</f>
        <v xml:space="preserve">          4100 - NON-TAXABLE SALES</v>
      </c>
      <c r="C30" s="11"/>
      <c r="D30" s="2">
        <f t="shared" ref="D30:D31" si="4">0</f>
        <v>0</v>
      </c>
      <c r="E30" s="2"/>
      <c r="F30" s="19"/>
      <c r="G30" s="2"/>
      <c r="H30" s="2">
        <v>26447</v>
      </c>
      <c r="I30" s="2"/>
      <c r="J30" s="19"/>
      <c r="K30" s="2"/>
      <c r="L30" s="2">
        <f t="shared" si="0"/>
        <v>-26447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v>63718</v>
      </c>
      <c r="U30" s="2"/>
      <c r="V30" s="19"/>
      <c r="W30" s="2"/>
      <c r="X30" s="2">
        <f t="shared" si="2"/>
        <v>-63718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--124.18</f>
        <v>124.18</v>
      </c>
      <c r="Q31" s="2"/>
      <c r="R31" s="19"/>
      <c r="S31" s="2"/>
      <c r="T31" s="2"/>
      <c r="U31" s="2"/>
      <c r="V31" s="19"/>
      <c r="W31" s="2"/>
      <c r="X31" s="2">
        <f t="shared" si="2"/>
        <v>124.18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--115.27</f>
        <v>115.27</v>
      </c>
      <c r="E32" s="2"/>
      <c r="F32" s="19"/>
      <c r="G32" s="2"/>
      <c r="H32" s="2"/>
      <c r="I32" s="2"/>
      <c r="J32" s="19"/>
      <c r="K32" s="2"/>
      <c r="L32" s="2">
        <f t="shared" si="0"/>
        <v>115.27</v>
      </c>
      <c r="M32" s="2"/>
      <c r="N32" s="19">
        <f t="shared" si="1"/>
        <v>0</v>
      </c>
      <c r="O32" s="11"/>
      <c r="P32" s="2">
        <f>--1458.53</f>
        <v>1458.53</v>
      </c>
      <c r="Q32" s="2"/>
      <c r="R32" s="19"/>
      <c r="S32" s="2"/>
      <c r="T32" s="2"/>
      <c r="U32" s="2"/>
      <c r="V32" s="19"/>
      <c r="W32" s="2"/>
      <c r="X32" s="2">
        <f t="shared" si="2"/>
        <v>1458.53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--179.63</f>
        <v>179.63</v>
      </c>
      <c r="E33" s="2"/>
      <c r="F33" s="19"/>
      <c r="G33" s="2"/>
      <c r="H33" s="2"/>
      <c r="I33" s="2"/>
      <c r="J33" s="19"/>
      <c r="K33" s="2"/>
      <c r="L33" s="2">
        <f t="shared" si="0"/>
        <v>179.63</v>
      </c>
      <c r="M33" s="2"/>
      <c r="N33" s="19">
        <f t="shared" si="1"/>
        <v>0</v>
      </c>
      <c r="O33" s="11"/>
      <c r="P33" s="2">
        <f>--2597.12</f>
        <v>2597.12</v>
      </c>
      <c r="Q33" s="2"/>
      <c r="R33" s="19"/>
      <c r="S33" s="2"/>
      <c r="T33" s="2"/>
      <c r="U33" s="2"/>
      <c r="V33" s="19"/>
      <c r="W33" s="2"/>
      <c r="X33" s="2">
        <f t="shared" si="2"/>
        <v>2597.12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>--85.82</f>
        <v>85.82</v>
      </c>
      <c r="E34" s="2"/>
      <c r="F34" s="19"/>
      <c r="G34" s="2"/>
      <c r="H34" s="2"/>
      <c r="I34" s="2"/>
      <c r="J34" s="19"/>
      <c r="K34" s="2"/>
      <c r="L34" s="2">
        <f t="shared" si="0"/>
        <v>85.82</v>
      </c>
      <c r="M34" s="2"/>
      <c r="N34" s="19">
        <f t="shared" si="1"/>
        <v>0</v>
      </c>
      <c r="O34" s="11"/>
      <c r="P34" s="2">
        <f>--348.72</f>
        <v>348.72</v>
      </c>
      <c r="Q34" s="2"/>
      <c r="R34" s="19"/>
      <c r="S34" s="2"/>
      <c r="T34" s="2"/>
      <c r="U34" s="2"/>
      <c r="V34" s="19"/>
      <c r="W34" s="2"/>
      <c r="X34" s="2">
        <f t="shared" si="2"/>
        <v>348.72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--13457.13</f>
        <v>13457.13</v>
      </c>
      <c r="E35" s="2"/>
      <c r="F35" s="19"/>
      <c r="G35" s="2"/>
      <c r="H35" s="2"/>
      <c r="I35" s="2"/>
      <c r="J35" s="19"/>
      <c r="K35" s="2"/>
      <c r="L35" s="2">
        <f t="shared" si="0"/>
        <v>13457.13</v>
      </c>
      <c r="M35" s="2"/>
      <c r="N35" s="19">
        <f t="shared" si="1"/>
        <v>0</v>
      </c>
      <c r="O35" s="11"/>
      <c r="P35" s="2">
        <f>--26722.42</f>
        <v>26722.42</v>
      </c>
      <c r="Q35" s="2"/>
      <c r="R35" s="19"/>
      <c r="S35" s="2"/>
      <c r="T35" s="2"/>
      <c r="U35" s="2"/>
      <c r="V35" s="19"/>
      <c r="W35" s="2"/>
      <c r="X35" s="2">
        <f t="shared" si="2"/>
        <v>26722.42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--3958.43</f>
        <v>3958.43</v>
      </c>
      <c r="E36" s="2"/>
      <c r="F36" s="19"/>
      <c r="G36" s="2"/>
      <c r="H36" s="2"/>
      <c r="I36" s="2"/>
      <c r="J36" s="19"/>
      <c r="K36" s="2"/>
      <c r="L36" s="2">
        <f t="shared" si="0"/>
        <v>3958.43</v>
      </c>
      <c r="M36" s="2"/>
      <c r="N36" s="19">
        <f t="shared" si="1"/>
        <v>0</v>
      </c>
      <c r="O36" s="11"/>
      <c r="P36" s="2">
        <f>--7768.8</f>
        <v>7768.8</v>
      </c>
      <c r="Q36" s="2"/>
      <c r="R36" s="19"/>
      <c r="S36" s="2"/>
      <c r="T36" s="2"/>
      <c r="U36" s="2"/>
      <c r="V36" s="19"/>
      <c r="W36" s="2"/>
      <c r="X36" s="2">
        <f t="shared" si="2"/>
        <v>7768.8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--3801.88</f>
        <v>3801.88</v>
      </c>
      <c r="E37" s="2"/>
      <c r="F37" s="19"/>
      <c r="G37" s="2"/>
      <c r="H37" s="2"/>
      <c r="I37" s="2"/>
      <c r="J37" s="19"/>
      <c r="K37" s="2"/>
      <c r="L37" s="2">
        <f t="shared" si="0"/>
        <v>3801.88</v>
      </c>
      <c r="M37" s="2"/>
      <c r="N37" s="19">
        <f t="shared" si="1"/>
        <v>0</v>
      </c>
      <c r="O37" s="11"/>
      <c r="P37" s="2">
        <f>--8466.86</f>
        <v>8466.86</v>
      </c>
      <c r="Q37" s="2"/>
      <c r="R37" s="19"/>
      <c r="S37" s="2"/>
      <c r="T37" s="2"/>
      <c r="U37" s="2"/>
      <c r="V37" s="19"/>
      <c r="W37" s="2"/>
      <c r="X37" s="2">
        <f t="shared" si="2"/>
        <v>8466.86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--17.9</f>
        <v>17.899999999999999</v>
      </c>
      <c r="E38" s="2"/>
      <c r="F38" s="19"/>
      <c r="G38" s="2"/>
      <c r="H38" s="2"/>
      <c r="I38" s="2"/>
      <c r="J38" s="19"/>
      <c r="K38" s="2"/>
      <c r="L38" s="2">
        <f t="shared" si="0"/>
        <v>17.899999999999999</v>
      </c>
      <c r="M38" s="2"/>
      <c r="N38" s="19">
        <f t="shared" si="1"/>
        <v>0</v>
      </c>
      <c r="O38" s="11"/>
      <c r="P38" s="2">
        <f>--103.96</f>
        <v>103.96</v>
      </c>
      <c r="Q38" s="2"/>
      <c r="R38" s="19"/>
      <c r="S38" s="2"/>
      <c r="T38" s="2"/>
      <c r="U38" s="2"/>
      <c r="V38" s="19"/>
      <c r="W38" s="2"/>
      <c r="X38" s="2">
        <f t="shared" si="2"/>
        <v>103.96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--2012.43</f>
        <v>2012.43</v>
      </c>
      <c r="E39" s="2"/>
      <c r="F39" s="19"/>
      <c r="G39" s="2"/>
      <c r="H39" s="2"/>
      <c r="I39" s="2"/>
      <c r="J39" s="19"/>
      <c r="K39" s="2"/>
      <c r="L39" s="2">
        <f t="shared" si="0"/>
        <v>2012.43</v>
      </c>
      <c r="M39" s="2"/>
      <c r="N39" s="19">
        <f t="shared" si="1"/>
        <v>0</v>
      </c>
      <c r="O39" s="11"/>
      <c r="P39" s="2">
        <f>--4179.8</f>
        <v>4179.8</v>
      </c>
      <c r="Q39" s="2"/>
      <c r="R39" s="19"/>
      <c r="S39" s="2"/>
      <c r="T39" s="2"/>
      <c r="U39" s="2"/>
      <c r="V39" s="19"/>
      <c r="W39" s="2"/>
      <c r="X39" s="2">
        <f t="shared" si="2"/>
        <v>4179.8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>--4.01</f>
        <v>4.01</v>
      </c>
      <c r="E40" s="2"/>
      <c r="F40" s="19"/>
      <c r="G40" s="2"/>
      <c r="H40" s="2"/>
      <c r="I40" s="2"/>
      <c r="J40" s="19"/>
      <c r="K40" s="2"/>
      <c r="L40" s="2">
        <f t="shared" si="0"/>
        <v>4.01</v>
      </c>
      <c r="M40" s="2"/>
      <c r="N40" s="19">
        <f t="shared" si="1"/>
        <v>0</v>
      </c>
      <c r="O40" s="11"/>
      <c r="P40" s="2">
        <f>-30.97</f>
        <v>-30.97</v>
      </c>
      <c r="Q40" s="2"/>
      <c r="R40" s="19"/>
      <c r="S40" s="2"/>
      <c r="T40" s="2"/>
      <c r="U40" s="2"/>
      <c r="V40" s="19"/>
      <c r="W40" s="2"/>
      <c r="X40" s="2">
        <f t="shared" si="2"/>
        <v>-30.97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>-2.98</f>
        <v>-2.98</v>
      </c>
      <c r="E41" s="2"/>
      <c r="F41" s="19"/>
      <c r="G41" s="2"/>
      <c r="H41" s="2"/>
      <c r="I41" s="2"/>
      <c r="J41" s="19"/>
      <c r="K41" s="2"/>
      <c r="L41" s="2">
        <f t="shared" si="0"/>
        <v>-2.98</v>
      </c>
      <c r="M41" s="2"/>
      <c r="N41" s="19">
        <f t="shared" si="1"/>
        <v>0</v>
      </c>
      <c r="O41" s="11"/>
      <c r="P41" s="2">
        <f>-2.98</f>
        <v>-2.98</v>
      </c>
      <c r="Q41" s="2"/>
      <c r="R41" s="19"/>
      <c r="S41" s="2"/>
      <c r="T41" s="2"/>
      <c r="U41" s="2"/>
      <c r="V41" s="19"/>
      <c r="W41" s="2"/>
      <c r="X41" s="2">
        <f t="shared" si="2"/>
        <v>-2.98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-8.45</f>
        <v>-8.4499999999999993</v>
      </c>
      <c r="E42" s="2"/>
      <c r="F42" s="19"/>
      <c r="G42" s="2"/>
      <c r="H42" s="2"/>
      <c r="I42" s="2"/>
      <c r="J42" s="19"/>
      <c r="K42" s="2"/>
      <c r="L42" s="2">
        <f t="shared" si="0"/>
        <v>-8.4499999999999993</v>
      </c>
      <c r="M42" s="2"/>
      <c r="N42" s="19">
        <f t="shared" si="1"/>
        <v>0</v>
      </c>
      <c r="O42" s="11"/>
      <c r="P42" s="2">
        <f>-41.55</f>
        <v>-41.55</v>
      </c>
      <c r="Q42" s="2"/>
      <c r="R42" s="19"/>
      <c r="S42" s="2"/>
      <c r="T42" s="2"/>
      <c r="U42" s="2"/>
      <c r="V42" s="19"/>
      <c r="W42" s="2"/>
      <c r="X42" s="2">
        <f t="shared" si="2"/>
        <v>-41.55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-32.1</f>
        <v>-32.1</v>
      </c>
      <c r="E43" s="2"/>
      <c r="F43" s="19"/>
      <c r="G43" s="2"/>
      <c r="H43" s="2"/>
      <c r="I43" s="2"/>
      <c r="J43" s="19"/>
      <c r="K43" s="2"/>
      <c r="L43" s="2">
        <f t="shared" si="0"/>
        <v>-32.1</v>
      </c>
      <c r="M43" s="2"/>
      <c r="N43" s="19">
        <f t="shared" si="1"/>
        <v>0</v>
      </c>
      <c r="O43" s="11"/>
      <c r="P43" s="2">
        <f>-341.17</f>
        <v>-341.17</v>
      </c>
      <c r="Q43" s="2"/>
      <c r="R43" s="19"/>
      <c r="S43" s="2"/>
      <c r="T43" s="2"/>
      <c r="U43" s="2"/>
      <c r="V43" s="19"/>
      <c r="W43" s="2"/>
      <c r="X43" s="2">
        <f t="shared" si="2"/>
        <v>-341.17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-324.85</f>
        <v>-324.85000000000002</v>
      </c>
      <c r="E44" s="2"/>
      <c r="F44" s="19"/>
      <c r="G44" s="2"/>
      <c r="H44" s="2"/>
      <c r="I44" s="2"/>
      <c r="J44" s="19"/>
      <c r="K44" s="2"/>
      <c r="L44" s="2">
        <f t="shared" si="0"/>
        <v>-324.85000000000002</v>
      </c>
      <c r="M44" s="2"/>
      <c r="N44" s="19">
        <f t="shared" si="1"/>
        <v>0</v>
      </c>
      <c r="O44" s="11"/>
      <c r="P44" s="2">
        <f>-4826.48</f>
        <v>-4826.4799999999996</v>
      </c>
      <c r="Q44" s="2"/>
      <c r="R44" s="19"/>
      <c r="S44" s="2"/>
      <c r="T44" s="2"/>
      <c r="U44" s="2"/>
      <c r="V44" s="19"/>
      <c r="W44" s="2"/>
      <c r="X44" s="2">
        <f t="shared" si="2"/>
        <v>-4826.4799999999996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-502.99</f>
        <v>-502.99</v>
      </c>
      <c r="E45" s="2"/>
      <c r="F45" s="19"/>
      <c r="G45" s="2"/>
      <c r="H45" s="2"/>
      <c r="I45" s="2"/>
      <c r="J45" s="19"/>
      <c r="K45" s="2"/>
      <c r="L45" s="2">
        <f t="shared" si="0"/>
        <v>-502.99</v>
      </c>
      <c r="M45" s="2"/>
      <c r="N45" s="19">
        <f t="shared" si="1"/>
        <v>0</v>
      </c>
      <c r="O45" s="11"/>
      <c r="P45" s="2">
        <f>-2430.26</f>
        <v>-2430.2600000000002</v>
      </c>
      <c r="Q45" s="2"/>
      <c r="R45" s="19"/>
      <c r="S45" s="2"/>
      <c r="T45" s="2"/>
      <c r="U45" s="2"/>
      <c r="V45" s="19"/>
      <c r="W45" s="2"/>
      <c r="X45" s="2">
        <f t="shared" si="2"/>
        <v>-2430.2600000000002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"4281", " - ", "SALES RETURN TAXABLE-ELECTRONI")</f>
        <v xml:space="preserve">          4281 - SALES RETURN TAXABLE-ELECTRONI</v>
      </c>
      <c r="C46" s="11"/>
      <c r="D46" s="2">
        <f>-19.99</f>
        <v>-19.989999999999998</v>
      </c>
      <c r="E46" s="2"/>
      <c r="F46" s="19"/>
      <c r="G46" s="2"/>
      <c r="H46" s="2"/>
      <c r="I46" s="2"/>
      <c r="J46" s="19"/>
      <c r="K46" s="2"/>
      <c r="L46" s="2">
        <f t="shared" si="0"/>
        <v>-19.989999999999998</v>
      </c>
      <c r="M46" s="2"/>
      <c r="N46" s="19">
        <f t="shared" si="1"/>
        <v>0</v>
      </c>
      <c r="O46" s="11"/>
      <c r="P46" s="2">
        <f>-44.98</f>
        <v>-44.98</v>
      </c>
      <c r="Q46" s="2"/>
      <c r="R46" s="19"/>
      <c r="S46" s="2"/>
      <c r="T46" s="2"/>
      <c r="U46" s="2"/>
      <c r="V46" s="19"/>
      <c r="W46" s="2"/>
      <c r="X46" s="2">
        <f t="shared" si="2"/>
        <v>-44.98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"4327", " - ", "SALES RETURN NON TAXABLE-SCHOO")</f>
        <v xml:space="preserve">          4327 - SALES RETURN NON TAXABLE-SCHOO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-21.87</f>
        <v>-21.87</v>
      </c>
      <c r="Q47" s="2"/>
      <c r="R47" s="19"/>
      <c r="S47" s="2"/>
      <c r="T47" s="2"/>
      <c r="U47" s="2"/>
      <c r="V47" s="19"/>
      <c r="W47" s="2"/>
      <c r="X47" s="2">
        <f t="shared" si="2"/>
        <v>-21.87</v>
      </c>
      <c r="Y47" s="2"/>
      <c r="Z47" s="19">
        <f t="shared" si="3"/>
        <v>0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collapsed="1" x14ac:dyDescent="0.25">
      <c r="A49" s="10"/>
      <c r="B49" s="29" t="s">
        <v>8</v>
      </c>
      <c r="C49" s="10"/>
      <c r="D49" s="4">
        <f>SUM(OSRRefD16x_0)</f>
        <v>58401.819999999978</v>
      </c>
      <c r="E49" s="4"/>
      <c r="F49" s="12">
        <f t="shared" ref="F49:F73" si="5">IF(D$12=0,0,D49/D$12)</f>
        <v>0.5043160422510411</v>
      </c>
      <c r="G49" s="4"/>
      <c r="H49" s="4">
        <f>SUM(OSRRefH16x_0)</f>
        <v>58718</v>
      </c>
      <c r="I49" s="4"/>
      <c r="J49" s="12">
        <f t="shared" ref="J49:J73" si="6">IF(H$12=0,0,H49/H$12)</f>
        <v>0.46579406631762654</v>
      </c>
      <c r="K49" s="4"/>
      <c r="L49" s="4">
        <f t="shared" ref="L49:L73" si="7">+D49-H49</f>
        <v>-316.18000000002212</v>
      </c>
      <c r="M49" s="4"/>
      <c r="N49" s="12">
        <f t="shared" ref="N49:N73" si="8">IF(H49=0,0,L49/H49)</f>
        <v>-5.3847201880176795E-3</v>
      </c>
      <c r="O49" s="10"/>
      <c r="P49" s="4">
        <f>SUM(OSRRefP16x_0)</f>
        <v>200353.72000000003</v>
      </c>
      <c r="Q49" s="4"/>
      <c r="R49" s="12">
        <f t="shared" ref="R49:R73" si="9">IF(P$12=0,0,P49/P$12)</f>
        <v>0.49283511969115612</v>
      </c>
      <c r="S49" s="4"/>
      <c r="T49" s="4">
        <f>SUM(OSRRefT16x_0)</f>
        <v>209872</v>
      </c>
      <c r="U49" s="4"/>
      <c r="V49" s="12">
        <f t="shared" ref="V49:V73" si="10">IF(T$12=0,0,T49/T$12)</f>
        <v>0.47395711007931202</v>
      </c>
      <c r="W49" s="4"/>
      <c r="X49" s="4">
        <f t="shared" ref="X49:X73" si="11">+P49-T49</f>
        <v>-9518.2799999999697</v>
      </c>
      <c r="Y49" s="4"/>
      <c r="Z49" s="12">
        <f t="shared" ref="Z49:Z73" si="12">IF(T49=0,0,X49/T49)</f>
        <v>-4.5352786460318525E-2</v>
      </c>
    </row>
    <row r="50" spans="1:26" s="24" customFormat="1" hidden="1" outlineLevel="1" x14ac:dyDescent="0.25">
      <c r="A50" s="44"/>
      <c r="B50" s="11" t="str">
        <f>CONCATENATE("          ", "5000", " - ", "PURCHASES @ COST")</f>
        <v xml:space="preserve">          5000 - PURCHASES @ COST</v>
      </c>
      <c r="C50" s="11"/>
      <c r="D50" s="2"/>
      <c r="E50" s="2"/>
      <c r="F50" s="19">
        <f t="shared" si="5"/>
        <v>0</v>
      </c>
      <c r="G50" s="2"/>
      <c r="H50" s="2">
        <v>58718</v>
      </c>
      <c r="I50" s="2"/>
      <c r="J50" s="19">
        <f t="shared" si="6"/>
        <v>0.46579406631762654</v>
      </c>
      <c r="K50" s="2"/>
      <c r="L50" s="2">
        <f t="shared" si="7"/>
        <v>-58718</v>
      </c>
      <c r="M50" s="2"/>
      <c r="N50" s="19">
        <f t="shared" si="8"/>
        <v>-1</v>
      </c>
      <c r="O50" s="11"/>
      <c r="P50" s="2"/>
      <c r="Q50" s="2"/>
      <c r="R50" s="19">
        <f t="shared" si="9"/>
        <v>0</v>
      </c>
      <c r="S50" s="2"/>
      <c r="T50" s="2">
        <v>209872</v>
      </c>
      <c r="U50" s="2"/>
      <c r="V50" s="19">
        <f t="shared" si="10"/>
        <v>0.47395711007931202</v>
      </c>
      <c r="W50" s="2"/>
      <c r="X50" s="2">
        <f t="shared" si="11"/>
        <v>-209872</v>
      </c>
      <c r="Y50" s="2"/>
      <c r="Z50" s="19">
        <f t="shared" si="12"/>
        <v>-1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>
        <v>14.46</v>
      </c>
      <c r="E51" s="2"/>
      <c r="F51" s="19">
        <f t="shared" si="5"/>
        <v>1.2486614237279005E-4</v>
      </c>
      <c r="G51" s="2"/>
      <c r="H51" s="2"/>
      <c r="I51" s="2"/>
      <c r="J51" s="19">
        <f t="shared" si="6"/>
        <v>0</v>
      </c>
      <c r="K51" s="2"/>
      <c r="L51" s="2">
        <f t="shared" si="7"/>
        <v>14.46</v>
      </c>
      <c r="M51" s="2"/>
      <c r="N51" s="19">
        <f t="shared" si="8"/>
        <v>0</v>
      </c>
      <c r="O51" s="11"/>
      <c r="P51" s="2">
        <v>14.46</v>
      </c>
      <c r="Q51" s="2"/>
      <c r="R51" s="19">
        <f t="shared" si="9"/>
        <v>3.5569071693473509E-5</v>
      </c>
      <c r="S51" s="2"/>
      <c r="T51" s="2"/>
      <c r="U51" s="2"/>
      <c r="V51" s="19">
        <f t="shared" si="10"/>
        <v>0</v>
      </c>
      <c r="W51" s="2"/>
      <c r="X51" s="2">
        <f t="shared" si="11"/>
        <v>14.46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"5017", " - ", "PURCHASES @ COST-DORM/HOUSEWAR")</f>
        <v xml:space="preserve">          5017 - PURCHASES @ COST-DORM/HOUSEWAR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0</v>
      </c>
      <c r="Q52" s="2"/>
      <c r="R52" s="19">
        <f t="shared" si="9"/>
        <v>0</v>
      </c>
      <c r="S52" s="2"/>
      <c r="T52" s="2"/>
      <c r="U52" s="2"/>
      <c r="V52" s="19">
        <f t="shared" si="10"/>
        <v>0</v>
      </c>
      <c r="W52" s="2"/>
      <c r="X52" s="2">
        <f t="shared" si="11"/>
        <v>0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"5025", " - ", "PURCHASES @ COST-TEST FORMS")</f>
        <v xml:space="preserve">          5025 - PURCHASES @ COST-TEST FORMS</v>
      </c>
      <c r="C53" s="11"/>
      <c r="D53" s="2">
        <v>0</v>
      </c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3252.39</v>
      </c>
      <c r="Q53" s="2"/>
      <c r="R53" s="19">
        <f t="shared" si="9"/>
        <v>8.0003107251131605E-3</v>
      </c>
      <c r="S53" s="2"/>
      <c r="T53" s="2"/>
      <c r="U53" s="2"/>
      <c r="V53" s="19">
        <f t="shared" si="10"/>
        <v>0</v>
      </c>
      <c r="W53" s="2"/>
      <c r="X53" s="2">
        <f t="shared" si="11"/>
        <v>3252.39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>
        <v>10501.63</v>
      </c>
      <c r="E54" s="2"/>
      <c r="F54" s="19">
        <f t="shared" si="5"/>
        <v>9.0684510838614313E-2</v>
      </c>
      <c r="G54" s="2"/>
      <c r="H54" s="2"/>
      <c r="I54" s="2"/>
      <c r="J54" s="19">
        <f t="shared" si="6"/>
        <v>0</v>
      </c>
      <c r="K54" s="2"/>
      <c r="L54" s="2">
        <f t="shared" si="7"/>
        <v>10501.63</v>
      </c>
      <c r="M54" s="2"/>
      <c r="N54" s="19">
        <f t="shared" si="8"/>
        <v>0</v>
      </c>
      <c r="O54" s="11"/>
      <c r="P54" s="2">
        <v>25353.94</v>
      </c>
      <c r="Q54" s="2"/>
      <c r="R54" s="19">
        <f t="shared" si="9"/>
        <v>6.2366259306502463E-2</v>
      </c>
      <c r="S54" s="2"/>
      <c r="T54" s="2"/>
      <c r="U54" s="2"/>
      <c r="V54" s="19">
        <f t="shared" si="10"/>
        <v>0</v>
      </c>
      <c r="W54" s="2"/>
      <c r="X54" s="2">
        <f t="shared" si="11"/>
        <v>25353.94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>
        <v>9821.16</v>
      </c>
      <c r="E55" s="2"/>
      <c r="F55" s="19">
        <f t="shared" si="5"/>
        <v>8.4808462159471007E-2</v>
      </c>
      <c r="G55" s="2"/>
      <c r="H55" s="2"/>
      <c r="I55" s="2"/>
      <c r="J55" s="19">
        <f t="shared" si="6"/>
        <v>0</v>
      </c>
      <c r="K55" s="2"/>
      <c r="L55" s="2">
        <f t="shared" si="7"/>
        <v>9821.16</v>
      </c>
      <c r="M55" s="2"/>
      <c r="N55" s="19">
        <f t="shared" si="8"/>
        <v>0</v>
      </c>
      <c r="O55" s="11"/>
      <c r="P55" s="2">
        <v>71975.37999999999</v>
      </c>
      <c r="Q55" s="2"/>
      <c r="R55" s="19">
        <f t="shared" si="9"/>
        <v>0.1770468500266251</v>
      </c>
      <c r="S55" s="2"/>
      <c r="T55" s="2"/>
      <c r="U55" s="2"/>
      <c r="V55" s="19">
        <f t="shared" si="10"/>
        <v>0</v>
      </c>
      <c r="W55" s="2"/>
      <c r="X55" s="2">
        <f t="shared" si="11"/>
        <v>71975.37999999999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19494.289999999997</v>
      </c>
      <c r="E56" s="2"/>
      <c r="F56" s="19">
        <f t="shared" si="5"/>
        <v>0.16833864388633865</v>
      </c>
      <c r="G56" s="2"/>
      <c r="H56" s="2"/>
      <c r="I56" s="2"/>
      <c r="J56" s="19">
        <f t="shared" si="6"/>
        <v>0</v>
      </c>
      <c r="K56" s="2"/>
      <c r="L56" s="2">
        <f t="shared" si="7"/>
        <v>19494.289999999997</v>
      </c>
      <c r="M56" s="2"/>
      <c r="N56" s="19">
        <f t="shared" si="8"/>
        <v>0</v>
      </c>
      <c r="O56" s="11"/>
      <c r="P56" s="2">
        <v>90339.069999999992</v>
      </c>
      <c r="Q56" s="2"/>
      <c r="R56" s="19">
        <f t="shared" si="9"/>
        <v>0.22221831656650909</v>
      </c>
      <c r="S56" s="2"/>
      <c r="T56" s="2"/>
      <c r="U56" s="2"/>
      <c r="V56" s="19">
        <f t="shared" si="10"/>
        <v>0</v>
      </c>
      <c r="W56" s="2"/>
      <c r="X56" s="2">
        <f t="shared" si="11"/>
        <v>90339.069999999992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7839.04</v>
      </c>
      <c r="E57" s="2"/>
      <c r="F57" s="19">
        <f t="shared" si="5"/>
        <v>6.7692301846887695E-2</v>
      </c>
      <c r="G57" s="2"/>
      <c r="H57" s="2"/>
      <c r="I57" s="2"/>
      <c r="J57" s="19">
        <f t="shared" si="6"/>
        <v>0</v>
      </c>
      <c r="K57" s="2"/>
      <c r="L57" s="2">
        <f t="shared" si="7"/>
        <v>7839.04</v>
      </c>
      <c r="M57" s="2"/>
      <c r="N57" s="19">
        <f t="shared" si="8"/>
        <v>0</v>
      </c>
      <c r="O57" s="11"/>
      <c r="P57" s="2">
        <v>15989.089999999998</v>
      </c>
      <c r="Q57" s="2"/>
      <c r="R57" s="19">
        <f t="shared" si="9"/>
        <v>3.933036573467498E-2</v>
      </c>
      <c r="S57" s="2"/>
      <c r="T57" s="2"/>
      <c r="U57" s="2"/>
      <c r="V57" s="19">
        <f t="shared" si="10"/>
        <v>0</v>
      </c>
      <c r="W57" s="2"/>
      <c r="X57" s="2">
        <f t="shared" si="11"/>
        <v>15989.089999999998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"5032", " - ", "PURCHASES @ COST-JUICE")</f>
        <v xml:space="preserve">          5032 - PURCHASES @ COST-JUICE</v>
      </c>
      <c r="C58" s="11"/>
      <c r="D58" s="2">
        <v>2565.13</v>
      </c>
      <c r="E58" s="2"/>
      <c r="F58" s="19">
        <f t="shared" si="5"/>
        <v>2.2150614646245848E-2</v>
      </c>
      <c r="G58" s="2"/>
      <c r="H58" s="2"/>
      <c r="I58" s="2"/>
      <c r="J58" s="19">
        <f t="shared" si="6"/>
        <v>0</v>
      </c>
      <c r="K58" s="2"/>
      <c r="L58" s="2">
        <f t="shared" si="7"/>
        <v>2565.13</v>
      </c>
      <c r="M58" s="2"/>
      <c r="N58" s="19">
        <f t="shared" si="8"/>
        <v>0</v>
      </c>
      <c r="O58" s="11"/>
      <c r="P58" s="2">
        <v>3384.28</v>
      </c>
      <c r="Q58" s="2"/>
      <c r="R58" s="19">
        <f t="shared" si="9"/>
        <v>8.3247370643698849E-3</v>
      </c>
      <c r="S58" s="2"/>
      <c r="T58" s="2"/>
      <c r="U58" s="2"/>
      <c r="V58" s="19">
        <f t="shared" si="10"/>
        <v>0</v>
      </c>
      <c r="W58" s="2"/>
      <c r="X58" s="2">
        <f t="shared" si="11"/>
        <v>3384.28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"5033", " - ", "PURCHASES @ COST-CANDY")</f>
        <v xml:space="preserve">          5033 - PURCHASES @ COST-CANDY</v>
      </c>
      <c r="C59" s="11"/>
      <c r="D59" s="2">
        <v>2102.09</v>
      </c>
      <c r="E59" s="2"/>
      <c r="F59" s="19">
        <f t="shared" si="5"/>
        <v>1.81521348008588E-2</v>
      </c>
      <c r="G59" s="2"/>
      <c r="H59" s="2"/>
      <c r="I59" s="2"/>
      <c r="J59" s="19">
        <f t="shared" si="6"/>
        <v>0</v>
      </c>
      <c r="K59" s="2"/>
      <c r="L59" s="2">
        <f t="shared" si="7"/>
        <v>2102.09</v>
      </c>
      <c r="M59" s="2"/>
      <c r="N59" s="19">
        <f t="shared" si="8"/>
        <v>0</v>
      </c>
      <c r="O59" s="11"/>
      <c r="P59" s="2">
        <v>4455.2</v>
      </c>
      <c r="Q59" s="2"/>
      <c r="R59" s="19">
        <f t="shared" si="9"/>
        <v>1.0959013015820413E-2</v>
      </c>
      <c r="S59" s="2"/>
      <c r="T59" s="2"/>
      <c r="U59" s="2"/>
      <c r="V59" s="19">
        <f t="shared" si="10"/>
        <v>0</v>
      </c>
      <c r="W59" s="2"/>
      <c r="X59" s="2">
        <f t="shared" si="11"/>
        <v>4455.2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"5034", " - ", "PURCHASES @ COST-SODA")</f>
        <v xml:space="preserve">          5034 - PURCHASES @ COST-SODA</v>
      </c>
      <c r="C60" s="11"/>
      <c r="D60" s="2">
        <v>876</v>
      </c>
      <c r="E60" s="2"/>
      <c r="F60" s="19">
        <f t="shared" si="5"/>
        <v>7.5645048906337539E-3</v>
      </c>
      <c r="G60" s="2"/>
      <c r="H60" s="2"/>
      <c r="I60" s="2"/>
      <c r="J60" s="19">
        <f t="shared" si="6"/>
        <v>0</v>
      </c>
      <c r="K60" s="2"/>
      <c r="L60" s="2">
        <f t="shared" si="7"/>
        <v>876</v>
      </c>
      <c r="M60" s="2"/>
      <c r="N60" s="19">
        <f t="shared" si="8"/>
        <v>0</v>
      </c>
      <c r="O60" s="11"/>
      <c r="P60" s="2">
        <v>1494.54</v>
      </c>
      <c r="Q60" s="2"/>
      <c r="R60" s="19">
        <f t="shared" si="9"/>
        <v>3.6763070822105042E-3</v>
      </c>
      <c r="S60" s="2"/>
      <c r="T60" s="2"/>
      <c r="U60" s="2"/>
      <c r="V60" s="19">
        <f t="shared" si="10"/>
        <v>0</v>
      </c>
      <c r="W60" s="2"/>
      <c r="X60" s="2">
        <f t="shared" si="11"/>
        <v>1494.54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"5035", " - ", "PURCHASES @ COST-HEALTH &amp; BEAU")</f>
        <v xml:space="preserve">          5035 - PURCHASES @ COST-HEALTH &amp; BEAU</v>
      </c>
      <c r="C61" s="11"/>
      <c r="D61" s="2">
        <v>291.13</v>
      </c>
      <c r="E61" s="2"/>
      <c r="F61" s="19">
        <f t="shared" si="5"/>
        <v>2.5139889369979506E-3</v>
      </c>
      <c r="G61" s="2"/>
      <c r="H61" s="2"/>
      <c r="I61" s="2"/>
      <c r="J61" s="19">
        <f t="shared" si="6"/>
        <v>0</v>
      </c>
      <c r="K61" s="2"/>
      <c r="L61" s="2">
        <f t="shared" si="7"/>
        <v>291.13</v>
      </c>
      <c r="M61" s="2"/>
      <c r="N61" s="19">
        <f t="shared" si="8"/>
        <v>0</v>
      </c>
      <c r="O61" s="11"/>
      <c r="P61" s="2">
        <v>578.69000000000005</v>
      </c>
      <c r="Q61" s="2"/>
      <c r="R61" s="19">
        <f t="shared" si="9"/>
        <v>1.4234762170329312E-3</v>
      </c>
      <c r="S61" s="2"/>
      <c r="T61" s="2"/>
      <c r="U61" s="2"/>
      <c r="V61" s="19">
        <f t="shared" si="10"/>
        <v>0</v>
      </c>
      <c r="W61" s="2"/>
      <c r="X61" s="2">
        <f t="shared" si="11"/>
        <v>578.69000000000005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"5037", " - ", "PURCHASES @ COST-WATER")</f>
        <v xml:space="preserve">          5037 - PURCHASES @ COST-WATER</v>
      </c>
      <c r="C62" s="11"/>
      <c r="D62" s="2">
        <v>1463.27</v>
      </c>
      <c r="E62" s="2"/>
      <c r="F62" s="19">
        <f t="shared" si="5"/>
        <v>1.2635745515202801E-2</v>
      </c>
      <c r="G62" s="2"/>
      <c r="H62" s="2"/>
      <c r="I62" s="2"/>
      <c r="J62" s="19">
        <f t="shared" si="6"/>
        <v>0</v>
      </c>
      <c r="K62" s="2"/>
      <c r="L62" s="2">
        <f t="shared" si="7"/>
        <v>1463.27</v>
      </c>
      <c r="M62" s="2"/>
      <c r="N62" s="19">
        <f t="shared" si="8"/>
        <v>0</v>
      </c>
      <c r="O62" s="11"/>
      <c r="P62" s="2">
        <v>2826.09</v>
      </c>
      <c r="Q62" s="2"/>
      <c r="R62" s="19">
        <f t="shared" si="9"/>
        <v>6.9516872629466495E-3</v>
      </c>
      <c r="S62" s="2"/>
      <c r="T62" s="2"/>
      <c r="U62" s="2"/>
      <c r="V62" s="19">
        <f t="shared" si="10"/>
        <v>0</v>
      </c>
      <c r="W62" s="2"/>
      <c r="X62" s="2">
        <f t="shared" si="11"/>
        <v>2826.09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"5081", " - ", "PURCHASES @ COST-ELECTRONICS")</f>
        <v xml:space="preserve">          5081 - PURCHASES @ COST-ELECTRONICS</v>
      </c>
      <c r="C63" s="11"/>
      <c r="D63" s="2">
        <v>490.99</v>
      </c>
      <c r="E63" s="2"/>
      <c r="F63" s="19">
        <f t="shared" si="5"/>
        <v>4.2398359089637749E-3</v>
      </c>
      <c r="G63" s="2"/>
      <c r="H63" s="2"/>
      <c r="I63" s="2"/>
      <c r="J63" s="19">
        <f t="shared" si="6"/>
        <v>0</v>
      </c>
      <c r="K63" s="2"/>
      <c r="L63" s="2">
        <f t="shared" si="7"/>
        <v>490.99</v>
      </c>
      <c r="M63" s="2"/>
      <c r="N63" s="19">
        <f t="shared" si="8"/>
        <v>0</v>
      </c>
      <c r="O63" s="11"/>
      <c r="P63" s="2">
        <v>963.07</v>
      </c>
      <c r="Q63" s="2"/>
      <c r="R63" s="19">
        <f t="shared" si="9"/>
        <v>2.3689838088404931E-3</v>
      </c>
      <c r="S63" s="2"/>
      <c r="T63" s="2"/>
      <c r="U63" s="2"/>
      <c r="V63" s="19">
        <f t="shared" si="10"/>
        <v>0</v>
      </c>
      <c r="W63" s="2"/>
      <c r="X63" s="2">
        <f t="shared" si="11"/>
        <v>963.07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"5082", " - ", "PURCHASES @ COST-COMPUTER HARD")</f>
        <v xml:space="preserve">          5082 - PURCHASES @ COST-COMPUTER HARD</v>
      </c>
      <c r="C64" s="11"/>
      <c r="D64" s="2"/>
      <c r="E64" s="2"/>
      <c r="F64" s="19">
        <f t="shared" si="5"/>
        <v>0</v>
      </c>
      <c r="G64" s="2"/>
      <c r="H64" s="2"/>
      <c r="I64" s="2"/>
      <c r="J64" s="19">
        <f t="shared" si="6"/>
        <v>0</v>
      </c>
      <c r="K64" s="2"/>
      <c r="L64" s="2">
        <f t="shared" si="7"/>
        <v>0</v>
      </c>
      <c r="M64" s="2"/>
      <c r="N64" s="19">
        <f t="shared" si="8"/>
        <v>0</v>
      </c>
      <c r="O64" s="11"/>
      <c r="P64" s="2">
        <v>149.6</v>
      </c>
      <c r="Q64" s="2"/>
      <c r="R64" s="19">
        <f t="shared" si="9"/>
        <v>3.6798984269319755E-4</v>
      </c>
      <c r="S64" s="2"/>
      <c r="T64" s="2"/>
      <c r="U64" s="2"/>
      <c r="V64" s="19">
        <f t="shared" si="10"/>
        <v>0</v>
      </c>
      <c r="W64" s="2"/>
      <c r="X64" s="2">
        <f t="shared" si="11"/>
        <v>149.6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"5083", " - ", "PURCHASES @ COST-COMPUTER EQUI")</f>
        <v xml:space="preserve">          5083 - PURCHASES @ COST-COMPUTER EQUI</v>
      </c>
      <c r="C65" s="11"/>
      <c r="D65" s="2">
        <v>76.150000000000006</v>
      </c>
      <c r="E65" s="2"/>
      <c r="F65" s="19">
        <f t="shared" si="5"/>
        <v>6.5757653815269449E-4</v>
      </c>
      <c r="G65" s="2"/>
      <c r="H65" s="2"/>
      <c r="I65" s="2"/>
      <c r="J65" s="19">
        <f t="shared" si="6"/>
        <v>0</v>
      </c>
      <c r="K65" s="2"/>
      <c r="L65" s="2">
        <f t="shared" si="7"/>
        <v>76.150000000000006</v>
      </c>
      <c r="M65" s="2"/>
      <c r="N65" s="19">
        <f t="shared" si="8"/>
        <v>0</v>
      </c>
      <c r="O65" s="11"/>
      <c r="P65" s="2">
        <v>192.2</v>
      </c>
      <c r="Q65" s="2"/>
      <c r="R65" s="19">
        <f t="shared" si="9"/>
        <v>4.727783941552979E-4</v>
      </c>
      <c r="S65" s="2"/>
      <c r="T65" s="2"/>
      <c r="U65" s="2"/>
      <c r="V65" s="19">
        <f t="shared" si="10"/>
        <v>0</v>
      </c>
      <c r="W65" s="2"/>
      <c r="X65" s="2">
        <f t="shared" si="11"/>
        <v>192.2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"5086", " - ", "PURCHASES @ COST-COMPUTER SUPP")</f>
        <v xml:space="preserve">          5086 - PURCHASES @ COST-COMPUTER SUPP</v>
      </c>
      <c r="C66" s="11"/>
      <c r="D66" s="2">
        <v>54</v>
      </c>
      <c r="E66" s="2"/>
      <c r="F66" s="19">
        <f t="shared" si="5"/>
        <v>4.6630509599797116E-4</v>
      </c>
      <c r="G66" s="2"/>
      <c r="H66" s="2"/>
      <c r="I66" s="2"/>
      <c r="J66" s="19">
        <f t="shared" si="6"/>
        <v>0</v>
      </c>
      <c r="K66" s="2"/>
      <c r="L66" s="2">
        <f t="shared" si="7"/>
        <v>54</v>
      </c>
      <c r="M66" s="2"/>
      <c r="N66" s="19">
        <f t="shared" si="8"/>
        <v>0</v>
      </c>
      <c r="O66" s="11"/>
      <c r="P66" s="2">
        <v>141</v>
      </c>
      <c r="Q66" s="2"/>
      <c r="R66" s="19">
        <f t="shared" si="9"/>
        <v>3.4683534638864209E-4</v>
      </c>
      <c r="S66" s="2"/>
      <c r="T66" s="2"/>
      <c r="U66" s="2"/>
      <c r="V66" s="19">
        <f t="shared" si="10"/>
        <v>0</v>
      </c>
      <c r="W66" s="2"/>
      <c r="X66" s="2">
        <f t="shared" si="11"/>
        <v>141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"5200", " - ", "PURCHASES OFFSET")</f>
        <v xml:space="preserve">          5200 - PURCHASES OFFSET</v>
      </c>
      <c r="C67" s="11"/>
      <c r="D67" s="2">
        <v>-56159</v>
      </c>
      <c r="E67" s="2"/>
      <c r="F67" s="19">
        <f t="shared" si="5"/>
        <v>-0.48494866455833446</v>
      </c>
      <c r="G67" s="2"/>
      <c r="H67" s="2"/>
      <c r="I67" s="2"/>
      <c r="J67" s="19">
        <f t="shared" si="6"/>
        <v>0</v>
      </c>
      <c r="K67" s="2"/>
      <c r="L67" s="2">
        <f t="shared" si="7"/>
        <v>-56159</v>
      </c>
      <c r="M67" s="2"/>
      <c r="N67" s="19">
        <f t="shared" si="8"/>
        <v>0</v>
      </c>
      <c r="O67" s="11"/>
      <c r="P67" s="2">
        <v>-222763</v>
      </c>
      <c r="Q67" s="2"/>
      <c r="R67" s="19">
        <f t="shared" si="9"/>
        <v>-0.54795803026647572</v>
      </c>
      <c r="S67" s="2"/>
      <c r="T67" s="2"/>
      <c r="U67" s="2"/>
      <c r="V67" s="19">
        <f t="shared" si="10"/>
        <v>0</v>
      </c>
      <c r="W67" s="2"/>
      <c r="X67" s="2">
        <f t="shared" si="11"/>
        <v>-222763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"5300", " - ", "COG$ OFFSET")</f>
        <v xml:space="preserve">          5300 - COG$ OFFSET</v>
      </c>
      <c r="C68" s="11"/>
      <c r="D68" s="2">
        <v>58396</v>
      </c>
      <c r="E68" s="2"/>
      <c r="F68" s="19">
        <f t="shared" si="5"/>
        <v>0.50426578492402818</v>
      </c>
      <c r="G68" s="2"/>
      <c r="H68" s="2"/>
      <c r="I68" s="2"/>
      <c r="J68" s="19">
        <f t="shared" si="6"/>
        <v>0</v>
      </c>
      <c r="K68" s="2"/>
      <c r="L68" s="2">
        <f t="shared" si="7"/>
        <v>58396</v>
      </c>
      <c r="M68" s="2"/>
      <c r="N68" s="19">
        <f t="shared" si="8"/>
        <v>0</v>
      </c>
      <c r="O68" s="11"/>
      <c r="P68" s="2">
        <v>200349</v>
      </c>
      <c r="Q68" s="2"/>
      <c r="R68" s="19">
        <f t="shared" si="9"/>
        <v>0.49282350931644009</v>
      </c>
      <c r="S68" s="2"/>
      <c r="T68" s="2"/>
      <c r="U68" s="2"/>
      <c r="V68" s="19">
        <f t="shared" si="10"/>
        <v>0</v>
      </c>
      <c r="W68" s="2"/>
      <c r="X68" s="2">
        <f t="shared" si="11"/>
        <v>200349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"5500", " - ", "FREIGHT-IN")</f>
        <v xml:space="preserve">          5500 - FREIGHT-IN</v>
      </c>
      <c r="C69" s="11"/>
      <c r="D69" s="2">
        <v>6</v>
      </c>
      <c r="E69" s="2"/>
      <c r="F69" s="19">
        <f t="shared" si="5"/>
        <v>5.1811677333107905E-5</v>
      </c>
      <c r="G69" s="2"/>
      <c r="H69" s="2"/>
      <c r="I69" s="2"/>
      <c r="J69" s="19">
        <f t="shared" si="6"/>
        <v>0</v>
      </c>
      <c r="K69" s="2"/>
      <c r="L69" s="2">
        <f t="shared" si="7"/>
        <v>6</v>
      </c>
      <c r="M69" s="2"/>
      <c r="N69" s="19">
        <f t="shared" si="8"/>
        <v>0</v>
      </c>
      <c r="O69" s="11"/>
      <c r="P69" s="2">
        <v>6</v>
      </c>
      <c r="Q69" s="2"/>
      <c r="R69" s="19">
        <f t="shared" si="9"/>
        <v>1.4758950910154981E-5</v>
      </c>
      <c r="S69" s="2"/>
      <c r="T69" s="2"/>
      <c r="U69" s="2"/>
      <c r="V69" s="19">
        <f t="shared" si="10"/>
        <v>0</v>
      </c>
      <c r="W69" s="2"/>
      <c r="X69" s="2">
        <f t="shared" si="11"/>
        <v>6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"5525", " - ", "FREIGHT-IN-TEST FORMS")</f>
        <v xml:space="preserve">          5525 - FREIGHT-IN-TEST FORMS</v>
      </c>
      <c r="C70" s="11"/>
      <c r="D70" s="2">
        <v>39.22</v>
      </c>
      <c r="E70" s="2"/>
      <c r="F70" s="19">
        <f t="shared" si="5"/>
        <v>3.3867566416741533E-4</v>
      </c>
      <c r="G70" s="2"/>
      <c r="H70" s="2"/>
      <c r="I70" s="2"/>
      <c r="J70" s="19">
        <f t="shared" si="6"/>
        <v>0</v>
      </c>
      <c r="K70" s="2"/>
      <c r="L70" s="2">
        <f t="shared" si="7"/>
        <v>39.22</v>
      </c>
      <c r="M70" s="2"/>
      <c r="N70" s="19">
        <f t="shared" si="8"/>
        <v>0</v>
      </c>
      <c r="O70" s="11"/>
      <c r="P70" s="2">
        <v>39.22</v>
      </c>
      <c r="Q70" s="2"/>
      <c r="R70" s="19">
        <f t="shared" si="9"/>
        <v>9.6474342449379724E-5</v>
      </c>
      <c r="S70" s="2"/>
      <c r="T70" s="2"/>
      <c r="U70" s="2"/>
      <c r="V70" s="19">
        <f t="shared" si="10"/>
        <v>0</v>
      </c>
      <c r="W70" s="2"/>
      <c r="X70" s="2">
        <f t="shared" si="11"/>
        <v>39.22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"5526", " - ", "FREIGHT-IN-WRITING INSTRUMENTS")</f>
        <v xml:space="preserve">          5526 - FREIGHT-IN-WRITING INSTRUMENTS</v>
      </c>
      <c r="C71" s="11"/>
      <c r="D71" s="2"/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0</v>
      </c>
      <c r="M71" s="2"/>
      <c r="N71" s="19">
        <f t="shared" si="8"/>
        <v>0</v>
      </c>
      <c r="O71" s="11"/>
      <c r="P71" s="2">
        <v>56.57</v>
      </c>
      <c r="Q71" s="2"/>
      <c r="R71" s="19">
        <f t="shared" si="9"/>
        <v>1.3915230883124457E-4</v>
      </c>
      <c r="S71" s="2"/>
      <c r="T71" s="2"/>
      <c r="U71" s="2"/>
      <c r="V71" s="19">
        <f t="shared" si="10"/>
        <v>0</v>
      </c>
      <c r="W71" s="2"/>
      <c r="X71" s="2">
        <f t="shared" si="11"/>
        <v>56.57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>
        <v>344.59</v>
      </c>
      <c r="E72" s="2"/>
      <c r="F72" s="19">
        <f t="shared" si="5"/>
        <v>2.9756309820359421E-3</v>
      </c>
      <c r="G72" s="2"/>
      <c r="H72" s="2"/>
      <c r="I72" s="2"/>
      <c r="J72" s="19">
        <f t="shared" si="6"/>
        <v>0</v>
      </c>
      <c r="K72" s="2"/>
      <c r="L72" s="2">
        <f t="shared" si="7"/>
        <v>344.59</v>
      </c>
      <c r="M72" s="2"/>
      <c r="N72" s="19">
        <f t="shared" si="8"/>
        <v>0</v>
      </c>
      <c r="O72" s="11"/>
      <c r="P72" s="2">
        <v>738.49</v>
      </c>
      <c r="Q72" s="2"/>
      <c r="R72" s="19">
        <f t="shared" si="9"/>
        <v>1.8165562762733922E-3</v>
      </c>
      <c r="S72" s="2"/>
      <c r="T72" s="2"/>
      <c r="U72" s="2"/>
      <c r="V72" s="19">
        <f t="shared" si="10"/>
        <v>0</v>
      </c>
      <c r="W72" s="2"/>
      <c r="X72" s="2">
        <f t="shared" si="11"/>
        <v>738.49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185.67</v>
      </c>
      <c r="E73" s="2"/>
      <c r="F73" s="19">
        <f t="shared" si="5"/>
        <v>1.6033123550730239E-3</v>
      </c>
      <c r="G73" s="2"/>
      <c r="H73" s="2"/>
      <c r="I73" s="2"/>
      <c r="J73" s="19">
        <f t="shared" si="6"/>
        <v>0</v>
      </c>
      <c r="K73" s="2"/>
      <c r="L73" s="2">
        <f t="shared" si="7"/>
        <v>185.67</v>
      </c>
      <c r="M73" s="2"/>
      <c r="N73" s="19">
        <f t="shared" si="8"/>
        <v>0</v>
      </c>
      <c r="O73" s="11"/>
      <c r="P73" s="2">
        <v>818.44</v>
      </c>
      <c r="Q73" s="2"/>
      <c r="R73" s="19">
        <f t="shared" si="9"/>
        <v>2.0132192971512074E-3</v>
      </c>
      <c r="S73" s="2"/>
      <c r="T73" s="2"/>
      <c r="U73" s="2"/>
      <c r="V73" s="19">
        <f t="shared" si="10"/>
        <v>0</v>
      </c>
      <c r="W73" s="2"/>
      <c r="X73" s="2">
        <f t="shared" si="11"/>
        <v>818.44</v>
      </c>
      <c r="Y73" s="2"/>
      <c r="Z73" s="19">
        <f t="shared" si="12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6</v>
      </c>
      <c r="C75" s="28"/>
      <c r="D75" s="22">
        <f>D12-D49</f>
        <v>57402.19</v>
      </c>
      <c r="E75" s="14"/>
      <c r="F75" s="20">
        <f>IF(D$12=0,0,D75/D$12)</f>
        <v>0.4956839577489589</v>
      </c>
      <c r="G75" s="14"/>
      <c r="H75" s="22">
        <f>H12-H49</f>
        <v>67342</v>
      </c>
      <c r="I75" s="14"/>
      <c r="J75" s="20">
        <f>IF(H$12=0,0,H75/H$12)</f>
        <v>0.53420593368237346</v>
      </c>
      <c r="K75" s="16"/>
      <c r="L75" s="22">
        <f>+D75-H75</f>
        <v>-9939.8099999999977</v>
      </c>
      <c r="M75" s="16"/>
      <c r="N75" s="20">
        <f>IF(H75=0,0,L75/H75)</f>
        <v>-0.14760194232425525</v>
      </c>
      <c r="O75" s="29"/>
      <c r="P75" s="22">
        <f>P12-P49</f>
        <v>206179.24000000005</v>
      </c>
      <c r="Q75" s="14"/>
      <c r="R75" s="20">
        <f>IF(P$12=0,0,P75/P$12)</f>
        <v>0.50716488030884388</v>
      </c>
      <c r="S75" s="14"/>
      <c r="T75" s="22">
        <f>T12-T49</f>
        <v>232936</v>
      </c>
      <c r="U75" s="14"/>
      <c r="V75" s="20">
        <f>IF(T$12=0,0,T75/T$12)</f>
        <v>0.52604288992068793</v>
      </c>
      <c r="W75" s="16"/>
      <c r="X75" s="22">
        <f>+P75-T75</f>
        <v>-26756.759999999951</v>
      </c>
      <c r="Y75" s="16"/>
      <c r="Z75" s="20">
        <f>IF(T75=0,0,X75/T75)</f>
        <v>-0.11486743139746519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9" t="s">
        <v>9</v>
      </c>
      <c r="C77" s="10"/>
      <c r="D77" s="21">
        <f>SUM(OSRRefD22x_0)</f>
        <v>26223.620000000003</v>
      </c>
      <c r="E77" s="21"/>
      <c r="F77" s="35">
        <f t="shared" ref="F77:F87" si="13">IF(D$12=0,0,D77/D$12)</f>
        <v>0.22644828965767252</v>
      </c>
      <c r="G77" s="21"/>
      <c r="H77" s="21">
        <f>SUM(OSRRefH22x_0)</f>
        <v>27082.752231930768</v>
      </c>
      <c r="I77" s="21"/>
      <c r="J77" s="35">
        <f t="shared" ref="J77:J87" si="14">IF(H$12=0,0,H77/H$12)</f>
        <v>0.21484017318682189</v>
      </c>
      <c r="K77" s="4"/>
      <c r="L77" s="21">
        <f t="shared" ref="L77:L87" si="15">+D77-H77</f>
        <v>-859.13223193076556</v>
      </c>
      <c r="M77" s="4"/>
      <c r="N77" s="35">
        <f t="shared" ref="N77:N87" si="16">IF(H77=0,0,L77/H77)</f>
        <v>-3.1722486125979554E-2</v>
      </c>
      <c r="O77" s="10"/>
      <c r="P77" s="21">
        <f>SUM(OSRRefP22x_0)</f>
        <v>87947.599999999991</v>
      </c>
      <c r="Q77" s="21"/>
      <c r="R77" s="35">
        <f t="shared" ref="R77:R87" si="17">IF(P$12=0,0,P77/P$12)</f>
        <v>0.21633571851099104</v>
      </c>
      <c r="S77" s="21"/>
      <c r="T77" s="21">
        <f>SUM(OSRRefT22x_0)</f>
        <v>90119.141158950762</v>
      </c>
      <c r="U77" s="21"/>
      <c r="V77" s="35">
        <f t="shared" ref="V77:V87" si="18">IF(T$12=0,0,T77/T$12)</f>
        <v>0.20351741874345261</v>
      </c>
      <c r="W77" s="4"/>
      <c r="X77" s="21">
        <f t="shared" ref="X77:X87" si="19">+P77-T77</f>
        <v>-2171.5411589507712</v>
      </c>
      <c r="Y77" s="4"/>
      <c r="Z77" s="35">
        <f t="shared" ref="Z77:Z87" si="20">IF(T77=0,0,X77/T77)</f>
        <v>-2.4096336594249607E-2</v>
      </c>
    </row>
    <row r="78" spans="1:26" s="26" customFormat="1" outlineLevel="1" collapsed="1" x14ac:dyDescent="0.25">
      <c r="A78" s="25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3064.6100000000006</v>
      </c>
      <c r="E78" s="1"/>
      <c r="F78" s="5">
        <f t="shared" si="13"/>
        <v>2.6463764078635973E-2</v>
      </c>
      <c r="G78" s="1"/>
      <c r="H78" s="1">
        <f>SUM(OSRRefH22_0x_0)</f>
        <v>4066.6027396230775</v>
      </c>
      <c r="I78" s="1"/>
      <c r="J78" s="5">
        <f t="shared" si="14"/>
        <v>3.2259263363660778E-2</v>
      </c>
      <c r="K78" s="1"/>
      <c r="L78" s="1">
        <f t="shared" si="15"/>
        <v>-1001.9927396230769</v>
      </c>
      <c r="M78" s="1"/>
      <c r="N78" s="5">
        <f t="shared" si="16"/>
        <v>-0.24639553056415561</v>
      </c>
      <c r="O78" s="13"/>
      <c r="P78" s="1">
        <f>SUM(OSRRefP22_0x_0)</f>
        <v>13039.369999999999</v>
      </c>
      <c r="Q78" s="1"/>
      <c r="R78" s="5">
        <f t="shared" si="17"/>
        <v>3.2074570288224594E-2</v>
      </c>
      <c r="S78" s="1"/>
      <c r="T78" s="1">
        <f>SUM(OSRRefT22_0x_0)</f>
        <v>14636.186986643077</v>
      </c>
      <c r="U78" s="1"/>
      <c r="V78" s="5">
        <f t="shared" si="18"/>
        <v>3.3053122316315596E-2</v>
      </c>
      <c r="W78" s="1"/>
      <c r="X78" s="1">
        <f t="shared" si="19"/>
        <v>-1596.8169866430781</v>
      </c>
      <c r="Y78" s="1"/>
      <c r="Z78" s="5">
        <f t="shared" si="20"/>
        <v>-0.10910061398507183</v>
      </c>
    </row>
    <row r="79" spans="1:26" s="24" customFormat="1" hidden="1" outlineLevel="2" x14ac:dyDescent="0.25">
      <c r="A79" s="27"/>
      <c r="B79" s="11" t="str">
        <f>CONCATENATE("          ", "6111", " - ", "F.I.C.A.")</f>
        <v xml:space="preserve">          6111 - F.I.C.A.</v>
      </c>
      <c r="C79" s="11"/>
      <c r="D79" s="6">
        <v>458.31</v>
      </c>
      <c r="E79" s="2"/>
      <c r="F79" s="7">
        <f t="shared" si="13"/>
        <v>3.9576349730894474E-3</v>
      </c>
      <c r="G79" s="2"/>
      <c r="H79" s="6">
        <v>1085.3147279307691</v>
      </c>
      <c r="I79" s="2"/>
      <c r="J79" s="7">
        <f t="shared" si="14"/>
        <v>8.6095091855526665E-3</v>
      </c>
      <c r="K79" s="2"/>
      <c r="L79" s="6">
        <f t="shared" si="15"/>
        <v>-627.00472793076915</v>
      </c>
      <c r="M79" s="2"/>
      <c r="N79" s="7">
        <f t="shared" si="16"/>
        <v>-0.5777169624577001</v>
      </c>
      <c r="O79" s="11"/>
      <c r="P79" s="6">
        <v>2436.62</v>
      </c>
      <c r="Q79" s="2"/>
      <c r="R79" s="7">
        <f t="shared" si="17"/>
        <v>5.9936591611169715E-3</v>
      </c>
      <c r="S79" s="2"/>
      <c r="T79" s="6">
        <v>3850.1028645507677</v>
      </c>
      <c r="U79" s="2"/>
      <c r="V79" s="7">
        <f t="shared" si="18"/>
        <v>8.6947454981634656E-3</v>
      </c>
      <c r="W79" s="2"/>
      <c r="X79" s="6">
        <f t="shared" si="19"/>
        <v>-1413.4828645507678</v>
      </c>
      <c r="Y79" s="2"/>
      <c r="Z79" s="7">
        <f t="shared" si="20"/>
        <v>-0.36712859741104442</v>
      </c>
    </row>
    <row r="80" spans="1:26" s="24" customFormat="1" hidden="1" outlineLevel="2" x14ac:dyDescent="0.25">
      <c r="A80" s="27"/>
      <c r="B80" s="11" t="str">
        <f>CONCATENATE("          ", "6112", " - ", "COMPENSATION INSURANCE")</f>
        <v xml:space="preserve">          6112 - COMPENSATION INSURANCE</v>
      </c>
      <c r="C80" s="11"/>
      <c r="D80" s="6">
        <v>67.22</v>
      </c>
      <c r="E80" s="2"/>
      <c r="F80" s="7">
        <f t="shared" si="13"/>
        <v>5.8046349172191885E-4</v>
      </c>
      <c r="G80" s="2"/>
      <c r="H80" s="6">
        <v>378.24837538461503</v>
      </c>
      <c r="I80" s="2"/>
      <c r="J80" s="7">
        <f t="shared" si="14"/>
        <v>3.0005424034952803E-3</v>
      </c>
      <c r="K80" s="2"/>
      <c r="L80" s="6">
        <f t="shared" si="15"/>
        <v>-311.02837538461506</v>
      </c>
      <c r="M80" s="2"/>
      <c r="N80" s="7">
        <f t="shared" si="16"/>
        <v>-0.82228608402706682</v>
      </c>
      <c r="O80" s="11"/>
      <c r="P80" s="6">
        <v>782.91</v>
      </c>
      <c r="Q80" s="2"/>
      <c r="R80" s="7">
        <f t="shared" si="17"/>
        <v>1.9258217095115726E-3</v>
      </c>
      <c r="S80" s="2"/>
      <c r="T80" s="6">
        <v>1189.474351384614</v>
      </c>
      <c r="U80" s="2"/>
      <c r="V80" s="7">
        <f t="shared" si="18"/>
        <v>2.6862079081331276E-3</v>
      </c>
      <c r="W80" s="2"/>
      <c r="X80" s="6">
        <f t="shared" si="19"/>
        <v>-406.56435138461404</v>
      </c>
      <c r="Y80" s="2"/>
      <c r="Z80" s="7">
        <f t="shared" si="20"/>
        <v>-0.34180169661611504</v>
      </c>
    </row>
    <row r="81" spans="1:26" s="24" customFormat="1" hidden="1" outlineLevel="2" x14ac:dyDescent="0.25">
      <c r="A81" s="27"/>
      <c r="B81" s="11" t="str">
        <f>CONCATENATE("          ", "6113", " - ", "GROUP INSURANCE")</f>
        <v xml:space="preserve">          6113 - GROUP INSURANCE</v>
      </c>
      <c r="C81" s="11"/>
      <c r="D81" s="6">
        <v>1519.46</v>
      </c>
      <c r="E81" s="2"/>
      <c r="F81" s="7">
        <f t="shared" si="13"/>
        <v>1.3120961873427357E-2</v>
      </c>
      <c r="G81" s="2"/>
      <c r="H81" s="6">
        <v>1288.05</v>
      </c>
      <c r="I81" s="2"/>
      <c r="J81" s="7">
        <f t="shared" si="14"/>
        <v>1.0217753450737744E-2</v>
      </c>
      <c r="K81" s="2"/>
      <c r="L81" s="6">
        <f t="shared" si="15"/>
        <v>231.41000000000008</v>
      </c>
      <c r="M81" s="2"/>
      <c r="N81" s="7">
        <f t="shared" si="16"/>
        <v>0.17965917472147827</v>
      </c>
      <c r="O81" s="11"/>
      <c r="P81" s="6">
        <v>4875.2</v>
      </c>
      <c r="Q81" s="2"/>
      <c r="R81" s="7">
        <f t="shared" si="17"/>
        <v>1.199213957953126E-2</v>
      </c>
      <c r="S81" s="2"/>
      <c r="T81" s="6">
        <v>5152.2</v>
      </c>
      <c r="U81" s="2"/>
      <c r="V81" s="7">
        <f t="shared" si="18"/>
        <v>1.1635291141984788E-2</v>
      </c>
      <c r="W81" s="2"/>
      <c r="X81" s="6">
        <f t="shared" si="19"/>
        <v>-277</v>
      </c>
      <c r="Y81" s="2"/>
      <c r="Z81" s="7">
        <f t="shared" si="20"/>
        <v>-5.3763440860215055E-2</v>
      </c>
    </row>
    <row r="82" spans="1:26" s="24" customFormat="1" hidden="1" outlineLevel="2" x14ac:dyDescent="0.25">
      <c r="A82" s="27"/>
      <c r="B82" s="11" t="str">
        <f>CONCATENATE("          ", "6114", " - ", "STATE UNEMPLOYMENT INSURANCE")</f>
        <v xml:space="preserve">          6114 - STATE UNEMPLOYMENT INSURANCE</v>
      </c>
      <c r="C82" s="11"/>
      <c r="D82" s="6">
        <v>50.14</v>
      </c>
      <c r="E82" s="2"/>
      <c r="F82" s="7">
        <f t="shared" si="13"/>
        <v>4.3297291691367173E-4</v>
      </c>
      <c r="G82" s="2"/>
      <c r="H82" s="6">
        <v>51.760303999999998</v>
      </c>
      <c r="I82" s="2"/>
      <c r="J82" s="7">
        <f t="shared" si="14"/>
        <v>4.1060053942567032E-4</v>
      </c>
      <c r="K82" s="2"/>
      <c r="L82" s="6">
        <f t="shared" si="15"/>
        <v>-1.6203039999999973</v>
      </c>
      <c r="M82" s="2"/>
      <c r="N82" s="7">
        <f t="shared" si="16"/>
        <v>-3.1303989250140364E-2</v>
      </c>
      <c r="O82" s="11"/>
      <c r="P82" s="6">
        <v>148.08000000000001</v>
      </c>
      <c r="Q82" s="2"/>
      <c r="R82" s="7">
        <f t="shared" si="17"/>
        <v>3.64250908462625E-4</v>
      </c>
      <c r="S82" s="2"/>
      <c r="T82" s="6">
        <v>162.7701744</v>
      </c>
      <c r="U82" s="2"/>
      <c r="V82" s="7">
        <f t="shared" si="18"/>
        <v>3.6758634532348106E-4</v>
      </c>
      <c r="W82" s="2"/>
      <c r="X82" s="6">
        <f t="shared" si="19"/>
        <v>-14.690174399999989</v>
      </c>
      <c r="Y82" s="2"/>
      <c r="Z82" s="7">
        <f t="shared" si="20"/>
        <v>-9.0251020828297335E-2</v>
      </c>
    </row>
    <row r="83" spans="1:26" s="24" customFormat="1" hidden="1" outlineLevel="2" x14ac:dyDescent="0.25">
      <c r="A83" s="27"/>
      <c r="B83" s="11" t="str">
        <f>CONCATENATE("          ", "6115", " - ", "P.E.R.S.")</f>
        <v xml:space="preserve">          6115 - P.E.R.S.</v>
      </c>
      <c r="C83" s="11"/>
      <c r="D83" s="6">
        <v>265.76</v>
      </c>
      <c r="E83" s="2"/>
      <c r="F83" s="7">
        <f t="shared" si="13"/>
        <v>2.2949118946744593E-3</v>
      </c>
      <c r="G83" s="2"/>
      <c r="H83" s="6">
        <v>563.907093846154</v>
      </c>
      <c r="I83" s="2"/>
      <c r="J83" s="7">
        <f t="shared" si="14"/>
        <v>4.4733229719669523E-3</v>
      </c>
      <c r="K83" s="2"/>
      <c r="L83" s="6">
        <f t="shared" si="15"/>
        <v>-298.14709384615401</v>
      </c>
      <c r="M83" s="2"/>
      <c r="N83" s="7">
        <f t="shared" si="16"/>
        <v>-0.52871669305067293</v>
      </c>
      <c r="O83" s="11"/>
      <c r="P83" s="6">
        <v>1300.6600000000001</v>
      </c>
      <c r="Q83" s="2"/>
      <c r="R83" s="7">
        <f t="shared" si="17"/>
        <v>3.1993961818003631E-3</v>
      </c>
      <c r="S83" s="2"/>
      <c r="T83" s="6">
        <v>2030.065537846154</v>
      </c>
      <c r="U83" s="2"/>
      <c r="V83" s="7">
        <f t="shared" si="18"/>
        <v>4.5845276911125228E-3</v>
      </c>
      <c r="W83" s="2"/>
      <c r="X83" s="6">
        <f t="shared" si="19"/>
        <v>-729.40553784615395</v>
      </c>
      <c r="Y83" s="2"/>
      <c r="Z83" s="7">
        <f t="shared" si="20"/>
        <v>-0.3593014729071427</v>
      </c>
    </row>
    <row r="84" spans="1:26" s="24" customFormat="1" hidden="1" outlineLevel="2" x14ac:dyDescent="0.25">
      <c r="A84" s="27"/>
      <c r="B84" s="11" t="str">
        <f>CONCATENATE("          ", "6116", " - ", "EDUCATIONAL BENEFITS")</f>
        <v xml:space="preserve">          6116 - EDUCATIONAL BENEFITS</v>
      </c>
      <c r="C84" s="11"/>
      <c r="D84" s="6"/>
      <c r="E84" s="2"/>
      <c r="F84" s="7">
        <f t="shared" si="13"/>
        <v>0</v>
      </c>
      <c r="G84" s="2"/>
      <c r="H84" s="6">
        <v>0</v>
      </c>
      <c r="I84" s="2"/>
      <c r="J84" s="7">
        <f t="shared" si="14"/>
        <v>0</v>
      </c>
      <c r="K84" s="2"/>
      <c r="L84" s="6">
        <f t="shared" si="15"/>
        <v>0</v>
      </c>
      <c r="M84" s="2"/>
      <c r="N84" s="7">
        <f t="shared" si="16"/>
        <v>0</v>
      </c>
      <c r="O84" s="11"/>
      <c r="P84" s="6"/>
      <c r="Q84" s="2"/>
      <c r="R84" s="7">
        <f t="shared" si="17"/>
        <v>0</v>
      </c>
      <c r="S84" s="2"/>
      <c r="T84" s="6">
        <v>0</v>
      </c>
      <c r="U84" s="2"/>
      <c r="V84" s="7">
        <f t="shared" si="18"/>
        <v>0</v>
      </c>
      <c r="W84" s="2"/>
      <c r="X84" s="6">
        <f t="shared" si="19"/>
        <v>0</v>
      </c>
      <c r="Y84" s="2"/>
      <c r="Z84" s="7">
        <f t="shared" si="20"/>
        <v>0</v>
      </c>
    </row>
    <row r="85" spans="1:26" s="24" customFormat="1" hidden="1" outlineLevel="2" x14ac:dyDescent="0.25">
      <c r="A85" s="27"/>
      <c r="B85" s="11" t="str">
        <f>CONCATENATE("          ", "6118", " - ", "VACATION")</f>
        <v xml:space="preserve">          6118 - VACATION</v>
      </c>
      <c r="C85" s="11"/>
      <c r="D85" s="6">
        <v>265.47000000000003</v>
      </c>
      <c r="E85" s="2"/>
      <c r="F85" s="7">
        <f t="shared" si="13"/>
        <v>2.2924076636033595E-3</v>
      </c>
      <c r="G85" s="2"/>
      <c r="H85" s="6">
        <v>253.69296153846201</v>
      </c>
      <c r="I85" s="2"/>
      <c r="J85" s="7">
        <f t="shared" si="14"/>
        <v>2.0124778798862606E-3</v>
      </c>
      <c r="K85" s="2"/>
      <c r="L85" s="6">
        <f t="shared" si="15"/>
        <v>11.777038461538012</v>
      </c>
      <c r="M85" s="2"/>
      <c r="N85" s="7">
        <f t="shared" si="16"/>
        <v>4.642240915995028E-2</v>
      </c>
      <c r="O85" s="11"/>
      <c r="P85" s="6">
        <v>1440.74</v>
      </c>
      <c r="Q85" s="2"/>
      <c r="R85" s="7">
        <f t="shared" si="17"/>
        <v>3.5439684890494483E-3</v>
      </c>
      <c r="S85" s="2"/>
      <c r="T85" s="6">
        <v>913.29466153846204</v>
      </c>
      <c r="U85" s="2"/>
      <c r="V85" s="7">
        <f t="shared" si="18"/>
        <v>2.0625071397500994E-3</v>
      </c>
      <c r="W85" s="2"/>
      <c r="X85" s="6">
        <f t="shared" si="19"/>
        <v>527.44533846153797</v>
      </c>
      <c r="Y85" s="2"/>
      <c r="Z85" s="7">
        <f t="shared" si="20"/>
        <v>0.5775193490927083</v>
      </c>
    </row>
    <row r="86" spans="1:26" s="24" customFormat="1" hidden="1" outlineLevel="2" x14ac:dyDescent="0.25">
      <c r="A86" s="27"/>
      <c r="B86" s="11" t="str">
        <f>CONCATENATE("          ", "6119", " - ", "SICK LEAVE")</f>
        <v xml:space="preserve">          6119 - SICK LEAVE</v>
      </c>
      <c r="C86" s="11"/>
      <c r="D86" s="6">
        <v>263.25</v>
      </c>
      <c r="E86" s="2"/>
      <c r="F86" s="7">
        <f t="shared" si="13"/>
        <v>2.2732373429901094E-3</v>
      </c>
      <c r="G86" s="2"/>
      <c r="H86" s="6">
        <v>445.62927692307704</v>
      </c>
      <c r="I86" s="2"/>
      <c r="J86" s="7">
        <f t="shared" si="14"/>
        <v>3.5350569325962007E-3</v>
      </c>
      <c r="K86" s="2"/>
      <c r="L86" s="6">
        <f t="shared" si="15"/>
        <v>-182.37927692307704</v>
      </c>
      <c r="M86" s="2"/>
      <c r="N86" s="7">
        <f t="shared" si="16"/>
        <v>-0.4092623316455905</v>
      </c>
      <c r="O86" s="11"/>
      <c r="P86" s="6">
        <v>1407.51</v>
      </c>
      <c r="Q86" s="2"/>
      <c r="R86" s="7">
        <f t="shared" si="17"/>
        <v>3.4622284992587063E-3</v>
      </c>
      <c r="S86" s="2"/>
      <c r="T86" s="6">
        <v>1338.2793969230781</v>
      </c>
      <c r="U86" s="2"/>
      <c r="V86" s="7">
        <f t="shared" si="18"/>
        <v>3.0222565918481105E-3</v>
      </c>
      <c r="W86" s="2"/>
      <c r="X86" s="6">
        <f t="shared" si="19"/>
        <v>69.230603076921852</v>
      </c>
      <c r="Y86" s="2"/>
      <c r="Z86" s="7">
        <f t="shared" si="20"/>
        <v>5.1731053497568791E-2</v>
      </c>
    </row>
    <row r="87" spans="1:26" s="24" customFormat="1" hidden="1" outlineLevel="2" x14ac:dyDescent="0.25">
      <c r="A87" s="27"/>
      <c r="B87" s="11" t="str">
        <f>CONCATENATE("          ", "6156", " - ", "EMPLOYEE MEALS")</f>
        <v xml:space="preserve">          6156 - EMPLOYEE MEALS</v>
      </c>
      <c r="C87" s="11"/>
      <c r="D87" s="6">
        <v>175</v>
      </c>
      <c r="E87" s="2"/>
      <c r="F87" s="7">
        <f t="shared" si="13"/>
        <v>1.5111739222156472E-3</v>
      </c>
      <c r="G87" s="2"/>
      <c r="H87" s="6"/>
      <c r="I87" s="2"/>
      <c r="J87" s="7">
        <f t="shared" si="14"/>
        <v>0</v>
      </c>
      <c r="K87" s="2"/>
      <c r="L87" s="6">
        <f t="shared" si="15"/>
        <v>175</v>
      </c>
      <c r="M87" s="2"/>
      <c r="N87" s="7">
        <f t="shared" si="16"/>
        <v>0</v>
      </c>
      <c r="O87" s="11"/>
      <c r="P87" s="6">
        <v>647.65</v>
      </c>
      <c r="Q87" s="2"/>
      <c r="R87" s="7">
        <f t="shared" si="17"/>
        <v>1.5931057594936455E-3</v>
      </c>
      <c r="S87" s="2"/>
      <c r="T87" s="6"/>
      <c r="U87" s="2"/>
      <c r="V87" s="7">
        <f t="shared" si="18"/>
        <v>0</v>
      </c>
      <c r="W87" s="2"/>
      <c r="X87" s="6">
        <f t="shared" si="19"/>
        <v>647.65</v>
      </c>
      <c r="Y87" s="2"/>
      <c r="Z87" s="7">
        <f t="shared" si="20"/>
        <v>0</v>
      </c>
    </row>
    <row r="88" spans="1:26" s="26" customFormat="1" outlineLevel="1" collapsed="1" x14ac:dyDescent="0.25">
      <c r="A88" s="25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19802.18</v>
      </c>
      <c r="E88" s="1"/>
      <c r="F88" s="5">
        <f t="shared" ref="F88:F98" si="21">IF(D$12=0,0,D88/D$12)</f>
        <v>0.1709973601086871</v>
      </c>
      <c r="G88" s="1"/>
      <c r="H88" s="1">
        <f>SUM(OSRRefH22_1x_0)</f>
        <v>19451.14949230769</v>
      </c>
      <c r="I88" s="1"/>
      <c r="J88" s="5">
        <f t="shared" ref="J88:J98" si="22">IF(H$12=0,0,H88/H$12)</f>
        <v>0.15430072578381476</v>
      </c>
      <c r="K88" s="1"/>
      <c r="L88" s="1">
        <f t="shared" ref="L88:L98" si="23">+D88-H88</f>
        <v>351.03050769231049</v>
      </c>
      <c r="M88" s="1"/>
      <c r="N88" s="5">
        <f t="shared" ref="N88:N98" si="24">IF(H88=0,0,L88/H88)</f>
        <v>1.8046774450586167E-2</v>
      </c>
      <c r="O88" s="13"/>
      <c r="P88" s="1">
        <f>SUM(OSRRefP22_1x_0)</f>
        <v>61351.100000000006</v>
      </c>
      <c r="Q88" s="1"/>
      <c r="R88" s="5">
        <f t="shared" ref="R88:R98" si="25">IF(P$12=0,0,P88/P$12)</f>
        <v>0.15091297886400157</v>
      </c>
      <c r="S88" s="1"/>
      <c r="T88" s="1">
        <f>SUM(OSRRefT22_1x_0)</f>
        <v>61222.954172307676</v>
      </c>
      <c r="U88" s="1"/>
      <c r="V88" s="5">
        <f t="shared" ref="V88:V98" si="26">IF(T$12=0,0,T88/T$12)</f>
        <v>0.13826072286929703</v>
      </c>
      <c r="W88" s="1"/>
      <c r="X88" s="1">
        <f t="shared" ref="X88:X98" si="27">+P88-T88</f>
        <v>128.14582769232948</v>
      </c>
      <c r="Y88" s="1"/>
      <c r="Z88" s="5">
        <f t="shared" ref="Z88:Z98" si="28">IF(T88=0,0,X88/T88)</f>
        <v>2.0931010178253094E-3</v>
      </c>
    </row>
    <row r="89" spans="1:26" s="24" customFormat="1" hidden="1" outlineLevel="2" x14ac:dyDescent="0.25">
      <c r="A89" s="27"/>
      <c r="B89" s="11" t="str">
        <f>CONCATENATE("          ", "6001", " - ", "ADMINISTRATIVE SALARIES")</f>
        <v xml:space="preserve">          6001 - ADMINISTRATIVE SALARIES</v>
      </c>
      <c r="C89" s="11"/>
      <c r="D89" s="6"/>
      <c r="E89" s="2"/>
      <c r="F89" s="7">
        <f t="shared" si="21"/>
        <v>0</v>
      </c>
      <c r="G89" s="2"/>
      <c r="H89" s="6">
        <v>6329.1344923076904</v>
      </c>
      <c r="I89" s="2"/>
      <c r="J89" s="7">
        <f t="shared" si="22"/>
        <v>5.0207317882815253E-2</v>
      </c>
      <c r="K89" s="2"/>
      <c r="L89" s="6">
        <f t="shared" si="23"/>
        <v>-6329.1344923076904</v>
      </c>
      <c r="M89" s="2"/>
      <c r="N89" s="7">
        <f t="shared" si="24"/>
        <v>-1</v>
      </c>
      <c r="O89" s="11"/>
      <c r="P89" s="6"/>
      <c r="Q89" s="2"/>
      <c r="R89" s="7">
        <f t="shared" si="25"/>
        <v>0</v>
      </c>
      <c r="S89" s="2"/>
      <c r="T89" s="6">
        <v>22784.88417230768</v>
      </c>
      <c r="U89" s="2"/>
      <c r="V89" s="7">
        <f t="shared" si="26"/>
        <v>5.1455448348511498E-2</v>
      </c>
      <c r="W89" s="2"/>
      <c r="X89" s="6">
        <f t="shared" si="27"/>
        <v>-22784.88417230768</v>
      </c>
      <c r="Y89" s="2"/>
      <c r="Z89" s="7">
        <f t="shared" si="28"/>
        <v>-1</v>
      </c>
    </row>
    <row r="90" spans="1:26" s="24" customFormat="1" hidden="1" outlineLevel="2" x14ac:dyDescent="0.25">
      <c r="A90" s="27"/>
      <c r="B90" s="11" t="str">
        <f>CONCATENATE("          ", "6002", " - ", "STAFF SALARIES")</f>
        <v xml:space="preserve">          6002 - STAFF SALARIES</v>
      </c>
      <c r="C90" s="11"/>
      <c r="D90" s="6">
        <v>4516.2</v>
      </c>
      <c r="E90" s="2"/>
      <c r="F90" s="7">
        <f t="shared" si="21"/>
        <v>3.8998649528630316E-2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4516.2</v>
      </c>
      <c r="M90" s="2"/>
      <c r="N90" s="7">
        <f t="shared" si="24"/>
        <v>0</v>
      </c>
      <c r="O90" s="11"/>
      <c r="P90" s="6">
        <v>20008.11</v>
      </c>
      <c r="Q90" s="2"/>
      <c r="R90" s="7">
        <f t="shared" si="25"/>
        <v>4.9216452215830167E-2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20008.11</v>
      </c>
      <c r="Y90" s="2"/>
      <c r="Z90" s="7">
        <f t="shared" si="28"/>
        <v>0</v>
      </c>
    </row>
    <row r="91" spans="1:26" s="24" customFormat="1" hidden="1" outlineLevel="2" x14ac:dyDescent="0.25">
      <c r="A91" s="27"/>
      <c r="B91" s="11" t="str">
        <f>CONCATENATE("          ", "6003", " - ", "STAFF HOURLY-9 MONTH")</f>
        <v xml:space="preserve">          6003 - STAFF HOURLY-9 MONTH</v>
      </c>
      <c r="C91" s="11"/>
      <c r="D91" s="6"/>
      <c r="E91" s="2"/>
      <c r="F91" s="7">
        <f t="shared" si="21"/>
        <v>0</v>
      </c>
      <c r="G91" s="2"/>
      <c r="H91" s="6">
        <v>0</v>
      </c>
      <c r="I91" s="2"/>
      <c r="J91" s="7">
        <f t="shared" si="22"/>
        <v>0</v>
      </c>
      <c r="K91" s="2"/>
      <c r="L91" s="6">
        <f t="shared" si="23"/>
        <v>0</v>
      </c>
      <c r="M91" s="2"/>
      <c r="N91" s="7">
        <f t="shared" si="24"/>
        <v>0</v>
      </c>
      <c r="O91" s="11"/>
      <c r="P91" s="6"/>
      <c r="Q91" s="2"/>
      <c r="R91" s="7">
        <f t="shared" si="25"/>
        <v>0</v>
      </c>
      <c r="S91" s="2"/>
      <c r="T91" s="6">
        <v>0</v>
      </c>
      <c r="U91" s="2"/>
      <c r="V91" s="7">
        <f t="shared" si="26"/>
        <v>0</v>
      </c>
      <c r="W91" s="2"/>
      <c r="X91" s="6">
        <f t="shared" si="27"/>
        <v>0</v>
      </c>
      <c r="Y91" s="2"/>
      <c r="Z91" s="7">
        <f t="shared" si="28"/>
        <v>0</v>
      </c>
    </row>
    <row r="92" spans="1:26" s="24" customFormat="1" hidden="1" outlineLevel="2" x14ac:dyDescent="0.25">
      <c r="A92" s="27"/>
      <c r="B92" s="11" t="str">
        <f>CONCATENATE("          ", "6004", " - ", "STAFF HOURLY")</f>
        <v xml:space="preserve">          6004 - STAFF HOURLY</v>
      </c>
      <c r="C92" s="11"/>
      <c r="D92" s="6"/>
      <c r="E92" s="2"/>
      <c r="F92" s="7">
        <f t="shared" si="21"/>
        <v>0</v>
      </c>
      <c r="G92" s="2"/>
      <c r="H92" s="6">
        <v>0</v>
      </c>
      <c r="I92" s="2"/>
      <c r="J92" s="7">
        <f t="shared" si="22"/>
        <v>0</v>
      </c>
      <c r="K92" s="2"/>
      <c r="L92" s="6">
        <f t="shared" si="23"/>
        <v>0</v>
      </c>
      <c r="M92" s="2"/>
      <c r="N92" s="7">
        <f t="shared" si="24"/>
        <v>0</v>
      </c>
      <c r="O92" s="11"/>
      <c r="P92" s="6"/>
      <c r="Q92" s="2"/>
      <c r="R92" s="7">
        <f t="shared" si="25"/>
        <v>0</v>
      </c>
      <c r="S92" s="2"/>
      <c r="T92" s="6">
        <v>0</v>
      </c>
      <c r="U92" s="2"/>
      <c r="V92" s="7">
        <f t="shared" si="26"/>
        <v>0</v>
      </c>
      <c r="W92" s="2"/>
      <c r="X92" s="6">
        <f t="shared" si="27"/>
        <v>0</v>
      </c>
      <c r="Y92" s="2"/>
      <c r="Z92" s="7">
        <f t="shared" si="28"/>
        <v>0</v>
      </c>
    </row>
    <row r="93" spans="1:26" s="24" customFormat="1" hidden="1" outlineLevel="2" x14ac:dyDescent="0.25">
      <c r="A93" s="27"/>
      <c r="B93" s="11" t="str">
        <f>CONCATENATE("          ", "6005", " - ", "TEMPORARY WAGES-HOURLY")</f>
        <v xml:space="preserve">          6005 - TEMPORARY WAGES-HOURLY</v>
      </c>
      <c r="C93" s="11"/>
      <c r="D93" s="6">
        <v>416.88</v>
      </c>
      <c r="E93" s="2"/>
      <c r="F93" s="7">
        <f t="shared" si="21"/>
        <v>3.5998753411043373E-3</v>
      </c>
      <c r="G93" s="2"/>
      <c r="H93" s="6">
        <v>0</v>
      </c>
      <c r="I93" s="2"/>
      <c r="J93" s="7">
        <f t="shared" si="22"/>
        <v>0</v>
      </c>
      <c r="K93" s="2"/>
      <c r="L93" s="6">
        <f t="shared" si="23"/>
        <v>416.88</v>
      </c>
      <c r="M93" s="2"/>
      <c r="N93" s="7">
        <f t="shared" si="24"/>
        <v>0</v>
      </c>
      <c r="O93" s="11"/>
      <c r="P93" s="6">
        <v>416.88</v>
      </c>
      <c r="Q93" s="2"/>
      <c r="R93" s="7">
        <f t="shared" si="25"/>
        <v>1.0254519092375682E-3</v>
      </c>
      <c r="S93" s="2"/>
      <c r="T93" s="6">
        <v>0</v>
      </c>
      <c r="U93" s="2"/>
      <c r="V93" s="7">
        <f t="shared" si="26"/>
        <v>0</v>
      </c>
      <c r="W93" s="2"/>
      <c r="X93" s="6">
        <f t="shared" si="27"/>
        <v>416.88</v>
      </c>
      <c r="Y93" s="2"/>
      <c r="Z93" s="7">
        <f t="shared" si="28"/>
        <v>0</v>
      </c>
    </row>
    <row r="94" spans="1:26" s="24" customFormat="1" hidden="1" outlineLevel="2" x14ac:dyDescent="0.25">
      <c r="A94" s="27"/>
      <c r="B94" s="11" t="str">
        <f>CONCATENATE("          ", "6006", " - ", "TEMPORARY PART TIME")</f>
        <v xml:space="preserve">          6006 - TEMPORARY PART TIME</v>
      </c>
      <c r="C94" s="11"/>
      <c r="D94" s="6"/>
      <c r="E94" s="2"/>
      <c r="F94" s="7">
        <f t="shared" si="21"/>
        <v>0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0</v>
      </c>
      <c r="M94" s="2"/>
      <c r="N94" s="7">
        <f t="shared" si="24"/>
        <v>0</v>
      </c>
      <c r="O94" s="11"/>
      <c r="P94" s="6">
        <v>25.5</v>
      </c>
      <c r="Q94" s="2"/>
      <c r="R94" s="7">
        <f t="shared" si="25"/>
        <v>6.2725541368158669E-5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25.5</v>
      </c>
      <c r="Y94" s="2"/>
      <c r="Z94" s="7">
        <f t="shared" si="28"/>
        <v>0</v>
      </c>
    </row>
    <row r="95" spans="1:26" s="24" customFormat="1" hidden="1" outlineLevel="2" x14ac:dyDescent="0.25">
      <c r="A95" s="27"/>
      <c r="B95" s="11" t="str">
        <f>CONCATENATE("          ", "6007", " - ", "STUDENT HOURLY")</f>
        <v xml:space="preserve">          6007 - STUDENT HOURLY</v>
      </c>
      <c r="C95" s="11"/>
      <c r="D95" s="6">
        <v>14869.1</v>
      </c>
      <c r="E95" s="2"/>
      <c r="F95" s="7">
        <f t="shared" si="21"/>
        <v>0.12839883523895246</v>
      </c>
      <c r="G95" s="2"/>
      <c r="H95" s="6">
        <v>7395.7649999999994</v>
      </c>
      <c r="I95" s="2"/>
      <c r="J95" s="7">
        <f t="shared" si="22"/>
        <v>5.8668610185625886E-2</v>
      </c>
      <c r="K95" s="2"/>
      <c r="L95" s="6">
        <f t="shared" si="23"/>
        <v>7473.3350000000009</v>
      </c>
      <c r="M95" s="2"/>
      <c r="N95" s="7">
        <f t="shared" si="24"/>
        <v>1.0104884349353991</v>
      </c>
      <c r="O95" s="11"/>
      <c r="P95" s="6">
        <v>40900.61</v>
      </c>
      <c r="Q95" s="2"/>
      <c r="R95" s="7">
        <f t="shared" si="25"/>
        <v>0.10060834919756566</v>
      </c>
      <c r="S95" s="2"/>
      <c r="T95" s="6">
        <v>26193.735000000001</v>
      </c>
      <c r="U95" s="2"/>
      <c r="V95" s="7">
        <f t="shared" si="26"/>
        <v>5.9153707701757874E-2</v>
      </c>
      <c r="W95" s="2"/>
      <c r="X95" s="6">
        <f t="shared" si="27"/>
        <v>14706.875</v>
      </c>
      <c r="Y95" s="2"/>
      <c r="Z95" s="7">
        <f t="shared" si="28"/>
        <v>0.56146536566854632</v>
      </c>
    </row>
    <row r="96" spans="1:26" s="24" customFormat="1" hidden="1" outlineLevel="2" x14ac:dyDescent="0.25">
      <c r="A96" s="27"/>
      <c r="B96" s="11" t="str">
        <f>CONCATENATE("          ", "6008", " - ", "STUDENT HOURLY-FICA EXEMPT")</f>
        <v xml:space="preserve">          6008 - STUDENT HOURLY-FICA EXEMPT</v>
      </c>
      <c r="C96" s="11"/>
      <c r="D96" s="6"/>
      <c r="E96" s="2"/>
      <c r="F96" s="7">
        <f t="shared" si="21"/>
        <v>0</v>
      </c>
      <c r="G96" s="2"/>
      <c r="H96" s="6">
        <v>5726.25</v>
      </c>
      <c r="I96" s="2"/>
      <c r="J96" s="7">
        <f t="shared" si="22"/>
        <v>4.5424797715373631E-2</v>
      </c>
      <c r="K96" s="2"/>
      <c r="L96" s="6">
        <f t="shared" si="23"/>
        <v>-5726.25</v>
      </c>
      <c r="M96" s="2"/>
      <c r="N96" s="7">
        <f t="shared" si="24"/>
        <v>-1</v>
      </c>
      <c r="O96" s="11"/>
      <c r="P96" s="6"/>
      <c r="Q96" s="2"/>
      <c r="R96" s="7">
        <f t="shared" si="25"/>
        <v>0</v>
      </c>
      <c r="S96" s="2"/>
      <c r="T96" s="6">
        <v>12244.335000000001</v>
      </c>
      <c r="U96" s="2"/>
      <c r="V96" s="7">
        <f t="shared" si="26"/>
        <v>2.7651566819027661E-2</v>
      </c>
      <c r="W96" s="2"/>
      <c r="X96" s="6">
        <f t="shared" si="27"/>
        <v>-12244.335000000001</v>
      </c>
      <c r="Y96" s="2"/>
      <c r="Z96" s="7">
        <f t="shared" si="28"/>
        <v>-1</v>
      </c>
    </row>
    <row r="97" spans="1:26" s="24" customFormat="1" hidden="1" outlineLevel="2" x14ac:dyDescent="0.25">
      <c r="A97" s="27"/>
      <c r="B97" s="11" t="str">
        <f>CONCATENATE("          ", "6009", " - ", "TEMPORARY-SEASONAL")</f>
        <v xml:space="preserve">          6009 - TEMPORARY-SEASONAL</v>
      </c>
      <c r="C97" s="11"/>
      <c r="D97" s="6"/>
      <c r="E97" s="2"/>
      <c r="F97" s="7">
        <f t="shared" si="21"/>
        <v>0</v>
      </c>
      <c r="G97" s="2"/>
      <c r="H97" s="6">
        <v>0</v>
      </c>
      <c r="I97" s="2"/>
      <c r="J97" s="7">
        <f t="shared" si="22"/>
        <v>0</v>
      </c>
      <c r="K97" s="2"/>
      <c r="L97" s="6">
        <f t="shared" si="23"/>
        <v>0</v>
      </c>
      <c r="M97" s="2"/>
      <c r="N97" s="7">
        <f t="shared" si="24"/>
        <v>0</v>
      </c>
      <c r="O97" s="11"/>
      <c r="P97" s="6"/>
      <c r="Q97" s="2"/>
      <c r="R97" s="7">
        <f t="shared" si="25"/>
        <v>0</v>
      </c>
      <c r="S97" s="2"/>
      <c r="T97" s="6">
        <v>0</v>
      </c>
      <c r="U97" s="2"/>
      <c r="V97" s="7">
        <f t="shared" si="26"/>
        <v>0</v>
      </c>
      <c r="W97" s="2"/>
      <c r="X97" s="6">
        <f t="shared" si="27"/>
        <v>0</v>
      </c>
      <c r="Y97" s="2"/>
      <c r="Z97" s="7">
        <f t="shared" si="28"/>
        <v>0</v>
      </c>
    </row>
    <row r="98" spans="1:26" s="24" customFormat="1" hidden="1" outlineLevel="2" x14ac:dyDescent="0.25">
      <c r="A98" s="27"/>
      <c r="B98" s="11" t="str">
        <f>CONCATENATE("          ", "6010", " - ", "GRATUITY")</f>
        <v xml:space="preserve">          6010 - GRATUITY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6" customFormat="1" outlineLevel="1" collapsed="1" x14ac:dyDescent="0.25">
      <c r="A99" s="25"/>
      <c r="B99" s="13" t="str">
        <f>CONCATENATE("     ","Advertising/Promo                                 ")</f>
        <v xml:space="preserve">     Advertising/Promo                                 </v>
      </c>
      <c r="C99" s="13"/>
      <c r="D99" s="1">
        <f>SUM(OSRRefD22_2x_0)</f>
        <v>992.91</v>
      </c>
      <c r="E99" s="1"/>
      <c r="F99" s="5">
        <f t="shared" ref="F99:F105" si="29">IF(D$12=0,0,D99/D$12)</f>
        <v>8.5740554234693608E-3</v>
      </c>
      <c r="G99" s="1"/>
      <c r="H99" s="1">
        <f>SUM(OSRRefH22_2x_0)</f>
        <v>120</v>
      </c>
      <c r="I99" s="1"/>
      <c r="J99" s="5">
        <f t="shared" ref="J99:J105" si="30">IF(H$12=0,0,H99/H$12)</f>
        <v>9.519276534983341E-4</v>
      </c>
      <c r="K99" s="1"/>
      <c r="L99" s="1">
        <f t="shared" ref="L99:L105" si="31">+D99-H99</f>
        <v>872.91</v>
      </c>
      <c r="M99" s="1"/>
      <c r="N99" s="5">
        <f t="shared" ref="N99:N105" si="32">IF(H99=0,0,L99/H99)</f>
        <v>7.2742499999999994</v>
      </c>
      <c r="O99" s="13"/>
      <c r="P99" s="1">
        <f>SUM(OSRRefP22_2x_0)</f>
        <v>1185.48</v>
      </c>
      <c r="Q99" s="1"/>
      <c r="R99" s="5">
        <f t="shared" ref="R99:R105" si="33">IF(P$12=0,0,P99/P$12)</f>
        <v>2.9160735208284216E-3</v>
      </c>
      <c r="S99" s="1"/>
      <c r="T99" s="1">
        <f>SUM(OSRRefT22_2x_0)</f>
        <v>480</v>
      </c>
      <c r="U99" s="1"/>
      <c r="V99" s="5">
        <f t="shared" ref="V99:V105" si="34">IF(T$12=0,0,T99/T$12)</f>
        <v>1.0839912558038699E-3</v>
      </c>
      <c r="W99" s="1"/>
      <c r="X99" s="1">
        <f t="shared" ref="X99:X105" si="35">+P99-T99</f>
        <v>705.48</v>
      </c>
      <c r="Y99" s="1"/>
      <c r="Z99" s="5">
        <f t="shared" ref="Z99:Z105" si="36">IF(T99=0,0,X99/T99)</f>
        <v>1.4697500000000001</v>
      </c>
    </row>
    <row r="100" spans="1:26" s="24" customFormat="1" hidden="1" outlineLevel="2" x14ac:dyDescent="0.25">
      <c r="A100" s="27"/>
      <c r="B100" s="11" t="str">
        <f>CONCATENATE("          ", "6362", " - ", "ADVERTISING EXPENSE")</f>
        <v xml:space="preserve">          6362 - ADVERTISING EXPENSE</v>
      </c>
      <c r="C100" s="11"/>
      <c r="D100" s="6">
        <v>992.91</v>
      </c>
      <c r="E100" s="2"/>
      <c r="F100" s="7">
        <f t="shared" si="29"/>
        <v>8.5740554234693608E-3</v>
      </c>
      <c r="G100" s="2"/>
      <c r="H100" s="6">
        <v>120</v>
      </c>
      <c r="I100" s="2"/>
      <c r="J100" s="7">
        <f t="shared" si="30"/>
        <v>9.519276534983341E-4</v>
      </c>
      <c r="K100" s="2"/>
      <c r="L100" s="6">
        <f t="shared" si="31"/>
        <v>872.91</v>
      </c>
      <c r="M100" s="2"/>
      <c r="N100" s="7">
        <f t="shared" si="32"/>
        <v>7.2742499999999994</v>
      </c>
      <c r="O100" s="11"/>
      <c r="P100" s="6">
        <v>1185.48</v>
      </c>
      <c r="Q100" s="2"/>
      <c r="R100" s="7">
        <f t="shared" si="33"/>
        <v>2.9160735208284216E-3</v>
      </c>
      <c r="S100" s="2"/>
      <c r="T100" s="6">
        <v>480</v>
      </c>
      <c r="U100" s="2"/>
      <c r="V100" s="7">
        <f t="shared" si="34"/>
        <v>1.0839912558038699E-3</v>
      </c>
      <c r="W100" s="2"/>
      <c r="X100" s="6">
        <f t="shared" si="35"/>
        <v>705.48</v>
      </c>
      <c r="Y100" s="2"/>
      <c r="Z100" s="7">
        <f t="shared" si="36"/>
        <v>1.4697500000000001</v>
      </c>
    </row>
    <row r="101" spans="1:26" s="26" customFormat="1" outlineLevel="1" collapsed="1" x14ac:dyDescent="0.25">
      <c r="A101" s="25"/>
      <c r="B101" s="13" t="str">
        <f>CONCATENATE("     ","Bad Debts/Over/Short                              ")</f>
        <v xml:space="preserve">     Bad Debts/Over/Short                              </v>
      </c>
      <c r="C101" s="13"/>
      <c r="D101" s="1">
        <f>SUM(OSRRefD22_3x_0)</f>
        <v>-8.2799999999999994</v>
      </c>
      <c r="E101" s="1"/>
      <c r="F101" s="5">
        <f t="shared" si="29"/>
        <v>-7.1500114719688898E-5</v>
      </c>
      <c r="G101" s="1"/>
      <c r="H101" s="1">
        <f>SUM(OSRRefH22_3x_0)</f>
        <v>0</v>
      </c>
      <c r="I101" s="1"/>
      <c r="J101" s="5">
        <f t="shared" si="30"/>
        <v>0</v>
      </c>
      <c r="K101" s="1"/>
      <c r="L101" s="1">
        <f t="shared" si="31"/>
        <v>-8.2799999999999994</v>
      </c>
      <c r="M101" s="1"/>
      <c r="N101" s="5">
        <f t="shared" si="32"/>
        <v>0</v>
      </c>
      <c r="O101" s="13"/>
      <c r="P101" s="1">
        <f>SUM(OSRRefP22_3x_0)</f>
        <v>-47.56</v>
      </c>
      <c r="Q101" s="1"/>
      <c r="R101" s="5">
        <f t="shared" si="33"/>
        <v>-1.1698928421449516E-4</v>
      </c>
      <c r="S101" s="1"/>
      <c r="T101" s="1">
        <f>SUM(OSRRefT22_3x_0)</f>
        <v>0</v>
      </c>
      <c r="U101" s="1"/>
      <c r="V101" s="5">
        <f t="shared" si="34"/>
        <v>0</v>
      </c>
      <c r="W101" s="1"/>
      <c r="X101" s="1">
        <f t="shared" si="35"/>
        <v>-47.56</v>
      </c>
      <c r="Y101" s="1"/>
      <c r="Z101" s="5">
        <f t="shared" si="36"/>
        <v>0</v>
      </c>
    </row>
    <row r="102" spans="1:26" s="24" customFormat="1" hidden="1" outlineLevel="2" x14ac:dyDescent="0.25">
      <c r="A102" s="27"/>
      <c r="B102" s="11" t="str">
        <f>CONCATENATE("          ", "6272", " - ", "CASH (OVER/SHORT)")</f>
        <v xml:space="preserve">          6272 - CASH (OVER/SHORT)</v>
      </c>
      <c r="C102" s="11"/>
      <c r="D102" s="6">
        <v>-8.2799999999999994</v>
      </c>
      <c r="E102" s="2"/>
      <c r="F102" s="7">
        <f t="shared" si="29"/>
        <v>-7.1500114719688898E-5</v>
      </c>
      <c r="G102" s="2"/>
      <c r="H102" s="6"/>
      <c r="I102" s="2"/>
      <c r="J102" s="7">
        <f t="shared" si="30"/>
        <v>0</v>
      </c>
      <c r="K102" s="2"/>
      <c r="L102" s="6">
        <f t="shared" si="31"/>
        <v>-8.2799999999999994</v>
      </c>
      <c r="M102" s="2"/>
      <c r="N102" s="7">
        <f t="shared" si="32"/>
        <v>0</v>
      </c>
      <c r="O102" s="11"/>
      <c r="P102" s="6">
        <v>-47.56</v>
      </c>
      <c r="Q102" s="2"/>
      <c r="R102" s="7">
        <f t="shared" si="33"/>
        <v>-1.1698928421449516E-4</v>
      </c>
      <c r="S102" s="2"/>
      <c r="T102" s="6"/>
      <c r="U102" s="2"/>
      <c r="V102" s="7">
        <f t="shared" si="34"/>
        <v>0</v>
      </c>
      <c r="W102" s="2"/>
      <c r="X102" s="6">
        <f t="shared" si="35"/>
        <v>-47.56</v>
      </c>
      <c r="Y102" s="2"/>
      <c r="Z102" s="7">
        <f t="shared" si="36"/>
        <v>0</v>
      </c>
    </row>
    <row r="103" spans="1:26" s="26" customFormat="1" outlineLevel="1" collapsed="1" x14ac:dyDescent="0.25">
      <c r="A103" s="25"/>
      <c r="B103" s="13" t="str">
        <f>CONCATENATE("     ","Discounts and Markdowns                           ")</f>
        <v xml:space="preserve">     Discounts and Markdowns                           </v>
      </c>
      <c r="C103" s="13"/>
      <c r="D103" s="1">
        <f>SUM(OSRRefD22_4x_0)</f>
        <v>1554.8899999999999</v>
      </c>
      <c r="E103" s="1"/>
      <c r="F103" s="5">
        <f t="shared" si="29"/>
        <v>1.3426909828079358E-2</v>
      </c>
      <c r="G103" s="1"/>
      <c r="H103" s="1">
        <f>SUM(OSRRefH22_4x_0)</f>
        <v>2500</v>
      </c>
      <c r="I103" s="1"/>
      <c r="J103" s="5">
        <f t="shared" si="30"/>
        <v>1.9831826114548628E-2</v>
      </c>
      <c r="K103" s="1"/>
      <c r="L103" s="1">
        <f t="shared" si="31"/>
        <v>-945.11000000000013</v>
      </c>
      <c r="M103" s="1"/>
      <c r="N103" s="5">
        <f t="shared" si="32"/>
        <v>-0.37804400000000005</v>
      </c>
      <c r="O103" s="13"/>
      <c r="P103" s="1">
        <f>SUM(OSRRefP22_4x_0)</f>
        <v>8457.130000000001</v>
      </c>
      <c r="Q103" s="1"/>
      <c r="R103" s="5">
        <f t="shared" si="33"/>
        <v>2.0803061085133169E-2</v>
      </c>
      <c r="S103" s="1"/>
      <c r="T103" s="1">
        <f>SUM(OSRRefT22_4x_0)</f>
        <v>10000</v>
      </c>
      <c r="U103" s="1"/>
      <c r="V103" s="5">
        <f t="shared" si="34"/>
        <v>2.2583151162580622E-2</v>
      </c>
      <c r="W103" s="1"/>
      <c r="X103" s="1">
        <f t="shared" si="35"/>
        <v>-1542.869999999999</v>
      </c>
      <c r="Y103" s="1"/>
      <c r="Z103" s="5">
        <f t="shared" si="36"/>
        <v>-0.1542869999999999</v>
      </c>
    </row>
    <row r="104" spans="1:26" s="24" customFormat="1" hidden="1" outlineLevel="2" x14ac:dyDescent="0.25">
      <c r="A104" s="27"/>
      <c r="B104" s="11" t="str">
        <f>CONCATENATE("          ", "6382", " - ", "DISCOUNTS/MARK DOWNS")</f>
        <v xml:space="preserve">          6382 - DISCOUNTS/MARK DOWNS</v>
      </c>
      <c r="C104" s="11"/>
      <c r="D104" s="6">
        <v>1637.54</v>
      </c>
      <c r="E104" s="2"/>
      <c r="F104" s="7">
        <f t="shared" si="29"/>
        <v>1.4140615683342919E-2</v>
      </c>
      <c r="G104" s="2"/>
      <c r="H104" s="6">
        <v>2500</v>
      </c>
      <c r="I104" s="2"/>
      <c r="J104" s="7">
        <f t="shared" si="30"/>
        <v>1.9831826114548628E-2</v>
      </c>
      <c r="K104" s="2"/>
      <c r="L104" s="6">
        <f t="shared" si="31"/>
        <v>-862.46</v>
      </c>
      <c r="M104" s="2"/>
      <c r="N104" s="7">
        <f t="shared" si="32"/>
        <v>-0.34498400000000001</v>
      </c>
      <c r="O104" s="11"/>
      <c r="P104" s="6">
        <v>8645.7000000000007</v>
      </c>
      <c r="Q104" s="2"/>
      <c r="R104" s="7">
        <f t="shared" si="33"/>
        <v>2.1266910313987822E-2</v>
      </c>
      <c r="S104" s="2"/>
      <c r="T104" s="6">
        <v>10000</v>
      </c>
      <c r="U104" s="2"/>
      <c r="V104" s="7">
        <f t="shared" si="34"/>
        <v>2.2583151162580622E-2</v>
      </c>
      <c r="W104" s="2"/>
      <c r="X104" s="6">
        <f t="shared" si="35"/>
        <v>-1354.2999999999993</v>
      </c>
      <c r="Y104" s="2"/>
      <c r="Z104" s="7">
        <f t="shared" si="36"/>
        <v>-0.13542999999999994</v>
      </c>
    </row>
    <row r="105" spans="1:26" s="24" customFormat="1" hidden="1" outlineLevel="2" x14ac:dyDescent="0.25">
      <c r="A105" s="27"/>
      <c r="B105" s="11" t="str">
        <f>CONCATENATE("          ", "9175", " - ", "EARNED DISCOUNTS")</f>
        <v xml:space="preserve">          9175 - EARNED DISCOUNTS</v>
      </c>
      <c r="C105" s="11"/>
      <c r="D105" s="6">
        <v>-82.65</v>
      </c>
      <c r="E105" s="2"/>
      <c r="F105" s="7">
        <f t="shared" si="29"/>
        <v>-7.1370585526356139E-4</v>
      </c>
      <c r="G105" s="2"/>
      <c r="H105" s="6"/>
      <c r="I105" s="2"/>
      <c r="J105" s="7">
        <f t="shared" si="30"/>
        <v>0</v>
      </c>
      <c r="K105" s="2"/>
      <c r="L105" s="6">
        <f t="shared" si="31"/>
        <v>-82.65</v>
      </c>
      <c r="M105" s="2"/>
      <c r="N105" s="7">
        <f t="shared" si="32"/>
        <v>0</v>
      </c>
      <c r="O105" s="11"/>
      <c r="P105" s="6">
        <v>-188.57</v>
      </c>
      <c r="Q105" s="2"/>
      <c r="R105" s="7">
        <f t="shared" si="33"/>
        <v>-4.6384922885465415E-4</v>
      </c>
      <c r="S105" s="2"/>
      <c r="T105" s="6"/>
      <c r="U105" s="2"/>
      <c r="V105" s="7">
        <f t="shared" si="34"/>
        <v>0</v>
      </c>
      <c r="W105" s="2"/>
      <c r="X105" s="6">
        <f t="shared" si="35"/>
        <v>-188.57</v>
      </c>
      <c r="Y105" s="2"/>
      <c r="Z105" s="7">
        <f t="shared" si="36"/>
        <v>0</v>
      </c>
    </row>
    <row r="106" spans="1:26" s="26" customFormat="1" outlineLevel="1" collapsed="1" x14ac:dyDescent="0.25">
      <c r="A106" s="25"/>
      <c r="B106" s="13" t="str">
        <f>CONCATENATE("     ","Employees' Appreciation                           ")</f>
        <v xml:space="preserve">     Employees' Appreciation                           </v>
      </c>
      <c r="C106" s="13"/>
      <c r="D106" s="1">
        <f>SUM(OSRRefD22_5x_0)</f>
        <v>0</v>
      </c>
      <c r="E106" s="1"/>
      <c r="F106" s="5">
        <f t="shared" ref="F106:F114" si="37">IF(D$12=0,0,D106/D$12)</f>
        <v>0</v>
      </c>
      <c r="G106" s="1"/>
      <c r="H106" s="1">
        <f>SUM(OSRRefH22_5x_0)</f>
        <v>50</v>
      </c>
      <c r="I106" s="1"/>
      <c r="J106" s="5">
        <f t="shared" ref="J106:J114" si="38">IF(H$12=0,0,H106/H$12)</f>
        <v>3.9663652229097253E-4</v>
      </c>
      <c r="K106" s="1"/>
      <c r="L106" s="1">
        <f t="shared" ref="L106:L114" si="39">+D106-H106</f>
        <v>-50</v>
      </c>
      <c r="M106" s="1"/>
      <c r="N106" s="5">
        <f t="shared" ref="N106:N114" si="40">IF(H106=0,0,L106/H106)</f>
        <v>-1</v>
      </c>
      <c r="O106" s="13"/>
      <c r="P106" s="1">
        <f>SUM(OSRRefP22_5x_0)</f>
        <v>0</v>
      </c>
      <c r="Q106" s="1"/>
      <c r="R106" s="5">
        <f t="shared" ref="R106:R114" si="41">IF(P$12=0,0,P106/P$12)</f>
        <v>0</v>
      </c>
      <c r="S106" s="1"/>
      <c r="T106" s="1">
        <f>SUM(OSRRefT22_5x_0)</f>
        <v>200</v>
      </c>
      <c r="U106" s="1"/>
      <c r="V106" s="5">
        <f t="shared" ref="V106:V114" si="42">IF(T$12=0,0,T106/T$12)</f>
        <v>4.5166302325161243E-4</v>
      </c>
      <c r="W106" s="1"/>
      <c r="X106" s="1">
        <f t="shared" ref="X106:X114" si="43">+P106-T106</f>
        <v>-200</v>
      </c>
      <c r="Y106" s="1"/>
      <c r="Z106" s="5">
        <f t="shared" ref="Z106:Z114" si="44">IF(T106=0,0,X106/T106)</f>
        <v>-1</v>
      </c>
    </row>
    <row r="107" spans="1:26" s="24" customFormat="1" hidden="1" outlineLevel="2" x14ac:dyDescent="0.25">
      <c r="A107" s="27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37"/>
        <v>0</v>
      </c>
      <c r="G107" s="2"/>
      <c r="H107" s="6">
        <v>50</v>
      </c>
      <c r="I107" s="2"/>
      <c r="J107" s="7">
        <f t="shared" si="38"/>
        <v>3.9663652229097253E-4</v>
      </c>
      <c r="K107" s="2"/>
      <c r="L107" s="6">
        <f t="shared" si="39"/>
        <v>-50</v>
      </c>
      <c r="M107" s="2"/>
      <c r="N107" s="7">
        <f t="shared" si="40"/>
        <v>-1</v>
      </c>
      <c r="O107" s="11"/>
      <c r="P107" s="6"/>
      <c r="Q107" s="2"/>
      <c r="R107" s="7">
        <f t="shared" si="41"/>
        <v>0</v>
      </c>
      <c r="S107" s="2"/>
      <c r="T107" s="6">
        <v>200</v>
      </c>
      <c r="U107" s="2"/>
      <c r="V107" s="7">
        <f t="shared" si="42"/>
        <v>4.5166302325161243E-4</v>
      </c>
      <c r="W107" s="2"/>
      <c r="X107" s="6">
        <f t="shared" si="43"/>
        <v>-200</v>
      </c>
      <c r="Y107" s="2"/>
      <c r="Z107" s="7">
        <f t="shared" si="44"/>
        <v>-1</v>
      </c>
    </row>
    <row r="108" spans="1:26" s="26" customFormat="1" outlineLevel="1" collapsed="1" x14ac:dyDescent="0.25">
      <c r="A108" s="25"/>
      <c r="B108" s="13" t="str">
        <f>CONCATENATE("     ","General                                           ")</f>
        <v xml:space="preserve">     General                                           </v>
      </c>
      <c r="C108" s="13"/>
      <c r="D108" s="1">
        <f>SUM(OSRRefD22_6x_0)</f>
        <v>99.5</v>
      </c>
      <c r="E108" s="1"/>
      <c r="F108" s="5">
        <f t="shared" si="37"/>
        <v>8.5921031577403941E-4</v>
      </c>
      <c r="G108" s="1"/>
      <c r="H108" s="1">
        <f>SUM(OSRRefH22_6x_0)</f>
        <v>80</v>
      </c>
      <c r="I108" s="1"/>
      <c r="J108" s="5">
        <f t="shared" si="38"/>
        <v>6.3461843566555614E-4</v>
      </c>
      <c r="K108" s="1"/>
      <c r="L108" s="1">
        <f t="shared" si="39"/>
        <v>19.5</v>
      </c>
      <c r="M108" s="1"/>
      <c r="N108" s="5">
        <f t="shared" si="40"/>
        <v>0.24374999999999999</v>
      </c>
      <c r="O108" s="13"/>
      <c r="P108" s="1">
        <f>SUM(OSRRefP22_6x_0)</f>
        <v>794.05</v>
      </c>
      <c r="Q108" s="1"/>
      <c r="R108" s="5">
        <f t="shared" si="41"/>
        <v>1.9532241617014269E-3</v>
      </c>
      <c r="S108" s="1"/>
      <c r="T108" s="1">
        <f>SUM(OSRRefT22_6x_0)</f>
        <v>320</v>
      </c>
      <c r="U108" s="1"/>
      <c r="V108" s="5">
        <f t="shared" si="42"/>
        <v>7.2266083720257991E-4</v>
      </c>
      <c r="W108" s="1"/>
      <c r="X108" s="1">
        <f t="shared" si="43"/>
        <v>474.04999999999995</v>
      </c>
      <c r="Y108" s="1"/>
      <c r="Z108" s="5">
        <f t="shared" si="44"/>
        <v>1.4814062499999998</v>
      </c>
    </row>
    <row r="109" spans="1:26" s="24" customFormat="1" hidden="1" outlineLevel="2" x14ac:dyDescent="0.25">
      <c r="A109" s="27"/>
      <c r="B109" s="11" t="str">
        <f>CONCATENATE("          ", "6279", " - ", "GENERAL EXPENSE")</f>
        <v xml:space="preserve">          6279 - GENERAL EXPENSE</v>
      </c>
      <c r="C109" s="11"/>
      <c r="D109" s="6">
        <v>99.5</v>
      </c>
      <c r="E109" s="2"/>
      <c r="F109" s="7">
        <f t="shared" si="37"/>
        <v>8.5921031577403941E-4</v>
      </c>
      <c r="G109" s="2"/>
      <c r="H109" s="6">
        <v>80</v>
      </c>
      <c r="I109" s="2"/>
      <c r="J109" s="7">
        <f t="shared" si="38"/>
        <v>6.3461843566555614E-4</v>
      </c>
      <c r="K109" s="2"/>
      <c r="L109" s="6">
        <f t="shared" si="39"/>
        <v>19.5</v>
      </c>
      <c r="M109" s="2"/>
      <c r="N109" s="7">
        <f t="shared" si="40"/>
        <v>0.24374999999999999</v>
      </c>
      <c r="O109" s="11"/>
      <c r="P109" s="6">
        <v>794.05</v>
      </c>
      <c r="Q109" s="2"/>
      <c r="R109" s="7">
        <f t="shared" si="41"/>
        <v>1.9532241617014269E-3</v>
      </c>
      <c r="S109" s="2"/>
      <c r="T109" s="6">
        <v>320</v>
      </c>
      <c r="U109" s="2"/>
      <c r="V109" s="7">
        <f t="shared" si="42"/>
        <v>7.2266083720257991E-4</v>
      </c>
      <c r="W109" s="2"/>
      <c r="X109" s="6">
        <f t="shared" si="43"/>
        <v>474.04999999999995</v>
      </c>
      <c r="Y109" s="2"/>
      <c r="Z109" s="7">
        <f t="shared" si="44"/>
        <v>1.4814062499999998</v>
      </c>
    </row>
    <row r="110" spans="1:26" s="26" customFormat="1" outlineLevel="1" collapsed="1" x14ac:dyDescent="0.25">
      <c r="A110" s="25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SUM(OSRRefD22_7x_0)</f>
        <v>0</v>
      </c>
      <c r="E110" s="1"/>
      <c r="F110" s="5">
        <f t="shared" si="37"/>
        <v>0</v>
      </c>
      <c r="G110" s="1"/>
      <c r="H110" s="1">
        <f>SUM(OSRRefH22_7x_0)</f>
        <v>115</v>
      </c>
      <c r="I110" s="1"/>
      <c r="J110" s="5">
        <f t="shared" si="38"/>
        <v>9.1226400126923686E-4</v>
      </c>
      <c r="K110" s="1"/>
      <c r="L110" s="1">
        <f t="shared" si="39"/>
        <v>-115</v>
      </c>
      <c r="M110" s="1"/>
      <c r="N110" s="5">
        <f t="shared" si="40"/>
        <v>-1</v>
      </c>
      <c r="O110" s="13"/>
      <c r="P110" s="1">
        <f>SUM(OSRRefP22_7x_0)</f>
        <v>750</v>
      </c>
      <c r="Q110" s="1"/>
      <c r="R110" s="5">
        <f t="shared" si="41"/>
        <v>1.8448688637693728E-3</v>
      </c>
      <c r="S110" s="1"/>
      <c r="T110" s="1">
        <f>SUM(OSRRefT22_7x_0)</f>
        <v>460</v>
      </c>
      <c r="U110" s="1"/>
      <c r="V110" s="5">
        <f t="shared" si="42"/>
        <v>1.0388249534787086E-3</v>
      </c>
      <c r="W110" s="1"/>
      <c r="X110" s="1">
        <f t="shared" si="43"/>
        <v>290</v>
      </c>
      <c r="Y110" s="1"/>
      <c r="Z110" s="5">
        <f t="shared" si="44"/>
        <v>0.63043478260869568</v>
      </c>
    </row>
    <row r="111" spans="1:26" s="24" customFormat="1" hidden="1" outlineLevel="2" x14ac:dyDescent="0.25">
      <c r="A111" s="27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7"/>
        <v>0</v>
      </c>
      <c r="G111" s="2"/>
      <c r="H111" s="6">
        <v>115</v>
      </c>
      <c r="I111" s="2"/>
      <c r="J111" s="7">
        <f t="shared" si="38"/>
        <v>9.1226400126923686E-4</v>
      </c>
      <c r="K111" s="2"/>
      <c r="L111" s="6">
        <f t="shared" si="39"/>
        <v>-115</v>
      </c>
      <c r="M111" s="2"/>
      <c r="N111" s="7">
        <f t="shared" si="40"/>
        <v>-1</v>
      </c>
      <c r="O111" s="11"/>
      <c r="P111" s="6">
        <v>750</v>
      </c>
      <c r="Q111" s="2"/>
      <c r="R111" s="7">
        <f t="shared" si="41"/>
        <v>1.8448688637693728E-3</v>
      </c>
      <c r="S111" s="2"/>
      <c r="T111" s="6">
        <v>460</v>
      </c>
      <c r="U111" s="2"/>
      <c r="V111" s="7">
        <f t="shared" si="42"/>
        <v>1.0388249534787086E-3</v>
      </c>
      <c r="W111" s="2"/>
      <c r="X111" s="6">
        <f t="shared" si="43"/>
        <v>290</v>
      </c>
      <c r="Y111" s="2"/>
      <c r="Z111" s="7">
        <f t="shared" si="44"/>
        <v>0.63043478260869568</v>
      </c>
    </row>
    <row r="112" spans="1:26" s="26" customFormat="1" outlineLevel="1" collapsed="1" x14ac:dyDescent="0.25">
      <c r="A112" s="25"/>
      <c r="B112" s="13" t="str">
        <f>CONCATENATE("     ","Repair and Maintenance                            ")</f>
        <v xml:space="preserve">     Repair and Maintenance                            </v>
      </c>
      <c r="C112" s="13"/>
      <c r="D112" s="1">
        <f>SUM(OSRRefD22_8x_0)</f>
        <v>58.62</v>
      </c>
      <c r="E112" s="1"/>
      <c r="F112" s="5">
        <f t="shared" si="37"/>
        <v>5.0620008754446424E-4</v>
      </c>
      <c r="G112" s="1"/>
      <c r="H112" s="1">
        <f>SUM(OSRRefH22_8x_0)</f>
        <v>125</v>
      </c>
      <c r="I112" s="1"/>
      <c r="J112" s="5">
        <f t="shared" si="38"/>
        <v>9.9159130572743144E-4</v>
      </c>
      <c r="K112" s="1"/>
      <c r="L112" s="1">
        <f t="shared" si="39"/>
        <v>-66.38</v>
      </c>
      <c r="M112" s="1"/>
      <c r="N112" s="5">
        <f t="shared" si="40"/>
        <v>-0.53103999999999996</v>
      </c>
      <c r="O112" s="13"/>
      <c r="P112" s="1">
        <f>SUM(OSRRefP22_8x_0)</f>
        <v>68.42</v>
      </c>
      <c r="Q112" s="1"/>
      <c r="R112" s="5">
        <f t="shared" si="41"/>
        <v>1.6830123687880066E-4</v>
      </c>
      <c r="S112" s="1"/>
      <c r="T112" s="1">
        <f>SUM(OSRRefT22_8x_0)</f>
        <v>500</v>
      </c>
      <c r="U112" s="1"/>
      <c r="V112" s="5">
        <f t="shared" si="42"/>
        <v>1.129157558129031E-3</v>
      </c>
      <c r="W112" s="1"/>
      <c r="X112" s="1">
        <f t="shared" si="43"/>
        <v>-431.58</v>
      </c>
      <c r="Y112" s="1"/>
      <c r="Z112" s="5">
        <f t="shared" si="44"/>
        <v>-0.86315999999999993</v>
      </c>
    </row>
    <row r="113" spans="1:26" s="24" customFormat="1" hidden="1" outlineLevel="2" x14ac:dyDescent="0.25">
      <c r="A113" s="27"/>
      <c r="B113" s="11" t="str">
        <f>CONCATENATE("          ", "6373", " - ", "MAINTENANCE CONTRACTS")</f>
        <v xml:space="preserve">          6373 - MAINTENANCE CONTRACTS</v>
      </c>
      <c r="C113" s="11"/>
      <c r="D113" s="6">
        <v>58.62</v>
      </c>
      <c r="E113" s="2"/>
      <c r="F113" s="7">
        <f t="shared" si="37"/>
        <v>5.0620008754446424E-4</v>
      </c>
      <c r="G113" s="2"/>
      <c r="H113" s="6"/>
      <c r="I113" s="2"/>
      <c r="J113" s="7">
        <f t="shared" si="38"/>
        <v>0</v>
      </c>
      <c r="K113" s="2"/>
      <c r="L113" s="6">
        <f t="shared" si="39"/>
        <v>58.62</v>
      </c>
      <c r="M113" s="2"/>
      <c r="N113" s="7">
        <f t="shared" si="40"/>
        <v>0</v>
      </c>
      <c r="O113" s="11"/>
      <c r="P113" s="6">
        <v>58.62</v>
      </c>
      <c r="Q113" s="2"/>
      <c r="R113" s="7">
        <f t="shared" si="41"/>
        <v>1.4419495039221417E-4</v>
      </c>
      <c r="S113" s="2"/>
      <c r="T113" s="6"/>
      <c r="U113" s="2"/>
      <c r="V113" s="7">
        <f t="shared" si="42"/>
        <v>0</v>
      </c>
      <c r="W113" s="2"/>
      <c r="X113" s="6">
        <f t="shared" si="43"/>
        <v>58.62</v>
      </c>
      <c r="Y113" s="2"/>
      <c r="Z113" s="7">
        <f t="shared" si="44"/>
        <v>0</v>
      </c>
    </row>
    <row r="114" spans="1:26" s="24" customFormat="1" hidden="1" outlineLevel="2" x14ac:dyDescent="0.25">
      <c r="A114" s="27"/>
      <c r="B114" s="11" t="str">
        <f>CONCATENATE("          ", "6375", " - ", "OUTSIDE REPAIRS &amp; MAINTENANCE")</f>
        <v xml:space="preserve">          6375 - OUTSIDE REPAIRS &amp; MAINTENANCE</v>
      </c>
      <c r="C114" s="11"/>
      <c r="D114" s="6"/>
      <c r="E114" s="2"/>
      <c r="F114" s="7">
        <f t="shared" si="37"/>
        <v>0</v>
      </c>
      <c r="G114" s="2"/>
      <c r="H114" s="6">
        <v>125</v>
      </c>
      <c r="I114" s="2"/>
      <c r="J114" s="7">
        <f t="shared" si="38"/>
        <v>9.9159130572743144E-4</v>
      </c>
      <c r="K114" s="2"/>
      <c r="L114" s="6">
        <f t="shared" si="39"/>
        <v>-125</v>
      </c>
      <c r="M114" s="2"/>
      <c r="N114" s="7">
        <f t="shared" si="40"/>
        <v>-1</v>
      </c>
      <c r="O114" s="11"/>
      <c r="P114" s="6">
        <v>9.8000000000000007</v>
      </c>
      <c r="Q114" s="2"/>
      <c r="R114" s="7">
        <f t="shared" si="41"/>
        <v>2.4106286486586471E-5</v>
      </c>
      <c r="S114" s="2"/>
      <c r="T114" s="6">
        <v>500</v>
      </c>
      <c r="U114" s="2"/>
      <c r="V114" s="7">
        <f t="shared" si="42"/>
        <v>1.129157558129031E-3</v>
      </c>
      <c r="W114" s="2"/>
      <c r="X114" s="6">
        <f t="shared" si="43"/>
        <v>-490.2</v>
      </c>
      <c r="Y114" s="2"/>
      <c r="Z114" s="7">
        <f t="shared" si="44"/>
        <v>-0.98039999999999994</v>
      </c>
    </row>
    <row r="115" spans="1:26" s="26" customFormat="1" outlineLevel="1" collapsed="1" x14ac:dyDescent="0.25">
      <c r="A115" s="25"/>
      <c r="B115" s="13" t="str">
        <f>CONCATENATE("     ","Services                                          ")</f>
        <v xml:space="preserve">     Services                                          </v>
      </c>
      <c r="C115" s="13"/>
      <c r="D115" s="1">
        <f>SUM(OSRRefD22_9x_0)</f>
        <v>274.26</v>
      </c>
      <c r="E115" s="1"/>
      <c r="F115" s="5">
        <f t="shared" ref="F115:F117" si="45">IF(D$12=0,0,D115/D$12)</f>
        <v>2.3683117708963621E-3</v>
      </c>
      <c r="G115" s="1"/>
      <c r="H115" s="1">
        <f>SUM(OSRRefH22_9x_0)</f>
        <v>100</v>
      </c>
      <c r="I115" s="1"/>
      <c r="J115" s="5">
        <f t="shared" ref="J115:J117" si="46">IF(H$12=0,0,H115/H$12)</f>
        <v>7.9327304458194506E-4</v>
      </c>
      <c r="K115" s="1"/>
      <c r="L115" s="1">
        <f t="shared" ref="L115:L117" si="47">+D115-H115</f>
        <v>174.26</v>
      </c>
      <c r="M115" s="1"/>
      <c r="N115" s="5">
        <f t="shared" ref="N115:N117" si="48">IF(H115=0,0,L115/H115)</f>
        <v>1.7425999999999999</v>
      </c>
      <c r="O115" s="13"/>
      <c r="P115" s="1">
        <f>SUM(OSRRefP22_9x_0)</f>
        <v>970.22</v>
      </c>
      <c r="Q115" s="1"/>
      <c r="R115" s="5">
        <f t="shared" ref="R115:R117" si="49">IF(P$12=0,0,P115/P$12)</f>
        <v>2.3865715586750946E-3</v>
      </c>
      <c r="S115" s="1"/>
      <c r="T115" s="1">
        <f>SUM(OSRRefT22_9x_0)</f>
        <v>400</v>
      </c>
      <c r="U115" s="1"/>
      <c r="V115" s="5">
        <f t="shared" ref="V115:V117" si="50">IF(T$12=0,0,T115/T$12)</f>
        <v>9.0332604650322486E-4</v>
      </c>
      <c r="W115" s="1"/>
      <c r="X115" s="1">
        <f t="shared" ref="X115:X117" si="51">+P115-T115</f>
        <v>570.22</v>
      </c>
      <c r="Y115" s="1"/>
      <c r="Z115" s="5">
        <f t="shared" ref="Z115:Z117" si="52">IF(T115=0,0,X115/T115)</f>
        <v>1.4255500000000001</v>
      </c>
    </row>
    <row r="116" spans="1:26" s="24" customFormat="1" hidden="1" outlineLevel="2" x14ac:dyDescent="0.25">
      <c r="A116" s="27"/>
      <c r="B116" s="11" t="str">
        <f>CONCATENATE("          ", "6282", " - ", "JANITORIAL/EXTERMINATOR EXPENS")</f>
        <v xml:space="preserve">          6282 - JANITORIAL/EXTERMINATOR EXPENS</v>
      </c>
      <c r="C116" s="11"/>
      <c r="D116" s="6">
        <v>44</v>
      </c>
      <c r="E116" s="2"/>
      <c r="F116" s="7">
        <f t="shared" si="45"/>
        <v>3.7995230044279128E-4</v>
      </c>
      <c r="G116" s="2"/>
      <c r="H116" s="6">
        <v>50</v>
      </c>
      <c r="I116" s="2"/>
      <c r="J116" s="7">
        <f t="shared" si="46"/>
        <v>3.9663652229097253E-4</v>
      </c>
      <c r="K116" s="2"/>
      <c r="L116" s="6">
        <f t="shared" si="47"/>
        <v>-6</v>
      </c>
      <c r="M116" s="2"/>
      <c r="N116" s="7">
        <f t="shared" si="48"/>
        <v>-0.12</v>
      </c>
      <c r="O116" s="11"/>
      <c r="P116" s="6">
        <v>176</v>
      </c>
      <c r="Q116" s="2"/>
      <c r="R116" s="7">
        <f t="shared" si="49"/>
        <v>4.3292922669787946E-4</v>
      </c>
      <c r="S116" s="2"/>
      <c r="T116" s="6">
        <v>200</v>
      </c>
      <c r="U116" s="2"/>
      <c r="V116" s="7">
        <f t="shared" si="50"/>
        <v>4.5166302325161243E-4</v>
      </c>
      <c r="W116" s="2"/>
      <c r="X116" s="6">
        <f t="shared" si="51"/>
        <v>-24</v>
      </c>
      <c r="Y116" s="2"/>
      <c r="Z116" s="7">
        <f t="shared" si="52"/>
        <v>-0.12</v>
      </c>
    </row>
    <row r="117" spans="1:26" s="24" customFormat="1" hidden="1" outlineLevel="2" x14ac:dyDescent="0.25">
      <c r="A117" s="27"/>
      <c r="B117" s="11" t="str">
        <f>CONCATENATE("          ", "6285", " - ", "JANITORIAL SERVICES")</f>
        <v xml:space="preserve">          6285 - JANITORIAL SERVICES</v>
      </c>
      <c r="C117" s="11"/>
      <c r="D117" s="6">
        <v>230.26</v>
      </c>
      <c r="E117" s="2"/>
      <c r="F117" s="7">
        <f t="shared" si="45"/>
        <v>1.9883594704535709E-3</v>
      </c>
      <c r="G117" s="2"/>
      <c r="H117" s="6">
        <v>50</v>
      </c>
      <c r="I117" s="2"/>
      <c r="J117" s="7">
        <f t="shared" si="46"/>
        <v>3.9663652229097253E-4</v>
      </c>
      <c r="K117" s="2"/>
      <c r="L117" s="6">
        <f t="shared" si="47"/>
        <v>180.26</v>
      </c>
      <c r="M117" s="2"/>
      <c r="N117" s="7">
        <f t="shared" si="48"/>
        <v>3.6052</v>
      </c>
      <c r="O117" s="11"/>
      <c r="P117" s="6">
        <v>794.22</v>
      </c>
      <c r="Q117" s="2"/>
      <c r="R117" s="7">
        <f t="shared" si="49"/>
        <v>1.953642331977215E-3</v>
      </c>
      <c r="S117" s="2"/>
      <c r="T117" s="6">
        <v>200</v>
      </c>
      <c r="U117" s="2"/>
      <c r="V117" s="7">
        <f t="shared" si="50"/>
        <v>4.5166302325161243E-4</v>
      </c>
      <c r="W117" s="2"/>
      <c r="X117" s="6">
        <f t="shared" si="51"/>
        <v>594.22</v>
      </c>
      <c r="Y117" s="2"/>
      <c r="Z117" s="7">
        <f t="shared" si="52"/>
        <v>2.9711000000000003</v>
      </c>
    </row>
    <row r="118" spans="1:26" s="26" customFormat="1" outlineLevel="1" collapsed="1" x14ac:dyDescent="0.25">
      <c r="A118" s="25"/>
      <c r="B118" s="13" t="str">
        <f>CONCATENATE("     ","Subscriptions &amp; Dues                              ")</f>
        <v xml:space="preserve">     Subscriptions &amp; Dues                              </v>
      </c>
      <c r="C118" s="13"/>
      <c r="D118" s="1">
        <f>SUM(OSRRefD22_10x_0)</f>
        <v>0</v>
      </c>
      <c r="E118" s="1"/>
      <c r="F118" s="5">
        <f t="shared" ref="F118:F122" si="53">IF(D$12=0,0,D118/D$12)</f>
        <v>0</v>
      </c>
      <c r="G118" s="1"/>
      <c r="H118" s="1">
        <f>SUM(OSRRefH22_10x_0)</f>
        <v>0</v>
      </c>
      <c r="I118" s="1"/>
      <c r="J118" s="5">
        <f t="shared" ref="J118:J122" si="54">IF(H$12=0,0,H118/H$12)</f>
        <v>0</v>
      </c>
      <c r="K118" s="1"/>
      <c r="L118" s="1">
        <f t="shared" ref="L118:L122" si="55">+D118-H118</f>
        <v>0</v>
      </c>
      <c r="M118" s="1"/>
      <c r="N118" s="5">
        <f t="shared" ref="N118:N122" si="56">IF(H118=0,0,L118/H118)</f>
        <v>0</v>
      </c>
      <c r="O118" s="13"/>
      <c r="P118" s="1">
        <f>SUM(OSRRefP22_10x_0)</f>
        <v>120</v>
      </c>
      <c r="Q118" s="1"/>
      <c r="R118" s="5">
        <f t="shared" ref="R118:R122" si="57">IF(P$12=0,0,P118/P$12)</f>
        <v>2.9517901820309963E-4</v>
      </c>
      <c r="S118" s="1"/>
      <c r="T118" s="1">
        <f>SUM(OSRRefT22_10x_0)</f>
        <v>0</v>
      </c>
      <c r="U118" s="1"/>
      <c r="V118" s="5">
        <f t="shared" ref="V118:V122" si="58">IF(T$12=0,0,T118/T$12)</f>
        <v>0</v>
      </c>
      <c r="W118" s="1"/>
      <c r="X118" s="1">
        <f t="shared" ref="X118:X122" si="59">+P118-T118</f>
        <v>120</v>
      </c>
      <c r="Y118" s="1"/>
      <c r="Z118" s="5">
        <f t="shared" ref="Z118:Z122" si="60">IF(T118=0,0,X118/T118)</f>
        <v>0</v>
      </c>
    </row>
    <row r="119" spans="1:26" s="24" customFormat="1" hidden="1" outlineLevel="2" x14ac:dyDescent="0.25">
      <c r="A119" s="27"/>
      <c r="B119" s="11" t="str">
        <f>CONCATENATE("          ", "6258", " - ", "MEMBERSHIP DUES")</f>
        <v xml:space="preserve">          6258 - MEMBERSHIP DUES</v>
      </c>
      <c r="C119" s="11"/>
      <c r="D119" s="6"/>
      <c r="E119" s="2"/>
      <c r="F119" s="7">
        <f t="shared" si="53"/>
        <v>0</v>
      </c>
      <c r="G119" s="2"/>
      <c r="H119" s="6"/>
      <c r="I119" s="2"/>
      <c r="J119" s="7">
        <f t="shared" si="54"/>
        <v>0</v>
      </c>
      <c r="K119" s="2"/>
      <c r="L119" s="6">
        <f t="shared" si="55"/>
        <v>0</v>
      </c>
      <c r="M119" s="2"/>
      <c r="N119" s="7">
        <f t="shared" si="56"/>
        <v>0</v>
      </c>
      <c r="O119" s="11"/>
      <c r="P119" s="6">
        <v>120</v>
      </c>
      <c r="Q119" s="2"/>
      <c r="R119" s="7">
        <f t="shared" si="57"/>
        <v>2.9517901820309963E-4</v>
      </c>
      <c r="S119" s="2"/>
      <c r="T119" s="6"/>
      <c r="U119" s="2"/>
      <c r="V119" s="7">
        <f t="shared" si="58"/>
        <v>0</v>
      </c>
      <c r="W119" s="2"/>
      <c r="X119" s="6">
        <f t="shared" si="59"/>
        <v>120</v>
      </c>
      <c r="Y119" s="2"/>
      <c r="Z119" s="7">
        <f t="shared" si="60"/>
        <v>0</v>
      </c>
    </row>
    <row r="120" spans="1:26" s="26" customFormat="1" outlineLevel="1" collapsed="1" x14ac:dyDescent="0.25">
      <c r="A120" s="25"/>
      <c r="B120" s="13" t="str">
        <f>CONCATENATE("     ","Supplies                                          ")</f>
        <v xml:space="preserve">     Supplies                                          </v>
      </c>
      <c r="C120" s="13"/>
      <c r="D120" s="1">
        <f>SUM(OSRRefD22_11x_0)</f>
        <v>217.44</v>
      </c>
      <c r="E120" s="1"/>
      <c r="F120" s="5">
        <f t="shared" si="53"/>
        <v>1.8776551865518304E-3</v>
      </c>
      <c r="G120" s="1"/>
      <c r="H120" s="1">
        <f>SUM(OSRRefH22_11x_0)</f>
        <v>225</v>
      </c>
      <c r="I120" s="1"/>
      <c r="J120" s="5">
        <f t="shared" si="54"/>
        <v>1.7848643503093765E-3</v>
      </c>
      <c r="K120" s="1"/>
      <c r="L120" s="1">
        <f t="shared" si="55"/>
        <v>-7.5600000000000023</v>
      </c>
      <c r="M120" s="1"/>
      <c r="N120" s="5">
        <f t="shared" si="56"/>
        <v>-3.3600000000000012E-2</v>
      </c>
      <c r="O120" s="13"/>
      <c r="P120" s="1">
        <f>SUM(OSRRefP22_11x_0)</f>
        <v>789.4</v>
      </c>
      <c r="Q120" s="1"/>
      <c r="R120" s="5">
        <f t="shared" si="57"/>
        <v>1.941785974746057E-3</v>
      </c>
      <c r="S120" s="1"/>
      <c r="T120" s="1">
        <f>SUM(OSRRefT22_11x_0)</f>
        <v>900</v>
      </c>
      <c r="U120" s="1"/>
      <c r="V120" s="5">
        <f t="shared" si="58"/>
        <v>2.032483604632256E-3</v>
      </c>
      <c r="W120" s="1"/>
      <c r="X120" s="1">
        <f t="shared" si="59"/>
        <v>-110.60000000000002</v>
      </c>
      <c r="Y120" s="1"/>
      <c r="Z120" s="5">
        <f t="shared" si="60"/>
        <v>-0.12288888888888891</v>
      </c>
    </row>
    <row r="121" spans="1:26" s="24" customFormat="1" hidden="1" outlineLevel="2" x14ac:dyDescent="0.25">
      <c r="A121" s="27"/>
      <c r="B121" s="11" t="str">
        <f>CONCATENATE("          ", "6241", " - ", "OFFICE EXPENSE")</f>
        <v xml:space="preserve">          6241 - OFFICE EXPENSE</v>
      </c>
      <c r="C121" s="11"/>
      <c r="D121" s="6">
        <v>217.54</v>
      </c>
      <c r="E121" s="2"/>
      <c r="F121" s="7">
        <f t="shared" si="53"/>
        <v>1.8785187145073821E-3</v>
      </c>
      <c r="G121" s="2"/>
      <c r="H121" s="6">
        <v>225</v>
      </c>
      <c r="I121" s="2"/>
      <c r="J121" s="7">
        <f t="shared" si="54"/>
        <v>1.7848643503093765E-3</v>
      </c>
      <c r="K121" s="2"/>
      <c r="L121" s="6">
        <f t="shared" si="55"/>
        <v>-7.460000000000008</v>
      </c>
      <c r="M121" s="2"/>
      <c r="N121" s="7">
        <f t="shared" si="56"/>
        <v>-3.3155555555555591E-2</v>
      </c>
      <c r="O121" s="11"/>
      <c r="P121" s="6">
        <v>789.5</v>
      </c>
      <c r="Q121" s="2"/>
      <c r="R121" s="7">
        <f t="shared" si="57"/>
        <v>1.9420319572612263E-3</v>
      </c>
      <c r="S121" s="2"/>
      <c r="T121" s="6">
        <v>900</v>
      </c>
      <c r="U121" s="2"/>
      <c r="V121" s="7">
        <f t="shared" si="58"/>
        <v>2.032483604632256E-3</v>
      </c>
      <c r="W121" s="2"/>
      <c r="X121" s="6">
        <f t="shared" si="59"/>
        <v>-110.5</v>
      </c>
      <c r="Y121" s="2"/>
      <c r="Z121" s="7">
        <f t="shared" si="60"/>
        <v>-0.12277777777777778</v>
      </c>
    </row>
    <row r="122" spans="1:26" s="24" customFormat="1" hidden="1" outlineLevel="2" x14ac:dyDescent="0.25">
      <c r="A122" s="27"/>
      <c r="B122" s="11" t="str">
        <f>CONCATENATE("          ", "6247", " - ", "STORE SUPPLIES")</f>
        <v xml:space="preserve">          6247 - STORE SUPPLIES</v>
      </c>
      <c r="C122" s="11"/>
      <c r="D122" s="6">
        <v>-0.1</v>
      </c>
      <c r="E122" s="2"/>
      <c r="F122" s="7">
        <f t="shared" si="53"/>
        <v>-8.6352795555179839E-7</v>
      </c>
      <c r="G122" s="2"/>
      <c r="H122" s="6"/>
      <c r="I122" s="2"/>
      <c r="J122" s="7">
        <f t="shared" si="54"/>
        <v>0</v>
      </c>
      <c r="K122" s="2"/>
      <c r="L122" s="6">
        <f t="shared" si="55"/>
        <v>-0.1</v>
      </c>
      <c r="M122" s="2"/>
      <c r="N122" s="7">
        <f t="shared" si="56"/>
        <v>0</v>
      </c>
      <c r="O122" s="11"/>
      <c r="P122" s="6">
        <v>-0.1</v>
      </c>
      <c r="Q122" s="2"/>
      <c r="R122" s="7">
        <f t="shared" si="57"/>
        <v>-2.4598251516924973E-7</v>
      </c>
      <c r="S122" s="2"/>
      <c r="T122" s="6"/>
      <c r="U122" s="2"/>
      <c r="V122" s="7">
        <f t="shared" si="58"/>
        <v>0</v>
      </c>
      <c r="W122" s="2"/>
      <c r="X122" s="6">
        <f t="shared" si="59"/>
        <v>-0.1</v>
      </c>
      <c r="Y122" s="2"/>
      <c r="Z122" s="7">
        <f t="shared" si="60"/>
        <v>0</v>
      </c>
    </row>
    <row r="123" spans="1:26" s="26" customFormat="1" outlineLevel="1" collapsed="1" x14ac:dyDescent="0.25">
      <c r="A123" s="25"/>
      <c r="B123" s="13" t="str">
        <f>CONCATENATE("     ","Telephone/Data Lines                              ")</f>
        <v xml:space="preserve">     Telephone/Data Lines                              </v>
      </c>
      <c r="C123" s="13"/>
      <c r="D123" s="1">
        <f>SUM(OSRRefD22_12x_0)</f>
        <v>87.49</v>
      </c>
      <c r="E123" s="1"/>
      <c r="F123" s="5">
        <f t="shared" ref="F123:F126" si="61">IF(D$12=0,0,D123/D$12)</f>
        <v>7.5550060831226838E-4</v>
      </c>
      <c r="G123" s="1"/>
      <c r="H123" s="1">
        <f>SUM(OSRRefH22_12x_0)</f>
        <v>75</v>
      </c>
      <c r="I123" s="1"/>
      <c r="J123" s="5">
        <f t="shared" ref="J123:J126" si="62">IF(H$12=0,0,H123/H$12)</f>
        <v>5.949547834364588E-4</v>
      </c>
      <c r="K123" s="1"/>
      <c r="L123" s="1">
        <f t="shared" ref="L123:L126" si="63">+D123-H123</f>
        <v>12.489999999999995</v>
      </c>
      <c r="M123" s="1"/>
      <c r="N123" s="5">
        <f t="shared" ref="N123:N126" si="64">IF(H123=0,0,L123/H123)</f>
        <v>0.16653333333333326</v>
      </c>
      <c r="O123" s="13"/>
      <c r="P123" s="1">
        <f>SUM(OSRRefP22_12x_0)</f>
        <v>389.99</v>
      </c>
      <c r="Q123" s="1"/>
      <c r="R123" s="5">
        <f t="shared" ref="R123:R126" si="65">IF(P$12=0,0,P123/P$12)</f>
        <v>9.5930721090855696E-4</v>
      </c>
      <c r="S123" s="1"/>
      <c r="T123" s="1">
        <f>SUM(OSRRefT22_12x_0)</f>
        <v>300</v>
      </c>
      <c r="U123" s="1"/>
      <c r="V123" s="5">
        <f t="shared" ref="V123:V126" si="66">IF(T$12=0,0,T123/T$12)</f>
        <v>6.7749453487741867E-4</v>
      </c>
      <c r="W123" s="1"/>
      <c r="X123" s="1">
        <f t="shared" ref="X123:X126" si="67">+P123-T123</f>
        <v>89.990000000000009</v>
      </c>
      <c r="Y123" s="1"/>
      <c r="Z123" s="5">
        <f t="shared" ref="Z123:Z126" si="68">IF(T123=0,0,X123/T123)</f>
        <v>0.29996666666666671</v>
      </c>
    </row>
    <row r="124" spans="1:26" s="24" customFormat="1" hidden="1" outlineLevel="2" x14ac:dyDescent="0.25">
      <c r="A124" s="27"/>
      <c r="B124" s="11" t="str">
        <f>CONCATENATE("          ", "6309", " - ", "TELEPHONE")</f>
        <v xml:space="preserve">          6309 - TELEPHONE</v>
      </c>
      <c r="C124" s="11"/>
      <c r="D124" s="6">
        <v>87.49</v>
      </c>
      <c r="E124" s="2"/>
      <c r="F124" s="7">
        <f t="shared" si="61"/>
        <v>7.5550060831226838E-4</v>
      </c>
      <c r="G124" s="2"/>
      <c r="H124" s="6">
        <v>75</v>
      </c>
      <c r="I124" s="2"/>
      <c r="J124" s="7">
        <f t="shared" si="62"/>
        <v>5.949547834364588E-4</v>
      </c>
      <c r="K124" s="2"/>
      <c r="L124" s="6">
        <f t="shared" si="63"/>
        <v>12.489999999999995</v>
      </c>
      <c r="M124" s="2"/>
      <c r="N124" s="7">
        <f t="shared" si="64"/>
        <v>0.16653333333333326</v>
      </c>
      <c r="O124" s="11"/>
      <c r="P124" s="6">
        <v>389.99</v>
      </c>
      <c r="Q124" s="2"/>
      <c r="R124" s="7">
        <f t="shared" si="65"/>
        <v>9.5930721090855696E-4</v>
      </c>
      <c r="S124" s="2"/>
      <c r="T124" s="6">
        <v>300</v>
      </c>
      <c r="U124" s="2"/>
      <c r="V124" s="7">
        <f t="shared" si="66"/>
        <v>6.7749453487741867E-4</v>
      </c>
      <c r="W124" s="2"/>
      <c r="X124" s="6">
        <f t="shared" si="67"/>
        <v>89.990000000000009</v>
      </c>
      <c r="Y124" s="2"/>
      <c r="Z124" s="7">
        <f t="shared" si="68"/>
        <v>0.29996666666666671</v>
      </c>
    </row>
    <row r="125" spans="1:26" s="26" customFormat="1" outlineLevel="1" collapsed="1" x14ac:dyDescent="0.25">
      <c r="A125" s="25"/>
      <c r="B125" s="13" t="str">
        <f>CONCATENATE("     ","Training                                          ")</f>
        <v xml:space="preserve">     Training                                          </v>
      </c>
      <c r="C125" s="13"/>
      <c r="D125" s="1">
        <f>SUM(OSRRefD22_13x_0)</f>
        <v>80</v>
      </c>
      <c r="E125" s="1"/>
      <c r="F125" s="5">
        <f t="shared" si="61"/>
        <v>6.9082236444143873E-4</v>
      </c>
      <c r="G125" s="1"/>
      <c r="H125" s="1">
        <f>SUM(OSRRefH22_13x_0)</f>
        <v>175</v>
      </c>
      <c r="I125" s="1"/>
      <c r="J125" s="5">
        <f t="shared" si="62"/>
        <v>1.388227828018404E-3</v>
      </c>
      <c r="K125" s="1"/>
      <c r="L125" s="1">
        <f t="shared" si="63"/>
        <v>-95</v>
      </c>
      <c r="M125" s="1"/>
      <c r="N125" s="5">
        <f t="shared" si="64"/>
        <v>-0.54285714285714282</v>
      </c>
      <c r="O125" s="13"/>
      <c r="P125" s="1">
        <f>SUM(OSRRefP22_13x_0)</f>
        <v>80</v>
      </c>
      <c r="Q125" s="1"/>
      <c r="R125" s="5">
        <f t="shared" si="65"/>
        <v>1.9678601213539976E-4</v>
      </c>
      <c r="S125" s="1"/>
      <c r="T125" s="1">
        <f>SUM(OSRRefT22_13x_0)</f>
        <v>700</v>
      </c>
      <c r="U125" s="1"/>
      <c r="V125" s="5">
        <f t="shared" si="66"/>
        <v>1.5808205813806434E-3</v>
      </c>
      <c r="W125" s="1"/>
      <c r="X125" s="1">
        <f t="shared" si="67"/>
        <v>-620</v>
      </c>
      <c r="Y125" s="1"/>
      <c r="Z125" s="5">
        <f t="shared" si="68"/>
        <v>-0.88571428571428568</v>
      </c>
    </row>
    <row r="126" spans="1:26" s="24" customFormat="1" hidden="1" outlineLevel="2" x14ac:dyDescent="0.25">
      <c r="A126" s="27"/>
      <c r="B126" s="11" t="str">
        <f>CONCATENATE("          ", "6376", " - ", "TRAINING")</f>
        <v xml:space="preserve">          6376 - TRAINING</v>
      </c>
      <c r="C126" s="11"/>
      <c r="D126" s="6">
        <v>80</v>
      </c>
      <c r="E126" s="2"/>
      <c r="F126" s="7">
        <f t="shared" si="61"/>
        <v>6.9082236444143873E-4</v>
      </c>
      <c r="G126" s="2"/>
      <c r="H126" s="6">
        <v>175</v>
      </c>
      <c r="I126" s="2"/>
      <c r="J126" s="7">
        <f t="shared" si="62"/>
        <v>1.388227828018404E-3</v>
      </c>
      <c r="K126" s="2"/>
      <c r="L126" s="6">
        <f t="shared" si="63"/>
        <v>-95</v>
      </c>
      <c r="M126" s="2"/>
      <c r="N126" s="7">
        <f t="shared" si="64"/>
        <v>-0.54285714285714282</v>
      </c>
      <c r="O126" s="11"/>
      <c r="P126" s="6">
        <v>80</v>
      </c>
      <c r="Q126" s="2"/>
      <c r="R126" s="7">
        <f t="shared" si="65"/>
        <v>1.9678601213539976E-4</v>
      </c>
      <c r="S126" s="2"/>
      <c r="T126" s="6">
        <v>700</v>
      </c>
      <c r="U126" s="2"/>
      <c r="V126" s="7">
        <f t="shared" si="66"/>
        <v>1.5808205813806434E-3</v>
      </c>
      <c r="W126" s="2"/>
      <c r="X126" s="6">
        <f t="shared" si="67"/>
        <v>-620</v>
      </c>
      <c r="Y126" s="2"/>
      <c r="Z126" s="7">
        <f t="shared" si="68"/>
        <v>-0.88571428571428568</v>
      </c>
    </row>
    <row r="127" spans="1:26" s="61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9" t="s">
        <v>0</v>
      </c>
      <c r="C128" s="10"/>
      <c r="D128" s="4">
        <f>SUM(0)</f>
        <v>0</v>
      </c>
      <c r="E128" s="4"/>
      <c r="F128" s="12">
        <f>IF(D$12=0,0,D128/D$12)</f>
        <v>0</v>
      </c>
      <c r="G128" s="4"/>
      <c r="H128" s="4">
        <f>SUM(0)</f>
        <v>0</v>
      </c>
      <c r="I128" s="4"/>
      <c r="J128" s="12">
        <f>IF(H$12=0,0,H128/H$12)</f>
        <v>0</v>
      </c>
      <c r="K128" s="4"/>
      <c r="L128" s="4">
        <f>+D128-H128</f>
        <v>0</v>
      </c>
      <c r="M128" s="4"/>
      <c r="N128" s="12">
        <f>IF(H128=0,0,L128/H128)</f>
        <v>0</v>
      </c>
      <c r="O128" s="10"/>
      <c r="P128" s="4">
        <f>SUM(0)</f>
        <v>0</v>
      </c>
      <c r="Q128" s="4"/>
      <c r="R128" s="12">
        <f>IF(P$12=0,0,P128/P$12)</f>
        <v>0</v>
      </c>
      <c r="S128" s="4"/>
      <c r="T128" s="4">
        <f>SUM(0)</f>
        <v>0</v>
      </c>
      <c r="U128" s="4"/>
      <c r="V128" s="12">
        <f>IF(T$12=0,0,T128/T$12)</f>
        <v>0</v>
      </c>
      <c r="W128" s="4"/>
      <c r="X128" s="4">
        <f>+P128-T128</f>
        <v>0</v>
      </c>
      <c r="Y128" s="4"/>
      <c r="Z128" s="12">
        <f>IF(T128=0,0,X128/T128)</f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8" t="s">
        <v>3</v>
      </c>
      <c r="C130" s="28"/>
      <c r="D130" s="22">
        <f>+D75-D77+D128</f>
        <v>31178.57</v>
      </c>
      <c r="E130" s="14"/>
      <c r="F130" s="20">
        <f>IF(D$12=0,0,D130/D$12)</f>
        <v>0.26923566809128635</v>
      </c>
      <c r="G130" s="14"/>
      <c r="H130" s="22">
        <f>+H75-H77+H128</f>
        <v>40259.247768069232</v>
      </c>
      <c r="I130" s="14"/>
      <c r="J130" s="20">
        <f>IF(H$12=0,0,H130/H$12)</f>
        <v>0.3193657604955516</v>
      </c>
      <c r="K130" s="16"/>
      <c r="L130" s="22">
        <f>+D130-H130</f>
        <v>-9080.6777680692321</v>
      </c>
      <c r="M130" s="16"/>
      <c r="N130" s="20">
        <f>IF(H130=0,0,L130/H130)</f>
        <v>-0.22555507793842533</v>
      </c>
      <c r="O130" s="29"/>
      <c r="P130" s="22">
        <f>+P75-P77+P128</f>
        <v>118231.64000000006</v>
      </c>
      <c r="Q130" s="14"/>
      <c r="R130" s="20">
        <f>IF(P$12=0,0,P130/P$12)</f>
        <v>0.29082916179785284</v>
      </c>
      <c r="S130" s="14"/>
      <c r="T130" s="22">
        <f>+T75-T77+T128</f>
        <v>142816.85884104925</v>
      </c>
      <c r="U130" s="14"/>
      <c r="V130" s="20">
        <f>IF(T$12=0,0,T130/T$12)</f>
        <v>0.3225254711772354</v>
      </c>
      <c r="W130" s="16"/>
      <c r="X130" s="22">
        <f>+P130-T130</f>
        <v>-24585.218841049194</v>
      </c>
      <c r="Y130" s="16"/>
      <c r="Z130" s="20">
        <f>IF(T130=0,0,X130/T130)</f>
        <v>-0.1721450747520766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9694.51</v>
      </c>
      <c r="E132" s="4"/>
      <c r="F132" s="12">
        <f>IF(D$12=0,0,D132/D$12)</f>
        <v>8.3714804003764659E-2</v>
      </c>
      <c r="G132" s="4"/>
      <c r="H132" s="4">
        <v>13260</v>
      </c>
      <c r="I132" s="4"/>
      <c r="J132" s="12">
        <f>IF(H$12=0,0,H132/H$12)</f>
        <v>0.10518800571156592</v>
      </c>
      <c r="K132" s="4"/>
      <c r="L132" s="4">
        <f>+D132-H132</f>
        <v>-3565.49</v>
      </c>
      <c r="M132" s="4"/>
      <c r="N132" s="12">
        <f>IF(H132=0,0,L132/H132)</f>
        <v>-0.26889064856711914</v>
      </c>
      <c r="O132" s="10"/>
      <c r="P132" s="4">
        <v>40922.65</v>
      </c>
      <c r="Q132" s="4"/>
      <c r="R132" s="12">
        <f>IF(P$12=0,0,P132/P$12)</f>
        <v>0.10066256374390896</v>
      </c>
      <c r="S132" s="4"/>
      <c r="T132" s="4">
        <v>53323</v>
      </c>
      <c r="U132" s="4"/>
      <c r="V132" s="12">
        <f>IF(T$12=0,0,T132/T$12)</f>
        <v>0.12042013694422865</v>
      </c>
      <c r="W132" s="4"/>
      <c r="X132" s="4">
        <f>+P132-T132</f>
        <v>-12400.349999999999</v>
      </c>
      <c r="Y132" s="4"/>
      <c r="Z132" s="12">
        <f>IF(T132=0,0,X132/T132)</f>
        <v>-0.23255161937625413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8" t="s">
        <v>4</v>
      </c>
      <c r="C134" s="28"/>
      <c r="D134" s="31">
        <f>+D130-D132</f>
        <v>21484.059999999998</v>
      </c>
      <c r="E134" s="14"/>
      <c r="F134" s="33">
        <f>IF(D$12=0,0,D134/D$12)</f>
        <v>0.18552086408752169</v>
      </c>
      <c r="G134" s="14"/>
      <c r="H134" s="31">
        <f>+H130-H132</f>
        <v>26999.247768069232</v>
      </c>
      <c r="I134" s="14"/>
      <c r="J134" s="33">
        <f>IF(H$12=0,0,H134/H$12)</f>
        <v>0.21417775478398565</v>
      </c>
      <c r="K134" s="16"/>
      <c r="L134" s="31">
        <f>D134-H134</f>
        <v>-5515.1877680692342</v>
      </c>
      <c r="M134" s="16"/>
      <c r="N134" s="33">
        <f>IF(H134=0,0,L134/H134)</f>
        <v>-0.20427190473772358</v>
      </c>
      <c r="O134" s="29"/>
      <c r="P134" s="31">
        <f>+P130-P132</f>
        <v>77308.990000000049</v>
      </c>
      <c r="Q134" s="14"/>
      <c r="R134" s="33">
        <f>IF(P$12=0,0,P134/P$12)</f>
        <v>0.19016659805394384</v>
      </c>
      <c r="S134" s="14"/>
      <c r="T134" s="31">
        <f>+T130-T132</f>
        <v>89493.858841049252</v>
      </c>
      <c r="U134" s="14"/>
      <c r="V134" s="33">
        <f>IF(T$12=0,0,T134/T$12)</f>
        <v>0.20210533423300675</v>
      </c>
      <c r="W134" s="16"/>
      <c r="X134" s="31">
        <f>P134-T134</f>
        <v>-12184.868841049203</v>
      </c>
      <c r="Y134" s="16"/>
      <c r="Z134" s="33">
        <f>IF(T134=0,0,X134/T134)</f>
        <v>-0.13615312825755838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5</v>
      </c>
      <c r="C137" s="28"/>
      <c r="D137" s="32">
        <f>SUM(D134:D136)</f>
        <v>21484.059999999998</v>
      </c>
      <c r="E137" s="14"/>
      <c r="F137" s="34">
        <f>IF(D$12=0,0,D137/D$12)</f>
        <v>0.18552086408752169</v>
      </c>
      <c r="G137" s="14"/>
      <c r="H137" s="32">
        <f>SUM(H134:H136)</f>
        <v>26999.247768069232</v>
      </c>
      <c r="I137" s="14"/>
      <c r="J137" s="34">
        <f>IF(H$12=0,0,H137/H$12)</f>
        <v>0.21417775478398565</v>
      </c>
      <c r="K137" s="16"/>
      <c r="L137" s="32">
        <f>+D137-H137</f>
        <v>-5515.1877680692342</v>
      </c>
      <c r="M137" s="16"/>
      <c r="N137" s="34">
        <f>IF(H137=0,0,L137/H137)</f>
        <v>-0.20427190473772358</v>
      </c>
      <c r="O137" s="29"/>
      <c r="P137" s="32">
        <f>SUM(P134:P136)</f>
        <v>77308.990000000049</v>
      </c>
      <c r="Q137" s="14"/>
      <c r="R137" s="34">
        <f>IF(P$12=0,0,P137/P$12)</f>
        <v>0.19016659805394384</v>
      </c>
      <c r="S137" s="14"/>
      <c r="T137" s="32">
        <f>SUM(T134:T136)</f>
        <v>89493.858841049252</v>
      </c>
      <c r="U137" s="14"/>
      <c r="V137" s="34">
        <f>IF(T$12=0,0,T137/T$12)</f>
        <v>0.20210533423300675</v>
      </c>
      <c r="W137" s="16"/>
      <c r="X137" s="32">
        <f>+P137-T137</f>
        <v>-12184.868841049203</v>
      </c>
      <c r="Y137" s="16"/>
      <c r="Z137" s="34">
        <f>IF(T137=0,0,X137/T137)</f>
        <v>-0.13615312825755838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0">
        <v>43791.347707870373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54" t="s">
        <v>314</v>
      </c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A141" s="9"/>
      <c r="B141" s="55"/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72753.589999999967</v>
      </c>
      <c r="E12" s="4"/>
      <c r="F12" s="12"/>
      <c r="G12" s="4"/>
      <c r="H12" s="4">
        <f>SUM(OSRRefH13x_0)</f>
        <v>81872</v>
      </c>
      <c r="I12" s="4"/>
      <c r="J12" s="12"/>
      <c r="K12" s="4"/>
      <c r="L12" s="4">
        <f t="shared" ref="L12:L42" si="0">+D12-H12</f>
        <v>-9118.4100000000326</v>
      </c>
      <c r="M12" s="4"/>
      <c r="N12" s="12">
        <f t="shared" ref="N12:N42" si="1">IF(H12=0,0,L12/H12)</f>
        <v>-0.11137397400820834</v>
      </c>
      <c r="O12" s="10"/>
      <c r="P12" s="4">
        <f>SUM(OSRRefP13x_0)</f>
        <v>201112.60999999996</v>
      </c>
      <c r="Q12" s="4"/>
      <c r="R12" s="12"/>
      <c r="S12" s="4"/>
      <c r="T12" s="4">
        <f>SUM(OSRRefT13x_0)</f>
        <v>213210</v>
      </c>
      <c r="U12" s="4"/>
      <c r="V12" s="12"/>
      <c r="W12" s="4"/>
      <c r="X12" s="4">
        <f t="shared" ref="X12:X42" si="2">+P12-T12</f>
        <v>-12097.390000000043</v>
      </c>
      <c r="Y12" s="4"/>
      <c r="Z12" s="12">
        <f t="shared" ref="Z12:Z42" si="3">IF(T12=0,0,X12/T12)</f>
        <v>-5.6739318043243954E-2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58960</v>
      </c>
      <c r="I13" s="2"/>
      <c r="J13" s="19"/>
      <c r="K13" s="2"/>
      <c r="L13" s="2">
        <f t="shared" si="0"/>
        <v>-58960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167859</v>
      </c>
      <c r="U13" s="2"/>
      <c r="V13" s="19"/>
      <c r="W13" s="2"/>
      <c r="X13" s="2">
        <f t="shared" si="2"/>
        <v>-167859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--16.47</f>
        <v>16.47</v>
      </c>
      <c r="Q14" s="2"/>
      <c r="R14" s="19"/>
      <c r="S14" s="2"/>
      <c r="T14" s="2"/>
      <c r="U14" s="2"/>
      <c r="V14" s="19"/>
      <c r="W14" s="2"/>
      <c r="X14" s="2">
        <f t="shared" si="2"/>
        <v>16.47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--621.4</f>
        <v>621.4</v>
      </c>
      <c r="E15" s="2"/>
      <c r="F15" s="19"/>
      <c r="G15" s="2"/>
      <c r="H15" s="2"/>
      <c r="I15" s="2"/>
      <c r="J15" s="19"/>
      <c r="K15" s="2"/>
      <c r="L15" s="2">
        <f t="shared" si="0"/>
        <v>621.4</v>
      </c>
      <c r="M15" s="2"/>
      <c r="N15" s="19">
        <f t="shared" si="1"/>
        <v>0</v>
      </c>
      <c r="O15" s="11"/>
      <c r="P15" s="2">
        <f>--1120.16</f>
        <v>1120.1600000000001</v>
      </c>
      <c r="Q15" s="2"/>
      <c r="R15" s="19"/>
      <c r="S15" s="2"/>
      <c r="T15" s="2"/>
      <c r="U15" s="2"/>
      <c r="V15" s="19"/>
      <c r="W15" s="2"/>
      <c r="X15" s="2">
        <f t="shared" si="2"/>
        <v>1120.1600000000001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--1197.9</f>
        <v>1197.9000000000001</v>
      </c>
      <c r="E16" s="2"/>
      <c r="F16" s="19"/>
      <c r="G16" s="2"/>
      <c r="H16" s="2"/>
      <c r="I16" s="2"/>
      <c r="J16" s="19"/>
      <c r="K16" s="2"/>
      <c r="L16" s="2">
        <f t="shared" si="0"/>
        <v>1197.9000000000001</v>
      </c>
      <c r="M16" s="2"/>
      <c r="N16" s="19">
        <f t="shared" si="1"/>
        <v>0</v>
      </c>
      <c r="O16" s="11"/>
      <c r="P16" s="2">
        <f>--2718.47</f>
        <v>2718.47</v>
      </c>
      <c r="Q16" s="2"/>
      <c r="R16" s="19"/>
      <c r="S16" s="2"/>
      <c r="T16" s="2"/>
      <c r="U16" s="2"/>
      <c r="V16" s="19"/>
      <c r="W16" s="2"/>
      <c r="X16" s="2">
        <f t="shared" si="2"/>
        <v>2718.47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--820.16</f>
        <v>820.16</v>
      </c>
      <c r="E17" s="2"/>
      <c r="F17" s="19"/>
      <c r="G17" s="2"/>
      <c r="H17" s="2"/>
      <c r="I17" s="2"/>
      <c r="J17" s="19"/>
      <c r="K17" s="2"/>
      <c r="L17" s="2">
        <f t="shared" si="0"/>
        <v>820.16</v>
      </c>
      <c r="M17" s="2"/>
      <c r="N17" s="19">
        <f t="shared" si="1"/>
        <v>0</v>
      </c>
      <c r="O17" s="11"/>
      <c r="P17" s="2">
        <f>--5242.48</f>
        <v>5242.4799999999996</v>
      </c>
      <c r="Q17" s="2"/>
      <c r="R17" s="19"/>
      <c r="S17" s="2"/>
      <c r="T17" s="2"/>
      <c r="U17" s="2"/>
      <c r="V17" s="19"/>
      <c r="W17" s="2"/>
      <c r="X17" s="2">
        <f t="shared" si="2"/>
        <v>5242.4799999999996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--44128.18</f>
        <v>44128.18</v>
      </c>
      <c r="E18" s="2"/>
      <c r="F18" s="19"/>
      <c r="G18" s="2"/>
      <c r="H18" s="2"/>
      <c r="I18" s="2"/>
      <c r="J18" s="19"/>
      <c r="K18" s="2"/>
      <c r="L18" s="2">
        <f t="shared" si="0"/>
        <v>44128.18</v>
      </c>
      <c r="M18" s="2"/>
      <c r="N18" s="19">
        <f t="shared" si="1"/>
        <v>0</v>
      </c>
      <c r="O18" s="11"/>
      <c r="P18" s="2">
        <f>--140725.33</f>
        <v>140725.32999999999</v>
      </c>
      <c r="Q18" s="2"/>
      <c r="R18" s="19"/>
      <c r="S18" s="2"/>
      <c r="T18" s="2"/>
      <c r="U18" s="2"/>
      <c r="V18" s="19"/>
      <c r="W18" s="2"/>
      <c r="X18" s="2">
        <f t="shared" si="2"/>
        <v>140725.32999999999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--100.46</f>
        <v>100.46</v>
      </c>
      <c r="E19" s="2"/>
      <c r="F19" s="19"/>
      <c r="G19" s="2"/>
      <c r="H19" s="2"/>
      <c r="I19" s="2"/>
      <c r="J19" s="19"/>
      <c r="K19" s="2"/>
      <c r="L19" s="2">
        <f t="shared" si="0"/>
        <v>100.46</v>
      </c>
      <c r="M19" s="2"/>
      <c r="N19" s="19">
        <f t="shared" si="1"/>
        <v>0</v>
      </c>
      <c r="O19" s="11"/>
      <c r="P19" s="2">
        <f>--221.28</f>
        <v>221.28</v>
      </c>
      <c r="Q19" s="2"/>
      <c r="R19" s="19"/>
      <c r="S19" s="2"/>
      <c r="T19" s="2"/>
      <c r="U19" s="2"/>
      <c r="V19" s="19"/>
      <c r="W19" s="2"/>
      <c r="X19" s="2">
        <f t="shared" si="2"/>
        <v>221.28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--32.07</f>
        <v>32.07</v>
      </c>
      <c r="E20" s="2"/>
      <c r="F20" s="19"/>
      <c r="G20" s="2"/>
      <c r="H20" s="2"/>
      <c r="I20" s="2"/>
      <c r="J20" s="19"/>
      <c r="K20" s="2"/>
      <c r="L20" s="2">
        <f t="shared" si="0"/>
        <v>32.07</v>
      </c>
      <c r="M20" s="2"/>
      <c r="N20" s="19">
        <f t="shared" si="1"/>
        <v>0</v>
      </c>
      <c r="O20" s="11"/>
      <c r="P20" s="2">
        <f>--53.42</f>
        <v>53.42</v>
      </c>
      <c r="Q20" s="2"/>
      <c r="R20" s="19"/>
      <c r="S20" s="2"/>
      <c r="T20" s="2"/>
      <c r="U20" s="2"/>
      <c r="V20" s="19"/>
      <c r="W20" s="2"/>
      <c r="X20" s="2">
        <f t="shared" si="2"/>
        <v>53.42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--44.43</f>
        <v>44.43</v>
      </c>
      <c r="E21" s="2"/>
      <c r="F21" s="19"/>
      <c r="G21" s="2"/>
      <c r="H21" s="2"/>
      <c r="I21" s="2"/>
      <c r="J21" s="19"/>
      <c r="K21" s="2"/>
      <c r="L21" s="2">
        <f t="shared" si="0"/>
        <v>44.43</v>
      </c>
      <c r="M21" s="2"/>
      <c r="N21" s="19">
        <f t="shared" si="1"/>
        <v>0</v>
      </c>
      <c r="O21" s="11"/>
      <c r="P21" s="2">
        <f>--85.4</f>
        <v>85.4</v>
      </c>
      <c r="Q21" s="2"/>
      <c r="R21" s="19"/>
      <c r="S21" s="2"/>
      <c r="T21" s="2"/>
      <c r="U21" s="2"/>
      <c r="V21" s="19"/>
      <c r="W21" s="2"/>
      <c r="X21" s="2">
        <f t="shared" si="2"/>
        <v>85.4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--1854.69</f>
        <v>1854.69</v>
      </c>
      <c r="E22" s="2"/>
      <c r="F22" s="19"/>
      <c r="G22" s="2"/>
      <c r="H22" s="2"/>
      <c r="I22" s="2"/>
      <c r="J22" s="19"/>
      <c r="K22" s="2"/>
      <c r="L22" s="2">
        <f t="shared" si="0"/>
        <v>1854.69</v>
      </c>
      <c r="M22" s="2"/>
      <c r="N22" s="19">
        <f t="shared" si="1"/>
        <v>0</v>
      </c>
      <c r="O22" s="11"/>
      <c r="P22" s="2">
        <f>--3714.24</f>
        <v>3714.24</v>
      </c>
      <c r="Q22" s="2"/>
      <c r="R22" s="19"/>
      <c r="S22" s="2"/>
      <c r="T22" s="2"/>
      <c r="U22" s="2"/>
      <c r="V22" s="19"/>
      <c r="W22" s="2"/>
      <c r="X22" s="2">
        <f t="shared" si="2"/>
        <v>3714.24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--425.93</f>
        <v>425.93</v>
      </c>
      <c r="E23" s="2"/>
      <c r="F23" s="19"/>
      <c r="G23" s="2"/>
      <c r="H23" s="2"/>
      <c r="I23" s="2"/>
      <c r="J23" s="19"/>
      <c r="K23" s="2"/>
      <c r="L23" s="2">
        <f t="shared" si="0"/>
        <v>425.93</v>
      </c>
      <c r="M23" s="2"/>
      <c r="N23" s="19">
        <f t="shared" si="1"/>
        <v>0</v>
      </c>
      <c r="O23" s="11"/>
      <c r="P23" s="2">
        <f>--848.16</f>
        <v>848.16</v>
      </c>
      <c r="Q23" s="2"/>
      <c r="R23" s="19"/>
      <c r="S23" s="2"/>
      <c r="T23" s="2"/>
      <c r="U23" s="2"/>
      <c r="V23" s="19"/>
      <c r="W23" s="2"/>
      <c r="X23" s="2">
        <f t="shared" si="2"/>
        <v>848.16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--128.42</f>
        <v>128.41999999999999</v>
      </c>
      <c r="E24" s="2"/>
      <c r="F24" s="19"/>
      <c r="G24" s="2"/>
      <c r="H24" s="2"/>
      <c r="I24" s="2"/>
      <c r="J24" s="19"/>
      <c r="K24" s="2"/>
      <c r="L24" s="2">
        <f t="shared" si="0"/>
        <v>128.41999999999999</v>
      </c>
      <c r="M24" s="2"/>
      <c r="N24" s="19">
        <f t="shared" si="1"/>
        <v>0</v>
      </c>
      <c r="O24" s="11"/>
      <c r="P24" s="2">
        <f>--302.57</f>
        <v>302.57</v>
      </c>
      <c r="Q24" s="2"/>
      <c r="R24" s="19"/>
      <c r="S24" s="2"/>
      <c r="T24" s="2"/>
      <c r="U24" s="2"/>
      <c r="V24" s="19"/>
      <c r="W24" s="2"/>
      <c r="X24" s="2">
        <f t="shared" si="2"/>
        <v>302.57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>--873.49</f>
        <v>873.49</v>
      </c>
      <c r="E25" s="2"/>
      <c r="F25" s="19"/>
      <c r="G25" s="2"/>
      <c r="H25" s="2"/>
      <c r="I25" s="2"/>
      <c r="J25" s="19"/>
      <c r="K25" s="2"/>
      <c r="L25" s="2">
        <f t="shared" si="0"/>
        <v>873.49</v>
      </c>
      <c r="M25" s="2"/>
      <c r="N25" s="19">
        <f t="shared" si="1"/>
        <v>0</v>
      </c>
      <c r="O25" s="11"/>
      <c r="P25" s="2">
        <f>--1792.91</f>
        <v>1792.91</v>
      </c>
      <c r="Q25" s="2"/>
      <c r="R25" s="19"/>
      <c r="S25" s="2"/>
      <c r="T25" s="2"/>
      <c r="U25" s="2"/>
      <c r="V25" s="19"/>
      <c r="W25" s="2"/>
      <c r="X25" s="2">
        <f t="shared" si="2"/>
        <v>1792.91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--162</f>
        <v>162</v>
      </c>
      <c r="Q26" s="2"/>
      <c r="R26" s="19"/>
      <c r="S26" s="2"/>
      <c r="T26" s="2"/>
      <c r="U26" s="2"/>
      <c r="V26" s="19"/>
      <c r="W26" s="2"/>
      <c r="X26" s="2">
        <f t="shared" si="2"/>
        <v>162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--129.89</f>
        <v>129.88999999999999</v>
      </c>
      <c r="E27" s="2"/>
      <c r="F27" s="19"/>
      <c r="G27" s="2"/>
      <c r="H27" s="2"/>
      <c r="I27" s="2"/>
      <c r="J27" s="19"/>
      <c r="K27" s="2"/>
      <c r="L27" s="2">
        <f t="shared" si="0"/>
        <v>129.88999999999999</v>
      </c>
      <c r="M27" s="2"/>
      <c r="N27" s="19">
        <f t="shared" si="1"/>
        <v>0</v>
      </c>
      <c r="O27" s="11"/>
      <c r="P27" s="2">
        <f>--429.69</f>
        <v>429.69</v>
      </c>
      <c r="Q27" s="2"/>
      <c r="R27" s="19"/>
      <c r="S27" s="2"/>
      <c r="T27" s="2"/>
      <c r="U27" s="2"/>
      <c r="V27" s="19"/>
      <c r="W27" s="2"/>
      <c r="X27" s="2">
        <f t="shared" si="2"/>
        <v>429.69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--80.97</f>
        <v>80.97</v>
      </c>
      <c r="E28" s="2"/>
      <c r="F28" s="19"/>
      <c r="G28" s="2"/>
      <c r="H28" s="2"/>
      <c r="I28" s="2"/>
      <c r="J28" s="19"/>
      <c r="K28" s="2"/>
      <c r="L28" s="2">
        <f t="shared" si="0"/>
        <v>80.97</v>
      </c>
      <c r="M28" s="2"/>
      <c r="N28" s="19">
        <f t="shared" si="1"/>
        <v>0</v>
      </c>
      <c r="O28" s="11"/>
      <c r="P28" s="2">
        <f>--534.79</f>
        <v>534.79</v>
      </c>
      <c r="Q28" s="2"/>
      <c r="R28" s="19"/>
      <c r="S28" s="2"/>
      <c r="T28" s="2"/>
      <c r="U28" s="2"/>
      <c r="V28" s="19"/>
      <c r="W28" s="2"/>
      <c r="X28" s="2">
        <f t="shared" si="2"/>
        <v>534.79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"4100", " - ", "NON-TAXABLE SALES")</f>
        <v xml:space="preserve">          4100 - NON-TAXABLE SALES</v>
      </c>
      <c r="C29" s="11"/>
      <c r="D29" s="2">
        <f>0</f>
        <v>0</v>
      </c>
      <c r="E29" s="2"/>
      <c r="F29" s="19"/>
      <c r="G29" s="2"/>
      <c r="H29" s="2">
        <v>22912</v>
      </c>
      <c r="I29" s="2"/>
      <c r="J29" s="19"/>
      <c r="K29" s="2"/>
      <c r="L29" s="2">
        <f t="shared" si="0"/>
        <v>-22912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v>45351</v>
      </c>
      <c r="U29" s="2"/>
      <c r="V29" s="19"/>
      <c r="W29" s="2"/>
      <c r="X29" s="2">
        <f t="shared" si="2"/>
        <v>-45351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"4127", " - ", "NON-TAXABLE SALES-SCHOOL SUPPL")</f>
        <v xml:space="preserve">          4127 - NON-TAXABLE SALES-SCHOOL SUPPL</v>
      </c>
      <c r="C30" s="11"/>
      <c r="D30" s="2">
        <f>--1.09</f>
        <v>1.0900000000000001</v>
      </c>
      <c r="E30" s="2"/>
      <c r="F30" s="19"/>
      <c r="G30" s="2"/>
      <c r="H30" s="2"/>
      <c r="I30" s="2"/>
      <c r="J30" s="19"/>
      <c r="K30" s="2"/>
      <c r="L30" s="2">
        <f t="shared" si="0"/>
        <v>1.0900000000000001</v>
      </c>
      <c r="M30" s="2"/>
      <c r="N30" s="19">
        <f t="shared" si="1"/>
        <v>0</v>
      </c>
      <c r="O30" s="11"/>
      <c r="P30" s="2">
        <f>--12.17</f>
        <v>12.17</v>
      </c>
      <c r="Q30" s="2"/>
      <c r="R30" s="19"/>
      <c r="S30" s="2"/>
      <c r="T30" s="2"/>
      <c r="U30" s="2"/>
      <c r="V30" s="19"/>
      <c r="W30" s="2"/>
      <c r="X30" s="2">
        <f t="shared" si="2"/>
        <v>12.17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"4128", " - ", "NON-TAXABLE SALES-ART/TECH")</f>
        <v xml:space="preserve">          4128 - NON-TAXABLE SALES-ART/TECH</v>
      </c>
      <c r="C31" s="11"/>
      <c r="D31" s="2">
        <f>--53.19</f>
        <v>53.19</v>
      </c>
      <c r="E31" s="2"/>
      <c r="F31" s="19"/>
      <c r="G31" s="2"/>
      <c r="H31" s="2"/>
      <c r="I31" s="2"/>
      <c r="J31" s="19"/>
      <c r="K31" s="2"/>
      <c r="L31" s="2">
        <f t="shared" si="0"/>
        <v>53.19</v>
      </c>
      <c r="M31" s="2"/>
      <c r="N31" s="19">
        <f t="shared" si="1"/>
        <v>0</v>
      </c>
      <c r="O31" s="11"/>
      <c r="P31" s="2">
        <f>--95.4</f>
        <v>95.4</v>
      </c>
      <c r="Q31" s="2"/>
      <c r="R31" s="19"/>
      <c r="S31" s="2"/>
      <c r="T31" s="2"/>
      <c r="U31" s="2"/>
      <c r="V31" s="19"/>
      <c r="W31" s="2"/>
      <c r="X31" s="2">
        <f t="shared" si="2"/>
        <v>95.4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"4131", " - ", "NON-TAXABLE SALES-FOOD")</f>
        <v xml:space="preserve">          4131 - NON-TAXABLE SALES-FOOD</v>
      </c>
      <c r="C32" s="11"/>
      <c r="D32" s="2">
        <f>--13258.46</f>
        <v>13258.46</v>
      </c>
      <c r="E32" s="2"/>
      <c r="F32" s="19"/>
      <c r="G32" s="2"/>
      <c r="H32" s="2"/>
      <c r="I32" s="2"/>
      <c r="J32" s="19"/>
      <c r="K32" s="2"/>
      <c r="L32" s="2">
        <f t="shared" si="0"/>
        <v>13258.46</v>
      </c>
      <c r="M32" s="2"/>
      <c r="N32" s="19">
        <f t="shared" si="1"/>
        <v>0</v>
      </c>
      <c r="O32" s="11"/>
      <c r="P32" s="2">
        <f>--26018.75</f>
        <v>26018.75</v>
      </c>
      <c r="Q32" s="2"/>
      <c r="R32" s="19"/>
      <c r="S32" s="2"/>
      <c r="T32" s="2"/>
      <c r="U32" s="2"/>
      <c r="V32" s="19"/>
      <c r="W32" s="2"/>
      <c r="X32" s="2">
        <f t="shared" si="2"/>
        <v>26018.75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"4132", " - ", "NON-TAXABLE SALES-JUICE")</f>
        <v xml:space="preserve">          4132 - NON-TAXABLE SALES-JUICE</v>
      </c>
      <c r="C33" s="11"/>
      <c r="D33" s="2">
        <f>--3958.43</f>
        <v>3958.43</v>
      </c>
      <c r="E33" s="2"/>
      <c r="F33" s="19"/>
      <c r="G33" s="2"/>
      <c r="H33" s="2"/>
      <c r="I33" s="2"/>
      <c r="J33" s="19"/>
      <c r="K33" s="2"/>
      <c r="L33" s="2">
        <f t="shared" si="0"/>
        <v>3958.43</v>
      </c>
      <c r="M33" s="2"/>
      <c r="N33" s="19">
        <f t="shared" si="1"/>
        <v>0</v>
      </c>
      <c r="O33" s="11"/>
      <c r="P33" s="2">
        <f>--7768.8</f>
        <v>7768.8</v>
      </c>
      <c r="Q33" s="2"/>
      <c r="R33" s="19"/>
      <c r="S33" s="2"/>
      <c r="T33" s="2"/>
      <c r="U33" s="2"/>
      <c r="V33" s="19"/>
      <c r="W33" s="2"/>
      <c r="X33" s="2">
        <f t="shared" si="2"/>
        <v>7768.8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"4133", " - ", "NON-TAXABLE SALES-CANDY")</f>
        <v xml:space="preserve">          4133 - NON-TAXABLE SALES-CANDY</v>
      </c>
      <c r="C34" s="11"/>
      <c r="D34" s="2">
        <f>--3528.83</f>
        <v>3528.83</v>
      </c>
      <c r="E34" s="2"/>
      <c r="F34" s="19"/>
      <c r="G34" s="2"/>
      <c r="H34" s="2"/>
      <c r="I34" s="2"/>
      <c r="J34" s="19"/>
      <c r="K34" s="2"/>
      <c r="L34" s="2">
        <f t="shared" si="0"/>
        <v>3528.83</v>
      </c>
      <c r="M34" s="2"/>
      <c r="N34" s="19">
        <f t="shared" si="1"/>
        <v>0</v>
      </c>
      <c r="O34" s="11"/>
      <c r="P34" s="2">
        <f>--7321.46</f>
        <v>7321.46</v>
      </c>
      <c r="Q34" s="2"/>
      <c r="R34" s="19"/>
      <c r="S34" s="2"/>
      <c r="T34" s="2"/>
      <c r="U34" s="2"/>
      <c r="V34" s="19"/>
      <c r="W34" s="2"/>
      <c r="X34" s="2">
        <f t="shared" si="2"/>
        <v>7321.46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"4135", " - ", "NON-TAXABLE SALES")</f>
        <v xml:space="preserve">          4135 - NON-TAXABLE SALES</v>
      </c>
      <c r="C35" s="11"/>
      <c r="D35" s="2">
        <f>--17.9</f>
        <v>17.899999999999999</v>
      </c>
      <c r="E35" s="2"/>
      <c r="F35" s="19"/>
      <c r="G35" s="2"/>
      <c r="H35" s="2"/>
      <c r="I35" s="2"/>
      <c r="J35" s="19"/>
      <c r="K35" s="2"/>
      <c r="L35" s="2">
        <f t="shared" si="0"/>
        <v>17.899999999999999</v>
      </c>
      <c r="M35" s="2"/>
      <c r="N35" s="19">
        <f t="shared" si="1"/>
        <v>0</v>
      </c>
      <c r="O35" s="11"/>
      <c r="P35" s="2">
        <f>--53.8</f>
        <v>53.8</v>
      </c>
      <c r="Q35" s="2"/>
      <c r="R35" s="19"/>
      <c r="S35" s="2"/>
      <c r="T35" s="2"/>
      <c r="U35" s="2"/>
      <c r="V35" s="19"/>
      <c r="W35" s="2"/>
      <c r="X35" s="2">
        <f t="shared" si="2"/>
        <v>53.8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"4137", " - ", "NON-TAXABLE SALES-WATER")</f>
        <v xml:space="preserve">          4137 - NON-TAXABLE SALES-WATER</v>
      </c>
      <c r="C36" s="11"/>
      <c r="D36" s="2">
        <f>--2012.43</f>
        <v>2012.43</v>
      </c>
      <c r="E36" s="2"/>
      <c r="F36" s="19"/>
      <c r="G36" s="2"/>
      <c r="H36" s="2"/>
      <c r="I36" s="2"/>
      <c r="J36" s="19"/>
      <c r="K36" s="2"/>
      <c r="L36" s="2">
        <f t="shared" si="0"/>
        <v>2012.43</v>
      </c>
      <c r="M36" s="2"/>
      <c r="N36" s="19">
        <f t="shared" si="1"/>
        <v>0</v>
      </c>
      <c r="O36" s="11"/>
      <c r="P36" s="2">
        <f>--4179.8</f>
        <v>4179.8</v>
      </c>
      <c r="Q36" s="2"/>
      <c r="R36" s="19"/>
      <c r="S36" s="2"/>
      <c r="T36" s="2"/>
      <c r="U36" s="2"/>
      <c r="V36" s="19"/>
      <c r="W36" s="2"/>
      <c r="X36" s="2">
        <f t="shared" si="2"/>
        <v>4179.8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>--4.01</f>
        <v>4.01</v>
      </c>
      <c r="E37" s="2"/>
      <c r="F37" s="19"/>
      <c r="G37" s="2"/>
      <c r="H37" s="2"/>
      <c r="I37" s="2"/>
      <c r="J37" s="19"/>
      <c r="K37" s="2"/>
      <c r="L37" s="2">
        <f t="shared" si="0"/>
        <v>4.01</v>
      </c>
      <c r="M37" s="2"/>
      <c r="N37" s="19">
        <f t="shared" si="1"/>
        <v>0</v>
      </c>
      <c r="O37" s="11"/>
      <c r="P37" s="2">
        <f>-30.97</f>
        <v>-30.97</v>
      </c>
      <c r="Q37" s="2"/>
      <c r="R37" s="19"/>
      <c r="S37" s="2"/>
      <c r="T37" s="2"/>
      <c r="U37" s="2"/>
      <c r="V37" s="19"/>
      <c r="W37" s="2"/>
      <c r="X37" s="2">
        <f t="shared" si="2"/>
        <v>-30.97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"4225", " - ", "SALES RETURN TAXABLE-TEST FORM")</f>
        <v xml:space="preserve">          4225 - SALES RETURN TAXABLE-TEST FORM</v>
      </c>
      <c r="C38" s="11"/>
      <c r="D38" s="2">
        <f>-0.49</f>
        <v>-0.49</v>
      </c>
      <c r="E38" s="2"/>
      <c r="F38" s="19"/>
      <c r="G38" s="2"/>
      <c r="H38" s="2"/>
      <c r="I38" s="2"/>
      <c r="J38" s="19"/>
      <c r="K38" s="2"/>
      <c r="L38" s="2">
        <f t="shared" si="0"/>
        <v>-0.49</v>
      </c>
      <c r="M38" s="2"/>
      <c r="N38" s="19">
        <f t="shared" si="1"/>
        <v>0</v>
      </c>
      <c r="O38" s="11"/>
      <c r="P38" s="2">
        <f>-0.49</f>
        <v>-0.49</v>
      </c>
      <c r="Q38" s="2"/>
      <c r="R38" s="19"/>
      <c r="S38" s="2"/>
      <c r="T38" s="2"/>
      <c r="U38" s="2"/>
      <c r="V38" s="19"/>
      <c r="W38" s="2"/>
      <c r="X38" s="2">
        <f t="shared" si="2"/>
        <v>-0.49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 t="shared" ref="D39:D40" si="5"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-2.99</f>
        <v>-2.99</v>
      </c>
      <c r="Q39" s="2"/>
      <c r="R39" s="19"/>
      <c r="S39" s="2"/>
      <c r="T39" s="2"/>
      <c r="U39" s="2"/>
      <c r="V39" s="19"/>
      <c r="W39" s="2"/>
      <c r="X39" s="2">
        <f t="shared" si="2"/>
        <v>-2.99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 t="shared" si="5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-22.22</f>
        <v>-22.22</v>
      </c>
      <c r="Q40" s="2"/>
      <c r="R40" s="19"/>
      <c r="S40" s="2"/>
      <c r="T40" s="2"/>
      <c r="U40" s="2"/>
      <c r="V40" s="19"/>
      <c r="W40" s="2"/>
      <c r="X40" s="2">
        <f t="shared" si="2"/>
        <v>-22.22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-498.26</f>
        <v>-498.26</v>
      </c>
      <c r="E41" s="2"/>
      <c r="F41" s="19"/>
      <c r="G41" s="2"/>
      <c r="H41" s="2"/>
      <c r="I41" s="2"/>
      <c r="J41" s="19"/>
      <c r="K41" s="2"/>
      <c r="L41" s="2">
        <f t="shared" si="0"/>
        <v>-498.26</v>
      </c>
      <c r="M41" s="2"/>
      <c r="N41" s="19">
        <f t="shared" si="1"/>
        <v>0</v>
      </c>
      <c r="O41" s="11"/>
      <c r="P41" s="2">
        <f>-2203.29</f>
        <v>-2203.29</v>
      </c>
      <c r="Q41" s="2"/>
      <c r="R41" s="19"/>
      <c r="S41" s="2"/>
      <c r="T41" s="2"/>
      <c r="U41" s="2"/>
      <c r="V41" s="19"/>
      <c r="W41" s="2"/>
      <c r="X41" s="2">
        <f t="shared" si="2"/>
        <v>-2203.29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"4281", " - ", "SALES RETURN TAXABLE-ELECTRONI")</f>
        <v xml:space="preserve">          4281 - SALES RETURN TAXABLE-ELECTRONI</v>
      </c>
      <c r="C42" s="11"/>
      <c r="D42" s="2">
        <f>-19.99</f>
        <v>-19.989999999999998</v>
      </c>
      <c r="E42" s="2"/>
      <c r="F42" s="19"/>
      <c r="G42" s="2"/>
      <c r="H42" s="2"/>
      <c r="I42" s="2"/>
      <c r="J42" s="19"/>
      <c r="K42" s="2"/>
      <c r="L42" s="2">
        <f t="shared" si="0"/>
        <v>-19.989999999999998</v>
      </c>
      <c r="M42" s="2"/>
      <c r="N42" s="19">
        <f t="shared" si="1"/>
        <v>0</v>
      </c>
      <c r="O42" s="11"/>
      <c r="P42" s="2">
        <f>-44.98</f>
        <v>-44.98</v>
      </c>
      <c r="Q42" s="2"/>
      <c r="R42" s="19"/>
      <c r="S42" s="2"/>
      <c r="T42" s="2"/>
      <c r="U42" s="2"/>
      <c r="V42" s="19"/>
      <c r="W42" s="2"/>
      <c r="X42" s="2">
        <f t="shared" si="2"/>
        <v>-44.98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9" t="s">
        <v>8</v>
      </c>
      <c r="C44" s="10"/>
      <c r="D44" s="4">
        <f>SUM(OSRRefD16x_0)</f>
        <v>37850.569999999985</v>
      </c>
      <c r="E44" s="4"/>
      <c r="F44" s="12">
        <f t="shared" ref="F44:F64" si="6">IF(D$12=0,0,D44/D$12)</f>
        <v>0.52025707597384541</v>
      </c>
      <c r="G44" s="4"/>
      <c r="H44" s="4">
        <f>SUM(OSRRefH16x_0)</f>
        <v>36182</v>
      </c>
      <c r="I44" s="4"/>
      <c r="J44" s="12">
        <f t="shared" ref="J44:J64" si="7">IF(H$12=0,0,H44/H$12)</f>
        <v>0.44193375024428377</v>
      </c>
      <c r="K44" s="4"/>
      <c r="L44" s="4">
        <f t="shared" ref="L44:L64" si="8">+D44-H44</f>
        <v>1668.5699999999852</v>
      </c>
      <c r="M44" s="4"/>
      <c r="N44" s="12">
        <f t="shared" ref="N44:N64" si="9">IF(H44=0,0,L44/H44)</f>
        <v>4.6116024542589826E-2</v>
      </c>
      <c r="O44" s="10"/>
      <c r="P44" s="4">
        <f>SUM(OSRRefP16x_0)</f>
        <v>105174.71</v>
      </c>
      <c r="Q44" s="4"/>
      <c r="R44" s="12">
        <f t="shared" ref="R44:R64" si="10">IF(P$12=0,0,P44/P$12)</f>
        <v>0.5229642735977621</v>
      </c>
      <c r="S44" s="4"/>
      <c r="T44" s="4">
        <f>SUM(OSRRefT16x_0)</f>
        <v>92778</v>
      </c>
      <c r="U44" s="4"/>
      <c r="V44" s="12">
        <f t="shared" ref="V44:V64" si="11">IF(T$12=0,0,T44/T$12)</f>
        <v>0.43514844519487828</v>
      </c>
      <c r="W44" s="4"/>
      <c r="X44" s="4">
        <f t="shared" ref="X44:X64" si="12">+P44-T44</f>
        <v>12396.710000000006</v>
      </c>
      <c r="Y44" s="4"/>
      <c r="Z44" s="12">
        <f t="shared" ref="Z44:Z64" si="13">IF(T44=0,0,X44/T44)</f>
        <v>0.13361691349242283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6"/>
        <v>0</v>
      </c>
      <c r="G45" s="2"/>
      <c r="H45" s="2">
        <v>36182</v>
      </c>
      <c r="I45" s="2"/>
      <c r="J45" s="19">
        <f t="shared" si="7"/>
        <v>0.44193375024428377</v>
      </c>
      <c r="K45" s="2"/>
      <c r="L45" s="2">
        <f t="shared" si="8"/>
        <v>-36182</v>
      </c>
      <c r="M45" s="2"/>
      <c r="N45" s="19">
        <f t="shared" si="9"/>
        <v>-1</v>
      </c>
      <c r="O45" s="11"/>
      <c r="P45" s="2"/>
      <c r="Q45" s="2"/>
      <c r="R45" s="19">
        <f t="shared" si="10"/>
        <v>0</v>
      </c>
      <c r="S45" s="2"/>
      <c r="T45" s="2">
        <v>92778</v>
      </c>
      <c r="U45" s="2"/>
      <c r="V45" s="19">
        <f t="shared" si="11"/>
        <v>0.43514844519487828</v>
      </c>
      <c r="W45" s="2"/>
      <c r="X45" s="2">
        <f t="shared" si="12"/>
        <v>-92778</v>
      </c>
      <c r="Y45" s="2"/>
      <c r="Z45" s="19">
        <f t="shared" si="13"/>
        <v>-1</v>
      </c>
    </row>
    <row r="46" spans="1:26" s="24" customFormat="1" hidden="1" outlineLevel="1" x14ac:dyDescent="0.25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>
        <v>14.46</v>
      </c>
      <c r="E46" s="2"/>
      <c r="F46" s="19">
        <f t="shared" si="6"/>
        <v>1.9875307871405394E-4</v>
      </c>
      <c r="G46" s="2"/>
      <c r="H46" s="2"/>
      <c r="I46" s="2"/>
      <c r="J46" s="19">
        <f t="shared" si="7"/>
        <v>0</v>
      </c>
      <c r="K46" s="2"/>
      <c r="L46" s="2">
        <f t="shared" si="8"/>
        <v>14.46</v>
      </c>
      <c r="M46" s="2"/>
      <c r="N46" s="19">
        <f t="shared" si="9"/>
        <v>0</v>
      </c>
      <c r="O46" s="11"/>
      <c r="P46" s="2">
        <v>14.46</v>
      </c>
      <c r="Q46" s="2"/>
      <c r="R46" s="19">
        <f t="shared" si="10"/>
        <v>7.1900016612583392E-5</v>
      </c>
      <c r="S46" s="2"/>
      <c r="T46" s="2"/>
      <c r="U46" s="2"/>
      <c r="V46" s="19">
        <f t="shared" si="11"/>
        <v>0</v>
      </c>
      <c r="W46" s="2"/>
      <c r="X46" s="2">
        <f t="shared" si="12"/>
        <v>14.46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"5025", " - ", "PURCHASES @ COST-TEST FORMS")</f>
        <v xml:space="preserve">          5025 - PURCHASES @ COST-TEST FORMS</v>
      </c>
      <c r="C47" s="11"/>
      <c r="D47" s="2">
        <v>294.16000000000003</v>
      </c>
      <c r="E47" s="2"/>
      <c r="F47" s="19">
        <f t="shared" si="6"/>
        <v>4.0432369041857614E-3</v>
      </c>
      <c r="G47" s="2"/>
      <c r="H47" s="2"/>
      <c r="I47" s="2"/>
      <c r="J47" s="19">
        <f t="shared" si="7"/>
        <v>0</v>
      </c>
      <c r="K47" s="2"/>
      <c r="L47" s="2">
        <f t="shared" si="8"/>
        <v>294.16000000000003</v>
      </c>
      <c r="M47" s="2"/>
      <c r="N47" s="19">
        <f t="shared" si="9"/>
        <v>0</v>
      </c>
      <c r="O47" s="11"/>
      <c r="P47" s="2">
        <v>438.38</v>
      </c>
      <c r="Q47" s="2"/>
      <c r="R47" s="19">
        <f t="shared" si="10"/>
        <v>2.1797738093101179E-3</v>
      </c>
      <c r="S47" s="2"/>
      <c r="T47" s="2"/>
      <c r="U47" s="2"/>
      <c r="V47" s="19">
        <f t="shared" si="11"/>
        <v>0</v>
      </c>
      <c r="W47" s="2"/>
      <c r="X47" s="2">
        <f t="shared" si="12"/>
        <v>438.38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"5026", " - ", "PURCHASES @ COST-WRITING INSTR")</f>
        <v xml:space="preserve">          5026 - PURCHASES @ COST-WRITING INSTR</v>
      </c>
      <c r="C48" s="11"/>
      <c r="D48" s="2">
        <v>1291.24</v>
      </c>
      <c r="E48" s="2"/>
      <c r="F48" s="19">
        <f t="shared" si="6"/>
        <v>1.7748127618169778E-2</v>
      </c>
      <c r="G48" s="2"/>
      <c r="H48" s="2"/>
      <c r="I48" s="2"/>
      <c r="J48" s="19">
        <f t="shared" si="7"/>
        <v>0</v>
      </c>
      <c r="K48" s="2"/>
      <c r="L48" s="2">
        <f t="shared" si="8"/>
        <v>1291.24</v>
      </c>
      <c r="M48" s="2"/>
      <c r="N48" s="19">
        <f t="shared" si="9"/>
        <v>0</v>
      </c>
      <c r="O48" s="11"/>
      <c r="P48" s="2">
        <v>1853.84</v>
      </c>
      <c r="Q48" s="2"/>
      <c r="R48" s="19">
        <f t="shared" si="10"/>
        <v>9.2179202487601367E-3</v>
      </c>
      <c r="S48" s="2"/>
      <c r="T48" s="2"/>
      <c r="U48" s="2"/>
      <c r="V48" s="19">
        <f t="shared" si="11"/>
        <v>0</v>
      </c>
      <c r="W48" s="2"/>
      <c r="X48" s="2">
        <f t="shared" si="12"/>
        <v>1853.84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"5027", " - ", "PURCHASES @ COST-SCHOOL SUPPLI")</f>
        <v xml:space="preserve">          5027 - PURCHASES @ COST-SCHOOL SUPPLI</v>
      </c>
      <c r="C49" s="11"/>
      <c r="D49" s="2">
        <v>999.17</v>
      </c>
      <c r="E49" s="2"/>
      <c r="F49" s="19">
        <f t="shared" si="6"/>
        <v>1.3733617818722078E-2</v>
      </c>
      <c r="G49" s="2"/>
      <c r="H49" s="2"/>
      <c r="I49" s="2"/>
      <c r="J49" s="19">
        <f t="shared" si="7"/>
        <v>0</v>
      </c>
      <c r="K49" s="2"/>
      <c r="L49" s="2">
        <f t="shared" si="8"/>
        <v>999.17</v>
      </c>
      <c r="M49" s="2"/>
      <c r="N49" s="19">
        <f t="shared" si="9"/>
        <v>0</v>
      </c>
      <c r="O49" s="11"/>
      <c r="P49" s="2">
        <v>1762.36</v>
      </c>
      <c r="Q49" s="2"/>
      <c r="R49" s="19">
        <f t="shared" si="10"/>
        <v>8.7630507107435991E-3</v>
      </c>
      <c r="S49" s="2"/>
      <c r="T49" s="2"/>
      <c r="U49" s="2"/>
      <c r="V49" s="19">
        <f t="shared" si="11"/>
        <v>0</v>
      </c>
      <c r="W49" s="2"/>
      <c r="X49" s="2">
        <f t="shared" si="12"/>
        <v>1762.36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"5028", " - ", "PURCHASES @ COST-ART/TECH")</f>
        <v xml:space="preserve">          5028 - PURCHASES @ COST-ART/TECH</v>
      </c>
      <c r="C50" s="11"/>
      <c r="D50" s="2">
        <v>19299.78</v>
      </c>
      <c r="E50" s="2"/>
      <c r="F50" s="19">
        <f t="shared" si="6"/>
        <v>0.26527598157011917</v>
      </c>
      <c r="G50" s="2"/>
      <c r="H50" s="2"/>
      <c r="I50" s="2"/>
      <c r="J50" s="19">
        <f t="shared" si="7"/>
        <v>0</v>
      </c>
      <c r="K50" s="2"/>
      <c r="L50" s="2">
        <f t="shared" si="8"/>
        <v>19299.78</v>
      </c>
      <c r="M50" s="2"/>
      <c r="N50" s="19">
        <f t="shared" si="9"/>
        <v>0</v>
      </c>
      <c r="O50" s="11"/>
      <c r="P50" s="2">
        <v>87065.73000000001</v>
      </c>
      <c r="Q50" s="2"/>
      <c r="R50" s="19">
        <f t="shared" si="10"/>
        <v>0.43292029276533195</v>
      </c>
      <c r="S50" s="2"/>
      <c r="T50" s="2"/>
      <c r="U50" s="2"/>
      <c r="V50" s="19">
        <f t="shared" si="11"/>
        <v>0</v>
      </c>
      <c r="W50" s="2"/>
      <c r="X50" s="2">
        <f t="shared" si="12"/>
        <v>87065.73000000001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"5031", " - ", "PURCHASES @ COST-FOOD")</f>
        <v xml:space="preserve">          5031 - PURCHASES @ COST-FOOD</v>
      </c>
      <c r="C51" s="11"/>
      <c r="D51" s="2">
        <v>7820.85</v>
      </c>
      <c r="E51" s="2"/>
      <c r="F51" s="19">
        <f t="shared" si="6"/>
        <v>0.10749778808166036</v>
      </c>
      <c r="G51" s="2"/>
      <c r="H51" s="2"/>
      <c r="I51" s="2"/>
      <c r="J51" s="19">
        <f t="shared" si="7"/>
        <v>0</v>
      </c>
      <c r="K51" s="2"/>
      <c r="L51" s="2">
        <f t="shared" si="8"/>
        <v>7820.85</v>
      </c>
      <c r="M51" s="2"/>
      <c r="N51" s="19">
        <f t="shared" si="9"/>
        <v>0</v>
      </c>
      <c r="O51" s="11"/>
      <c r="P51" s="2">
        <v>15821.79</v>
      </c>
      <c r="Q51" s="2"/>
      <c r="R51" s="19">
        <f t="shared" si="10"/>
        <v>7.8671297637676746E-2</v>
      </c>
      <c r="S51" s="2"/>
      <c r="T51" s="2"/>
      <c r="U51" s="2"/>
      <c r="V51" s="19">
        <f t="shared" si="11"/>
        <v>0</v>
      </c>
      <c r="W51" s="2"/>
      <c r="X51" s="2">
        <f t="shared" si="12"/>
        <v>15821.79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"5032", " - ", "PURCHASES @ COST-JUICE")</f>
        <v xml:space="preserve">          5032 - PURCHASES @ COST-JUICE</v>
      </c>
      <c r="C52" s="11"/>
      <c r="D52" s="2">
        <v>2565.13</v>
      </c>
      <c r="E52" s="2"/>
      <c r="F52" s="19">
        <f t="shared" si="6"/>
        <v>3.5257779031935076E-2</v>
      </c>
      <c r="G52" s="2"/>
      <c r="H52" s="2"/>
      <c r="I52" s="2"/>
      <c r="J52" s="19">
        <f t="shared" si="7"/>
        <v>0</v>
      </c>
      <c r="K52" s="2"/>
      <c r="L52" s="2">
        <f t="shared" si="8"/>
        <v>2565.13</v>
      </c>
      <c r="M52" s="2"/>
      <c r="N52" s="19">
        <f t="shared" si="9"/>
        <v>0</v>
      </c>
      <c r="O52" s="11"/>
      <c r="P52" s="2">
        <v>3384.28</v>
      </c>
      <c r="Q52" s="2"/>
      <c r="R52" s="19">
        <f t="shared" si="10"/>
        <v>1.6827786184068719E-2</v>
      </c>
      <c r="S52" s="2"/>
      <c r="T52" s="2"/>
      <c r="U52" s="2"/>
      <c r="V52" s="19">
        <f t="shared" si="11"/>
        <v>0</v>
      </c>
      <c r="W52" s="2"/>
      <c r="X52" s="2">
        <f t="shared" si="12"/>
        <v>3384.28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"5033", " - ", "PURCHASES @ COST-CANDY")</f>
        <v xml:space="preserve">          5033 - PURCHASES @ COST-CANDY</v>
      </c>
      <c r="C53" s="11"/>
      <c r="D53" s="2">
        <v>2029.05</v>
      </c>
      <c r="E53" s="2"/>
      <c r="F53" s="19">
        <f t="shared" si="6"/>
        <v>2.7889345391753188E-2</v>
      </c>
      <c r="G53" s="2"/>
      <c r="H53" s="2"/>
      <c r="I53" s="2"/>
      <c r="J53" s="19">
        <f t="shared" si="7"/>
        <v>0</v>
      </c>
      <c r="K53" s="2"/>
      <c r="L53" s="2">
        <f t="shared" si="8"/>
        <v>2029.05</v>
      </c>
      <c r="M53" s="2"/>
      <c r="N53" s="19">
        <f t="shared" si="9"/>
        <v>0</v>
      </c>
      <c r="O53" s="11"/>
      <c r="P53" s="2">
        <v>4301.21</v>
      </c>
      <c r="Q53" s="2"/>
      <c r="R53" s="19">
        <f t="shared" si="10"/>
        <v>2.138707264551935E-2</v>
      </c>
      <c r="S53" s="2"/>
      <c r="T53" s="2"/>
      <c r="U53" s="2"/>
      <c r="V53" s="19">
        <f t="shared" si="11"/>
        <v>0</v>
      </c>
      <c r="W53" s="2"/>
      <c r="X53" s="2">
        <f t="shared" si="12"/>
        <v>4301.21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"5034", " - ", "PURCHASES @ COST-SODA")</f>
        <v xml:space="preserve">          5034 - PURCHASES @ COST-SODA</v>
      </c>
      <c r="C54" s="11"/>
      <c r="D54" s="2">
        <v>876</v>
      </c>
      <c r="E54" s="2"/>
      <c r="F54" s="19">
        <f t="shared" si="6"/>
        <v>1.2040642942843101E-2</v>
      </c>
      <c r="G54" s="2"/>
      <c r="H54" s="2"/>
      <c r="I54" s="2"/>
      <c r="J54" s="19">
        <f t="shared" si="7"/>
        <v>0</v>
      </c>
      <c r="K54" s="2"/>
      <c r="L54" s="2">
        <f t="shared" si="8"/>
        <v>876</v>
      </c>
      <c r="M54" s="2"/>
      <c r="N54" s="19">
        <f t="shared" si="9"/>
        <v>0</v>
      </c>
      <c r="O54" s="11"/>
      <c r="P54" s="2">
        <v>1494.54</v>
      </c>
      <c r="Q54" s="2"/>
      <c r="R54" s="19">
        <f t="shared" si="10"/>
        <v>7.4313589784350187E-3</v>
      </c>
      <c r="S54" s="2"/>
      <c r="T54" s="2"/>
      <c r="U54" s="2"/>
      <c r="V54" s="19">
        <f t="shared" si="11"/>
        <v>0</v>
      </c>
      <c r="W54" s="2"/>
      <c r="X54" s="2">
        <f t="shared" si="12"/>
        <v>1494.54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"5035", " - ", "PURCHASES @ COST-HEALTH &amp; BEAU")</f>
        <v xml:space="preserve">          5035 - PURCHASES @ COST-HEALTH &amp; BEAU</v>
      </c>
      <c r="C55" s="11"/>
      <c r="D55" s="2">
        <v>291.13</v>
      </c>
      <c r="E55" s="2"/>
      <c r="F55" s="19">
        <f t="shared" si="6"/>
        <v>4.0015894748286667E-3</v>
      </c>
      <c r="G55" s="2"/>
      <c r="H55" s="2"/>
      <c r="I55" s="2"/>
      <c r="J55" s="19">
        <f t="shared" si="7"/>
        <v>0</v>
      </c>
      <c r="K55" s="2"/>
      <c r="L55" s="2">
        <f t="shared" si="8"/>
        <v>291.13</v>
      </c>
      <c r="M55" s="2"/>
      <c r="N55" s="19">
        <f t="shared" si="9"/>
        <v>0</v>
      </c>
      <c r="O55" s="11"/>
      <c r="P55" s="2">
        <v>544.20000000000005</v>
      </c>
      <c r="Q55" s="2"/>
      <c r="R55" s="19">
        <f t="shared" si="10"/>
        <v>2.7059466833034497E-3</v>
      </c>
      <c r="S55" s="2"/>
      <c r="T55" s="2"/>
      <c r="U55" s="2"/>
      <c r="V55" s="19">
        <f t="shared" si="11"/>
        <v>0</v>
      </c>
      <c r="W55" s="2"/>
      <c r="X55" s="2">
        <f t="shared" si="12"/>
        <v>544.20000000000005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"5037", " - ", "PURCHASES @ COST-WATER")</f>
        <v xml:space="preserve">          5037 - PURCHASES @ COST-WATER</v>
      </c>
      <c r="C56" s="11"/>
      <c r="D56" s="2">
        <v>1463.27</v>
      </c>
      <c r="E56" s="2"/>
      <c r="F56" s="19">
        <f t="shared" si="6"/>
        <v>2.0112684473714639E-2</v>
      </c>
      <c r="G56" s="2"/>
      <c r="H56" s="2"/>
      <c r="I56" s="2"/>
      <c r="J56" s="19">
        <f t="shared" si="7"/>
        <v>0</v>
      </c>
      <c r="K56" s="2"/>
      <c r="L56" s="2">
        <f t="shared" si="8"/>
        <v>1463.27</v>
      </c>
      <c r="M56" s="2"/>
      <c r="N56" s="19">
        <f t="shared" si="9"/>
        <v>0</v>
      </c>
      <c r="O56" s="11"/>
      <c r="P56" s="2">
        <v>2826.09</v>
      </c>
      <c r="Q56" s="2"/>
      <c r="R56" s="19">
        <f t="shared" si="10"/>
        <v>1.4052276483309529E-2</v>
      </c>
      <c r="S56" s="2"/>
      <c r="T56" s="2"/>
      <c r="U56" s="2"/>
      <c r="V56" s="19">
        <f t="shared" si="11"/>
        <v>0</v>
      </c>
      <c r="W56" s="2"/>
      <c r="X56" s="2">
        <f t="shared" si="12"/>
        <v>2826.09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"5081", " - ", "PURCHASES @ COST-ELECTRONICS")</f>
        <v xml:space="preserve">          5081 - PURCHASES @ COST-ELECTRONICS</v>
      </c>
      <c r="C57" s="11"/>
      <c r="D57" s="2">
        <v>490.99</v>
      </c>
      <c r="E57" s="2"/>
      <c r="F57" s="19">
        <f t="shared" si="6"/>
        <v>6.7486704092540343E-3</v>
      </c>
      <c r="G57" s="2"/>
      <c r="H57" s="2"/>
      <c r="I57" s="2"/>
      <c r="J57" s="19">
        <f t="shared" si="7"/>
        <v>0</v>
      </c>
      <c r="K57" s="2"/>
      <c r="L57" s="2">
        <f t="shared" si="8"/>
        <v>490.99</v>
      </c>
      <c r="M57" s="2"/>
      <c r="N57" s="19">
        <f t="shared" si="9"/>
        <v>0</v>
      </c>
      <c r="O57" s="11"/>
      <c r="P57" s="2">
        <v>963.07</v>
      </c>
      <c r="Q57" s="2"/>
      <c r="R57" s="19">
        <f t="shared" si="10"/>
        <v>4.7887101659115274E-3</v>
      </c>
      <c r="S57" s="2"/>
      <c r="T57" s="2"/>
      <c r="U57" s="2"/>
      <c r="V57" s="19">
        <f t="shared" si="11"/>
        <v>0</v>
      </c>
      <c r="W57" s="2"/>
      <c r="X57" s="2">
        <f t="shared" si="12"/>
        <v>963.07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"5082", " - ", "PURCHASES @ COST-COMPUTER HARD")</f>
        <v xml:space="preserve">          5082 - PURCHASES @ COST-COMPUTER HARD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149.6</v>
      </c>
      <c r="Q58" s="2"/>
      <c r="R58" s="19">
        <f t="shared" si="10"/>
        <v>7.4386185928371185E-4</v>
      </c>
      <c r="S58" s="2"/>
      <c r="T58" s="2"/>
      <c r="U58" s="2"/>
      <c r="V58" s="19">
        <f t="shared" si="11"/>
        <v>0</v>
      </c>
      <c r="W58" s="2"/>
      <c r="X58" s="2">
        <f t="shared" si="12"/>
        <v>149.6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>
        <v>76.150000000000006</v>
      </c>
      <c r="E59" s="2"/>
      <c r="F59" s="19">
        <f t="shared" si="6"/>
        <v>1.0466837444035413E-3</v>
      </c>
      <c r="G59" s="2"/>
      <c r="H59" s="2"/>
      <c r="I59" s="2"/>
      <c r="J59" s="19">
        <f t="shared" si="7"/>
        <v>0</v>
      </c>
      <c r="K59" s="2"/>
      <c r="L59" s="2">
        <f t="shared" si="8"/>
        <v>76.150000000000006</v>
      </c>
      <c r="M59" s="2"/>
      <c r="N59" s="19">
        <f t="shared" si="9"/>
        <v>0</v>
      </c>
      <c r="O59" s="11"/>
      <c r="P59" s="2">
        <v>192.2</v>
      </c>
      <c r="Q59" s="2"/>
      <c r="R59" s="19">
        <f t="shared" si="10"/>
        <v>9.5568348498883298E-4</v>
      </c>
      <c r="S59" s="2"/>
      <c r="T59" s="2"/>
      <c r="U59" s="2"/>
      <c r="V59" s="19">
        <f t="shared" si="11"/>
        <v>0</v>
      </c>
      <c r="W59" s="2"/>
      <c r="X59" s="2">
        <f t="shared" si="12"/>
        <v>192.2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"5086", " - ", "PURCHASES @ COST-COMPUTER SUPP")</f>
        <v xml:space="preserve">          5086 - PURCHASES @ COST-COMPUTER SUPP</v>
      </c>
      <c r="C60" s="11"/>
      <c r="D60" s="2">
        <v>54</v>
      </c>
      <c r="E60" s="2"/>
      <c r="F60" s="19">
        <f t="shared" si="6"/>
        <v>7.4223141428484871E-4</v>
      </c>
      <c r="G60" s="2"/>
      <c r="H60" s="2"/>
      <c r="I60" s="2"/>
      <c r="J60" s="19">
        <f t="shared" si="7"/>
        <v>0</v>
      </c>
      <c r="K60" s="2"/>
      <c r="L60" s="2">
        <f t="shared" si="8"/>
        <v>54</v>
      </c>
      <c r="M60" s="2"/>
      <c r="N60" s="19">
        <f t="shared" si="9"/>
        <v>0</v>
      </c>
      <c r="O60" s="11"/>
      <c r="P60" s="2">
        <v>141</v>
      </c>
      <c r="Q60" s="2"/>
      <c r="R60" s="19">
        <f t="shared" si="10"/>
        <v>7.0109974705216162E-4</v>
      </c>
      <c r="S60" s="2"/>
      <c r="T60" s="2"/>
      <c r="U60" s="2"/>
      <c r="V60" s="19">
        <f t="shared" si="11"/>
        <v>0</v>
      </c>
      <c r="W60" s="2"/>
      <c r="X60" s="2">
        <f t="shared" si="12"/>
        <v>141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"5200", " - ", "PURCHASES OFFSET")</f>
        <v xml:space="preserve">          5200 - PURCHASES OFFSET</v>
      </c>
      <c r="C61" s="11"/>
      <c r="D61" s="2">
        <v>-37764</v>
      </c>
      <c r="E61" s="2"/>
      <c r="F61" s="19">
        <f t="shared" si="6"/>
        <v>-0.51906716905653749</v>
      </c>
      <c r="G61" s="2"/>
      <c r="H61" s="2"/>
      <c r="I61" s="2"/>
      <c r="J61" s="19">
        <f t="shared" si="7"/>
        <v>0</v>
      </c>
      <c r="K61" s="2"/>
      <c r="L61" s="2">
        <f t="shared" si="8"/>
        <v>-37764</v>
      </c>
      <c r="M61" s="2"/>
      <c r="N61" s="19">
        <f t="shared" si="9"/>
        <v>0</v>
      </c>
      <c r="O61" s="11"/>
      <c r="P61" s="2">
        <v>-121741</v>
      </c>
      <c r="Q61" s="2"/>
      <c r="R61" s="19">
        <f t="shared" si="10"/>
        <v>-0.60533747734664689</v>
      </c>
      <c r="S61" s="2"/>
      <c r="T61" s="2"/>
      <c r="U61" s="2"/>
      <c r="V61" s="19">
        <f t="shared" si="11"/>
        <v>0</v>
      </c>
      <c r="W61" s="2"/>
      <c r="X61" s="2">
        <f t="shared" si="12"/>
        <v>-121741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"5300", " - ", "COG$ OFFSET")</f>
        <v xml:space="preserve">          5300 - COG$ OFFSET</v>
      </c>
      <c r="C62" s="11"/>
      <c r="D62" s="2">
        <v>37851</v>
      </c>
      <c r="E62" s="2"/>
      <c r="F62" s="19">
        <f t="shared" si="6"/>
        <v>0.52026298633510759</v>
      </c>
      <c r="G62" s="2"/>
      <c r="H62" s="2"/>
      <c r="I62" s="2"/>
      <c r="J62" s="19">
        <f t="shared" si="7"/>
        <v>0</v>
      </c>
      <c r="K62" s="2"/>
      <c r="L62" s="2">
        <f t="shared" si="8"/>
        <v>37851</v>
      </c>
      <c r="M62" s="2"/>
      <c r="N62" s="19">
        <f t="shared" si="9"/>
        <v>0</v>
      </c>
      <c r="O62" s="11"/>
      <c r="P62" s="2">
        <v>105176</v>
      </c>
      <c r="Q62" s="2"/>
      <c r="R62" s="19">
        <f t="shared" si="10"/>
        <v>0.52297068791459678</v>
      </c>
      <c r="S62" s="2"/>
      <c r="T62" s="2"/>
      <c r="U62" s="2"/>
      <c r="V62" s="19">
        <f t="shared" si="11"/>
        <v>0</v>
      </c>
      <c r="W62" s="2"/>
      <c r="X62" s="2">
        <f t="shared" si="12"/>
        <v>105176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"5527", " - ", "FREIGHT-IN-SCHOOL SUPPLIES")</f>
        <v xml:space="preserve">          5527 - FREIGHT-IN-SCHOOL SUPPLIES</v>
      </c>
      <c r="C63" s="11"/>
      <c r="D63" s="2">
        <v>12.52</v>
      </c>
      <c r="E63" s="2"/>
      <c r="F63" s="19">
        <f t="shared" si="6"/>
        <v>1.7208772790456122E-4</v>
      </c>
      <c r="G63" s="2"/>
      <c r="H63" s="2"/>
      <c r="I63" s="2"/>
      <c r="J63" s="19">
        <f t="shared" si="7"/>
        <v>0</v>
      </c>
      <c r="K63" s="2"/>
      <c r="L63" s="2">
        <f t="shared" si="8"/>
        <v>12.52</v>
      </c>
      <c r="M63" s="2"/>
      <c r="N63" s="19">
        <f t="shared" si="9"/>
        <v>0</v>
      </c>
      <c r="O63" s="11"/>
      <c r="P63" s="2">
        <v>12.52</v>
      </c>
      <c r="Q63" s="2"/>
      <c r="R63" s="19">
        <f t="shared" si="10"/>
        <v>6.2253679667326694E-5</v>
      </c>
      <c r="S63" s="2"/>
      <c r="T63" s="2"/>
      <c r="U63" s="2"/>
      <c r="V63" s="19">
        <f t="shared" si="11"/>
        <v>0</v>
      </c>
      <c r="W63" s="2"/>
      <c r="X63" s="2">
        <f t="shared" si="12"/>
        <v>12.52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"5528", " - ", "FREIGHT-IN-ART/TECH")</f>
        <v xml:space="preserve">          5528 - FREIGHT-IN-ART/TECH</v>
      </c>
      <c r="C64" s="11"/>
      <c r="D64" s="2">
        <v>185.67</v>
      </c>
      <c r="E64" s="2"/>
      <c r="F64" s="19">
        <f t="shared" si="6"/>
        <v>2.5520390127827378E-3</v>
      </c>
      <c r="G64" s="2"/>
      <c r="H64" s="2"/>
      <c r="I64" s="2"/>
      <c r="J64" s="19">
        <f t="shared" si="7"/>
        <v>0</v>
      </c>
      <c r="K64" s="2"/>
      <c r="L64" s="2">
        <f t="shared" si="8"/>
        <v>185.67</v>
      </c>
      <c r="M64" s="2"/>
      <c r="N64" s="19">
        <f t="shared" si="9"/>
        <v>0</v>
      </c>
      <c r="O64" s="11"/>
      <c r="P64" s="2">
        <v>774.44</v>
      </c>
      <c r="Q64" s="2"/>
      <c r="R64" s="19">
        <f t="shared" si="10"/>
        <v>3.850777929837419E-3</v>
      </c>
      <c r="S64" s="2"/>
      <c r="T64" s="2"/>
      <c r="U64" s="2"/>
      <c r="V64" s="19">
        <f t="shared" si="11"/>
        <v>0</v>
      </c>
      <c r="W64" s="2"/>
      <c r="X64" s="2">
        <f t="shared" si="12"/>
        <v>774.44</v>
      </c>
      <c r="Y64" s="2"/>
      <c r="Z64" s="19">
        <f t="shared" si="13"/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6</v>
      </c>
      <c r="C66" s="28"/>
      <c r="D66" s="22">
        <f>D12-D44</f>
        <v>34903.019999999982</v>
      </c>
      <c r="E66" s="14"/>
      <c r="F66" s="20">
        <f>IF(D$12=0,0,D66/D$12)</f>
        <v>0.47974292402615454</v>
      </c>
      <c r="G66" s="14"/>
      <c r="H66" s="22">
        <f>H12-H44</f>
        <v>45690</v>
      </c>
      <c r="I66" s="14"/>
      <c r="J66" s="20">
        <f>IF(H$12=0,0,H66/H$12)</f>
        <v>0.55806624975571628</v>
      </c>
      <c r="K66" s="16"/>
      <c r="L66" s="22">
        <f>+D66-H66</f>
        <v>-10786.980000000018</v>
      </c>
      <c r="M66" s="16"/>
      <c r="N66" s="20">
        <f>IF(H66=0,0,L66/H66)</f>
        <v>-0.23609061063690123</v>
      </c>
      <c r="O66" s="29"/>
      <c r="P66" s="22">
        <f>P12-P44</f>
        <v>95937.899999999951</v>
      </c>
      <c r="Q66" s="14"/>
      <c r="R66" s="20">
        <f>IF(P$12=0,0,P66/P$12)</f>
        <v>0.4770357264022379</v>
      </c>
      <c r="S66" s="14"/>
      <c r="T66" s="22">
        <f>T12-T44</f>
        <v>120432</v>
      </c>
      <c r="U66" s="14"/>
      <c r="V66" s="20">
        <f>IF(T$12=0,0,T66/T$12)</f>
        <v>0.56485155480512172</v>
      </c>
      <c r="W66" s="16"/>
      <c r="X66" s="22">
        <f>+P66-T66</f>
        <v>-24494.100000000049</v>
      </c>
      <c r="Y66" s="16"/>
      <c r="Z66" s="20">
        <f>IF(T66=0,0,X66/T66)</f>
        <v>-0.20338531287365524</v>
      </c>
    </row>
    <row r="67" spans="1:26" x14ac:dyDescent="0.25">
      <c r="A67" s="9"/>
      <c r="B67" s="10"/>
      <c r="C67" s="9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9</v>
      </c>
      <c r="C68" s="10"/>
      <c r="D68" s="21">
        <f>SUM(OSRRefD22x_0)</f>
        <v>16254.9</v>
      </c>
      <c r="E68" s="21"/>
      <c r="F68" s="35">
        <f t="shared" ref="F68:F78" si="14">IF(D$12=0,0,D68/D$12)</f>
        <v>0.22342402622331087</v>
      </c>
      <c r="G68" s="21"/>
      <c r="H68" s="21">
        <f>SUM(OSRRefH22x_0)</f>
        <v>15581.096224999999</v>
      </c>
      <c r="I68" s="21"/>
      <c r="J68" s="35">
        <f t="shared" ref="J68:J78" si="15">IF(H$12=0,0,H68/H$12)</f>
        <v>0.19031043855042015</v>
      </c>
      <c r="K68" s="4"/>
      <c r="L68" s="21">
        <f t="shared" ref="L68:L78" si="16">+D68-H68</f>
        <v>673.80377500000031</v>
      </c>
      <c r="M68" s="4"/>
      <c r="N68" s="35">
        <f t="shared" ref="N68:N78" si="17">IF(H68=0,0,L68/H68)</f>
        <v>4.3244953068120873E-2</v>
      </c>
      <c r="O68" s="10"/>
      <c r="P68" s="21">
        <f>SUM(OSRRefP22x_0)</f>
        <v>46976.480000000018</v>
      </c>
      <c r="Q68" s="21"/>
      <c r="R68" s="35">
        <f t="shared" ref="R68:R78" si="18">IF(P$12=0,0,P68/P$12)</f>
        <v>0.23358296627943931</v>
      </c>
      <c r="S68" s="21"/>
      <c r="T68" s="21">
        <f>SUM(OSRRefT22x_0)</f>
        <v>47386.799158999995</v>
      </c>
      <c r="U68" s="21"/>
      <c r="V68" s="35">
        <f t="shared" ref="V68:V78" si="19">IF(T$12=0,0,T68/T$12)</f>
        <v>0.22225411171614837</v>
      </c>
      <c r="W68" s="4"/>
      <c r="X68" s="21">
        <f t="shared" ref="X68:X78" si="20">+P68-T68</f>
        <v>-410.31915899997693</v>
      </c>
      <c r="Y68" s="4"/>
      <c r="Z68" s="35">
        <f t="shared" ref="Z68:Z78" si="21">IF(T68=0,0,X68/T68)</f>
        <v>-8.6589338440692422E-3</v>
      </c>
    </row>
    <row r="69" spans="1:26" s="26" customFormat="1" outlineLevel="1" collapsed="1" x14ac:dyDescent="0.25">
      <c r="A69" s="25"/>
      <c r="B69" s="13" t="str">
        <f>CONCATENATE("     ","*Benefits                                         ")</f>
        <v xml:space="preserve">     *Benefits                                         </v>
      </c>
      <c r="C69" s="13"/>
      <c r="D69" s="1">
        <f>SUM(OSRRefD22_0x_0)</f>
        <v>2062.6799999999994</v>
      </c>
      <c r="E69" s="1"/>
      <c r="F69" s="5">
        <f t="shared" si="14"/>
        <v>2.8351590622538357E-2</v>
      </c>
      <c r="G69" s="1"/>
      <c r="H69" s="1">
        <f>SUM(OSRRefH22_0x_0)</f>
        <v>2342.3312249999999</v>
      </c>
      <c r="I69" s="1"/>
      <c r="J69" s="5">
        <f t="shared" si="15"/>
        <v>2.8609673942251317E-2</v>
      </c>
      <c r="K69" s="1"/>
      <c r="L69" s="1">
        <f t="shared" si="16"/>
        <v>-279.65122500000052</v>
      </c>
      <c r="M69" s="1"/>
      <c r="N69" s="5">
        <f t="shared" si="17"/>
        <v>-0.1193901280977034</v>
      </c>
      <c r="O69" s="13"/>
      <c r="P69" s="1">
        <f>SUM(OSRRefP22_0x_0)</f>
        <v>6242.81</v>
      </c>
      <c r="Q69" s="1"/>
      <c r="R69" s="5">
        <f t="shared" si="18"/>
        <v>3.1041365332586564E-2</v>
      </c>
      <c r="S69" s="1"/>
      <c r="T69" s="1">
        <f>SUM(OSRRefT22_0x_0)</f>
        <v>7377.4291589999993</v>
      </c>
      <c r="U69" s="1"/>
      <c r="V69" s="5">
        <f t="shared" si="19"/>
        <v>3.4601703292528492E-2</v>
      </c>
      <c r="W69" s="1"/>
      <c r="X69" s="1">
        <f t="shared" si="20"/>
        <v>-1134.6191589999989</v>
      </c>
      <c r="Y69" s="1"/>
      <c r="Z69" s="5">
        <f t="shared" si="21"/>
        <v>-0.15379600868357171</v>
      </c>
    </row>
    <row r="70" spans="1:26" s="24" customFormat="1" hidden="1" outlineLevel="2" x14ac:dyDescent="0.25">
      <c r="A70" s="27"/>
      <c r="B70" s="11" t="str">
        <f>CONCATENATE("          ", "6111", " - ", "F.I.C.A.")</f>
        <v xml:space="preserve">          6111 - F.I.C.A.</v>
      </c>
      <c r="C70" s="11"/>
      <c r="D70" s="6">
        <v>297.12</v>
      </c>
      <c r="E70" s="2"/>
      <c r="F70" s="7">
        <f t="shared" si="14"/>
        <v>4.0839221817095227E-3</v>
      </c>
      <c r="G70" s="2"/>
      <c r="H70" s="6">
        <v>867.27622499999995</v>
      </c>
      <c r="I70" s="2"/>
      <c r="J70" s="7">
        <f t="shared" si="15"/>
        <v>1.0593074860758256E-2</v>
      </c>
      <c r="K70" s="2"/>
      <c r="L70" s="6">
        <f t="shared" si="16"/>
        <v>-570.15622499999995</v>
      </c>
      <c r="M70" s="2"/>
      <c r="N70" s="7">
        <f t="shared" si="17"/>
        <v>-0.65741018670262752</v>
      </c>
      <c r="O70" s="11"/>
      <c r="P70" s="6">
        <v>1202.3499999999999</v>
      </c>
      <c r="Q70" s="2"/>
      <c r="R70" s="7">
        <f t="shared" si="18"/>
        <v>5.9784913536749399E-3</v>
      </c>
      <c r="S70" s="2"/>
      <c r="T70" s="6">
        <v>2320.7186790000001</v>
      </c>
      <c r="U70" s="2"/>
      <c r="V70" s="7">
        <f t="shared" si="19"/>
        <v>1.0884661502743774E-2</v>
      </c>
      <c r="W70" s="2"/>
      <c r="X70" s="6">
        <f t="shared" si="20"/>
        <v>-1118.3686790000002</v>
      </c>
      <c r="Y70" s="2"/>
      <c r="Z70" s="7">
        <f t="shared" si="21"/>
        <v>-0.48190618239083866</v>
      </c>
    </row>
    <row r="71" spans="1:26" s="24" customFormat="1" hidden="1" outlineLevel="2" x14ac:dyDescent="0.25">
      <c r="A71" s="27"/>
      <c r="B71" s="11" t="str">
        <f>CONCATENATE("          ", "6112", " - ", "COMPENSATION INSURANCE")</f>
        <v xml:space="preserve">          6112 - COMPENSATION INSURANCE</v>
      </c>
      <c r="C71" s="11"/>
      <c r="D71" s="6">
        <v>33.909999999999997</v>
      </c>
      <c r="E71" s="2"/>
      <c r="F71" s="7">
        <f t="shared" si="14"/>
        <v>4.6609383811850401E-4</v>
      </c>
      <c r="G71" s="2"/>
      <c r="H71" s="6">
        <v>215.3175</v>
      </c>
      <c r="I71" s="2"/>
      <c r="J71" s="7">
        <f t="shared" si="15"/>
        <v>2.6299284248583153E-3</v>
      </c>
      <c r="K71" s="2"/>
      <c r="L71" s="6">
        <f t="shared" si="16"/>
        <v>-181.4075</v>
      </c>
      <c r="M71" s="2"/>
      <c r="N71" s="7">
        <f t="shared" si="17"/>
        <v>-0.84251163978775534</v>
      </c>
      <c r="O71" s="11"/>
      <c r="P71" s="6">
        <v>373.85</v>
      </c>
      <c r="Q71" s="2"/>
      <c r="R71" s="7">
        <f t="shared" si="18"/>
        <v>1.8589087974145435E-3</v>
      </c>
      <c r="S71" s="2"/>
      <c r="T71" s="6">
        <v>608.56619999999998</v>
      </c>
      <c r="U71" s="2"/>
      <c r="V71" s="7">
        <f t="shared" si="19"/>
        <v>2.8543042071197408E-3</v>
      </c>
      <c r="W71" s="2"/>
      <c r="X71" s="6">
        <f t="shared" si="20"/>
        <v>-234.71619999999996</v>
      </c>
      <c r="Y71" s="2"/>
      <c r="Z71" s="7">
        <f t="shared" si="21"/>
        <v>-0.38568721036429554</v>
      </c>
    </row>
    <row r="72" spans="1:26" s="24" customFormat="1" hidden="1" outlineLevel="2" x14ac:dyDescent="0.25">
      <c r="A72" s="27"/>
      <c r="B72" s="11" t="str">
        <f>CONCATENATE("          ", "6113", " - ", "GROUP INSURANCE")</f>
        <v xml:space="preserve">          6113 - GROUP INSURANCE</v>
      </c>
      <c r="C72" s="11"/>
      <c r="D72" s="6">
        <v>1057.33</v>
      </c>
      <c r="E72" s="2"/>
      <c r="F72" s="7">
        <f t="shared" si="14"/>
        <v>1.4533028541959241E-2</v>
      </c>
      <c r="G72" s="2"/>
      <c r="H72" s="6">
        <v>497.25</v>
      </c>
      <c r="I72" s="2"/>
      <c r="J72" s="7">
        <f t="shared" si="15"/>
        <v>6.0735049833887042E-3</v>
      </c>
      <c r="K72" s="2"/>
      <c r="L72" s="6">
        <f t="shared" si="16"/>
        <v>560.07999999999993</v>
      </c>
      <c r="M72" s="2"/>
      <c r="N72" s="7">
        <f t="shared" si="17"/>
        <v>1.1263549522373051</v>
      </c>
      <c r="O72" s="11"/>
      <c r="P72" s="6">
        <v>2102.44</v>
      </c>
      <c r="Q72" s="2"/>
      <c r="R72" s="7">
        <f t="shared" si="18"/>
        <v>1.0454043632569835E-2</v>
      </c>
      <c r="S72" s="2"/>
      <c r="T72" s="6">
        <v>1989</v>
      </c>
      <c r="U72" s="2"/>
      <c r="V72" s="7">
        <f t="shared" si="19"/>
        <v>9.3288307302659343E-3</v>
      </c>
      <c r="W72" s="2"/>
      <c r="X72" s="6">
        <f t="shared" si="20"/>
        <v>113.44000000000005</v>
      </c>
      <c r="Y72" s="2"/>
      <c r="Z72" s="7">
        <f t="shared" si="21"/>
        <v>5.7033685268979416E-2</v>
      </c>
    </row>
    <row r="73" spans="1:26" s="24" customFormat="1" hidden="1" outlineLevel="2" x14ac:dyDescent="0.25">
      <c r="A73" s="27"/>
      <c r="B73" s="11" t="str">
        <f>CONCATENATE("          ", "6114", " - ", "STATE UNEMPLOYMENT INSURANCE")</f>
        <v xml:space="preserve">          6114 - STATE UNEMPLOYMENT INSURANCE</v>
      </c>
      <c r="C73" s="11"/>
      <c r="D73" s="6">
        <v>27.03</v>
      </c>
      <c r="E73" s="2"/>
      <c r="F73" s="7">
        <f t="shared" si="14"/>
        <v>3.7152805792813818E-4</v>
      </c>
      <c r="G73" s="2"/>
      <c r="H73" s="6">
        <v>29.464500000000001</v>
      </c>
      <c r="I73" s="2"/>
      <c r="J73" s="7">
        <f t="shared" si="15"/>
        <v>3.5988494234903267E-4</v>
      </c>
      <c r="K73" s="2"/>
      <c r="L73" s="6">
        <f t="shared" si="16"/>
        <v>-2.4344999999999999</v>
      </c>
      <c r="M73" s="2"/>
      <c r="N73" s="7">
        <f t="shared" si="17"/>
        <v>-8.2624853637428081E-2</v>
      </c>
      <c r="O73" s="11"/>
      <c r="P73" s="6">
        <v>73.55</v>
      </c>
      <c r="Q73" s="2"/>
      <c r="R73" s="7">
        <f t="shared" si="18"/>
        <v>3.6571550635238642E-4</v>
      </c>
      <c r="S73" s="2"/>
      <c r="T73" s="6">
        <v>83.277479999999997</v>
      </c>
      <c r="U73" s="2"/>
      <c r="V73" s="7">
        <f t="shared" si="19"/>
        <v>3.9058899676375404E-4</v>
      </c>
      <c r="W73" s="2"/>
      <c r="X73" s="6">
        <f t="shared" si="20"/>
        <v>-9.7274799999999999</v>
      </c>
      <c r="Y73" s="2"/>
      <c r="Z73" s="7">
        <f t="shared" si="21"/>
        <v>-0.11680804942704799</v>
      </c>
    </row>
    <row r="74" spans="1:26" s="24" customFormat="1" hidden="1" outlineLevel="2" x14ac:dyDescent="0.25">
      <c r="A74" s="27"/>
      <c r="B74" s="11" t="str">
        <f>CONCATENATE("          ", "6115", " - ", "P.E.R.S.")</f>
        <v xml:space="preserve">          6115 - P.E.R.S.</v>
      </c>
      <c r="C74" s="11"/>
      <c r="D74" s="6">
        <v>167.64</v>
      </c>
      <c r="E74" s="2"/>
      <c r="F74" s="7">
        <f t="shared" si="14"/>
        <v>2.3042161905687413E-3</v>
      </c>
      <c r="G74" s="2"/>
      <c r="H74" s="6">
        <v>318.88799999999998</v>
      </c>
      <c r="I74" s="2"/>
      <c r="J74" s="7">
        <f t="shared" si="15"/>
        <v>3.8949579831932769E-3</v>
      </c>
      <c r="K74" s="2"/>
      <c r="L74" s="6">
        <f t="shared" si="16"/>
        <v>-151.24799999999999</v>
      </c>
      <c r="M74" s="2"/>
      <c r="N74" s="7">
        <f t="shared" si="17"/>
        <v>-0.47429818619703468</v>
      </c>
      <c r="O74" s="11"/>
      <c r="P74" s="6">
        <v>737.62</v>
      </c>
      <c r="Q74" s="2"/>
      <c r="R74" s="7">
        <f t="shared" si="18"/>
        <v>3.6676964214228049E-3</v>
      </c>
      <c r="S74" s="2"/>
      <c r="T74" s="6">
        <v>1147.9967999999999</v>
      </c>
      <c r="U74" s="2"/>
      <c r="V74" s="7">
        <f t="shared" si="19"/>
        <v>5.3843478260869561E-3</v>
      </c>
      <c r="W74" s="2"/>
      <c r="X74" s="6">
        <f t="shared" si="20"/>
        <v>-410.37679999999989</v>
      </c>
      <c r="Y74" s="2"/>
      <c r="Z74" s="7">
        <f t="shared" si="21"/>
        <v>-0.35747207657721686</v>
      </c>
    </row>
    <row r="75" spans="1:26" s="24" customFormat="1" hidden="1" outlineLevel="2" x14ac:dyDescent="0.25">
      <c r="A75" s="27"/>
      <c r="B75" s="11" t="str">
        <f>CONCATENATE("          ", "6116", " - ", "EDUCATIONAL BENEFITS")</f>
        <v xml:space="preserve">          6116 - EDUCATIONAL BENEFITS</v>
      </c>
      <c r="C75" s="11"/>
      <c r="D75" s="6"/>
      <c r="E75" s="2"/>
      <c r="F75" s="7">
        <f t="shared" si="14"/>
        <v>0</v>
      </c>
      <c r="G75" s="2"/>
      <c r="H75" s="6">
        <v>0</v>
      </c>
      <c r="I75" s="2"/>
      <c r="J75" s="7">
        <f t="shared" si="15"/>
        <v>0</v>
      </c>
      <c r="K75" s="2"/>
      <c r="L75" s="6">
        <f t="shared" si="16"/>
        <v>0</v>
      </c>
      <c r="M75" s="2"/>
      <c r="N75" s="7">
        <f t="shared" si="17"/>
        <v>0</v>
      </c>
      <c r="O75" s="11"/>
      <c r="P75" s="6"/>
      <c r="Q75" s="2"/>
      <c r="R75" s="7">
        <f t="shared" si="18"/>
        <v>0</v>
      </c>
      <c r="S75" s="2"/>
      <c r="T75" s="6">
        <v>0</v>
      </c>
      <c r="U75" s="2"/>
      <c r="V75" s="7">
        <f t="shared" si="19"/>
        <v>0</v>
      </c>
      <c r="W75" s="2"/>
      <c r="X75" s="6">
        <f t="shared" si="20"/>
        <v>0</v>
      </c>
      <c r="Y75" s="2"/>
      <c r="Z75" s="7">
        <f t="shared" si="21"/>
        <v>0</v>
      </c>
    </row>
    <row r="76" spans="1:26" s="24" customFormat="1" hidden="1" outlineLevel="2" x14ac:dyDescent="0.25">
      <c r="A76" s="27"/>
      <c r="B76" s="11" t="str">
        <f>CONCATENATE("          ", "6118", " - ", "VACATION")</f>
        <v xml:space="preserve">          6118 - VACATION</v>
      </c>
      <c r="C76" s="11"/>
      <c r="D76" s="6">
        <v>138.6</v>
      </c>
      <c r="E76" s="2"/>
      <c r="F76" s="7">
        <f t="shared" si="14"/>
        <v>1.9050606299977782E-3</v>
      </c>
      <c r="G76" s="2"/>
      <c r="H76" s="6">
        <v>111.24</v>
      </c>
      <c r="I76" s="2"/>
      <c r="J76" s="7">
        <f t="shared" si="15"/>
        <v>1.3587062732069572E-3</v>
      </c>
      <c r="K76" s="2"/>
      <c r="L76" s="6">
        <f t="shared" si="16"/>
        <v>27.36</v>
      </c>
      <c r="M76" s="2"/>
      <c r="N76" s="7">
        <f t="shared" si="17"/>
        <v>0.2459546925566343</v>
      </c>
      <c r="O76" s="11"/>
      <c r="P76" s="6">
        <v>562.91999999999996</v>
      </c>
      <c r="Q76" s="2"/>
      <c r="R76" s="7">
        <f t="shared" si="18"/>
        <v>2.7990288624865447E-3</v>
      </c>
      <c r="S76" s="2"/>
      <c r="T76" s="6">
        <v>400.464</v>
      </c>
      <c r="U76" s="2"/>
      <c r="V76" s="7">
        <f t="shared" si="19"/>
        <v>1.8782608695652174E-3</v>
      </c>
      <c r="W76" s="2"/>
      <c r="X76" s="6">
        <f t="shared" si="20"/>
        <v>162.45599999999996</v>
      </c>
      <c r="Y76" s="2"/>
      <c r="Z76" s="7">
        <f t="shared" si="21"/>
        <v>0.4056694234687761</v>
      </c>
    </row>
    <row r="77" spans="1:26" s="24" customFormat="1" hidden="1" outlineLevel="2" x14ac:dyDescent="0.25">
      <c r="A77" s="27"/>
      <c r="B77" s="11" t="str">
        <f>CONCATENATE("          ", "6119", " - ", "SICK LEAVE")</f>
        <v xml:space="preserve">          6119 - SICK LEAVE</v>
      </c>
      <c r="C77" s="11"/>
      <c r="D77" s="6">
        <v>166.05</v>
      </c>
      <c r="E77" s="2"/>
      <c r="F77" s="7">
        <f t="shared" si="14"/>
        <v>2.2823615989259098E-3</v>
      </c>
      <c r="G77" s="2"/>
      <c r="H77" s="6">
        <v>302.89499999999998</v>
      </c>
      <c r="I77" s="2"/>
      <c r="J77" s="7">
        <f t="shared" si="15"/>
        <v>3.6996164744967754E-3</v>
      </c>
      <c r="K77" s="2"/>
      <c r="L77" s="6">
        <f t="shared" si="16"/>
        <v>-136.84499999999997</v>
      </c>
      <c r="M77" s="2"/>
      <c r="N77" s="7">
        <f t="shared" si="17"/>
        <v>-0.45179022433516558</v>
      </c>
      <c r="O77" s="11"/>
      <c r="P77" s="6">
        <v>542.42999999999995</v>
      </c>
      <c r="Q77" s="2"/>
      <c r="R77" s="7">
        <f t="shared" si="18"/>
        <v>2.6971456439255602E-3</v>
      </c>
      <c r="S77" s="2"/>
      <c r="T77" s="6">
        <v>827.40599999999995</v>
      </c>
      <c r="U77" s="2"/>
      <c r="V77" s="7">
        <f t="shared" si="19"/>
        <v>3.8807091599831148E-3</v>
      </c>
      <c r="W77" s="2"/>
      <c r="X77" s="6">
        <f t="shared" si="20"/>
        <v>-284.976</v>
      </c>
      <c r="Y77" s="2"/>
      <c r="Z77" s="7">
        <f t="shared" si="21"/>
        <v>-0.34442099767224316</v>
      </c>
    </row>
    <row r="78" spans="1:26" s="24" customFormat="1" hidden="1" outlineLevel="2" x14ac:dyDescent="0.25">
      <c r="A78" s="27"/>
      <c r="B78" s="11" t="str">
        <f>CONCATENATE("          ", "6156", " - ", "EMPLOYEE MEALS")</f>
        <v xml:space="preserve">          6156 - EMPLOYEE MEALS</v>
      </c>
      <c r="C78" s="11"/>
      <c r="D78" s="6">
        <v>175</v>
      </c>
      <c r="E78" s="2"/>
      <c r="F78" s="7">
        <f t="shared" si="14"/>
        <v>2.405379583330528E-3</v>
      </c>
      <c r="G78" s="2"/>
      <c r="H78" s="6"/>
      <c r="I78" s="2"/>
      <c r="J78" s="7">
        <f t="shared" si="15"/>
        <v>0</v>
      </c>
      <c r="K78" s="2"/>
      <c r="L78" s="6">
        <f t="shared" si="16"/>
        <v>175</v>
      </c>
      <c r="M78" s="2"/>
      <c r="N78" s="7">
        <f t="shared" si="17"/>
        <v>0</v>
      </c>
      <c r="O78" s="11"/>
      <c r="P78" s="6">
        <v>647.65</v>
      </c>
      <c r="Q78" s="2"/>
      <c r="R78" s="7">
        <f t="shared" si="18"/>
        <v>3.2203351147399467E-3</v>
      </c>
      <c r="S78" s="2"/>
      <c r="T78" s="6"/>
      <c r="U78" s="2"/>
      <c r="V78" s="7">
        <f t="shared" si="19"/>
        <v>0</v>
      </c>
      <c r="W78" s="2"/>
      <c r="X78" s="6">
        <f t="shared" si="20"/>
        <v>647.65</v>
      </c>
      <c r="Y78" s="2"/>
      <c r="Z78" s="7">
        <f t="shared" si="21"/>
        <v>0</v>
      </c>
    </row>
    <row r="79" spans="1:26" s="26" customFormat="1" outlineLevel="1" collapsed="1" x14ac:dyDescent="0.25">
      <c r="A79" s="25"/>
      <c r="B79" s="13" t="str">
        <f>CONCATENATE("     ","*Payroll                                          ")</f>
        <v xml:space="preserve">     *Payroll                                          </v>
      </c>
      <c r="C79" s="13"/>
      <c r="D79" s="1">
        <f>SUM(OSRRefD22_1x_0)</f>
        <v>11483.380000000001</v>
      </c>
      <c r="E79" s="1"/>
      <c r="F79" s="5">
        <f t="shared" ref="F79:F89" si="22">IF(D$12=0,0,D79/D$12)</f>
        <v>0.15783935885500641</v>
      </c>
      <c r="G79" s="1"/>
      <c r="H79" s="1">
        <f>SUM(OSRRefH22_1x_0)</f>
        <v>11103.764999999999</v>
      </c>
      <c r="I79" s="1"/>
      <c r="J79" s="5">
        <f t="shared" ref="J79:J89" si="23">IF(H$12=0,0,H79/H$12)</f>
        <v>0.1356234732264999</v>
      </c>
      <c r="K79" s="1"/>
      <c r="L79" s="1">
        <f t="shared" ref="L79:L89" si="24">+D79-H79</f>
        <v>379.6150000000016</v>
      </c>
      <c r="M79" s="1"/>
      <c r="N79" s="5">
        <f t="shared" ref="N79:N89" si="25">IF(H79=0,0,L79/H79)</f>
        <v>3.418795336536766E-2</v>
      </c>
      <c r="O79" s="13"/>
      <c r="P79" s="1">
        <f>SUM(OSRRefP22_1x_0)</f>
        <v>31571.129999999997</v>
      </c>
      <c r="Q79" s="1"/>
      <c r="R79" s="5">
        <f t="shared" ref="R79:R89" si="26">IF(P$12=0,0,P79/P$12)</f>
        <v>0.15698234934149582</v>
      </c>
      <c r="S79" s="1"/>
      <c r="T79" s="1">
        <f>SUM(OSRRefT22_1x_0)</f>
        <v>31469.37</v>
      </c>
      <c r="U79" s="1"/>
      <c r="V79" s="5">
        <f t="shared" ref="V79:V89" si="27">IF(T$12=0,0,T79/T$12)</f>
        <v>0.14759800196988884</v>
      </c>
      <c r="W79" s="1"/>
      <c r="X79" s="1">
        <f t="shared" ref="X79:X89" si="28">+P79-T79</f>
        <v>101.7599999999984</v>
      </c>
      <c r="Y79" s="1"/>
      <c r="Z79" s="5">
        <f t="shared" ref="Z79:Z89" si="29">IF(T79=0,0,X79/T79)</f>
        <v>3.2336205014589872E-3</v>
      </c>
    </row>
    <row r="80" spans="1:26" s="24" customFormat="1" hidden="1" outlineLevel="2" x14ac:dyDescent="0.25">
      <c r="A80" s="27"/>
      <c r="B80" s="11" t="str">
        <f>CONCATENATE("          ", "6001", " - ", "ADMINISTRATIVE SALARIES")</f>
        <v xml:space="preserve">          6001 - ADMINISTRATIVE SALARIES</v>
      </c>
      <c r="C80" s="11"/>
      <c r="D80" s="6"/>
      <c r="E80" s="2"/>
      <c r="F80" s="7">
        <f t="shared" si="22"/>
        <v>0</v>
      </c>
      <c r="G80" s="2"/>
      <c r="H80" s="6">
        <v>3708</v>
      </c>
      <c r="I80" s="2"/>
      <c r="J80" s="7">
        <f t="shared" si="23"/>
        <v>4.5290209106898571E-2</v>
      </c>
      <c r="K80" s="2"/>
      <c r="L80" s="6">
        <f t="shared" si="24"/>
        <v>-3708</v>
      </c>
      <c r="M80" s="2"/>
      <c r="N80" s="7">
        <f t="shared" si="25"/>
        <v>-1</v>
      </c>
      <c r="O80" s="11"/>
      <c r="P80" s="6"/>
      <c r="Q80" s="2"/>
      <c r="R80" s="7">
        <f t="shared" si="26"/>
        <v>0</v>
      </c>
      <c r="S80" s="2"/>
      <c r="T80" s="6">
        <v>13348.8</v>
      </c>
      <c r="U80" s="2"/>
      <c r="V80" s="7">
        <f t="shared" si="27"/>
        <v>6.2608695652173904E-2</v>
      </c>
      <c r="W80" s="2"/>
      <c r="X80" s="6">
        <f t="shared" si="28"/>
        <v>-13348.8</v>
      </c>
      <c r="Y80" s="2"/>
      <c r="Z80" s="7">
        <f t="shared" si="29"/>
        <v>-1</v>
      </c>
    </row>
    <row r="81" spans="1:26" s="24" customFormat="1" hidden="1" outlineLevel="2" x14ac:dyDescent="0.25">
      <c r="A81" s="27"/>
      <c r="B81" s="11" t="str">
        <f>CONCATENATE("          ", "6002", " - ", "STAFF SALARIES")</f>
        <v xml:space="preserve">          6002 - STAFF SALARIES</v>
      </c>
      <c r="C81" s="11"/>
      <c r="D81" s="6">
        <v>2760</v>
      </c>
      <c r="E81" s="2"/>
      <c r="F81" s="7">
        <f t="shared" si="22"/>
        <v>3.7936272285670043E-2</v>
      </c>
      <c r="G81" s="2"/>
      <c r="H81" s="6">
        <v>0</v>
      </c>
      <c r="I81" s="2"/>
      <c r="J81" s="7">
        <f t="shared" si="23"/>
        <v>0</v>
      </c>
      <c r="K81" s="2"/>
      <c r="L81" s="6">
        <f t="shared" si="24"/>
        <v>2760</v>
      </c>
      <c r="M81" s="2"/>
      <c r="N81" s="7">
        <f t="shared" si="25"/>
        <v>0</v>
      </c>
      <c r="O81" s="11"/>
      <c r="P81" s="6">
        <v>11376</v>
      </c>
      <c r="Q81" s="2"/>
      <c r="R81" s="7">
        <f t="shared" si="26"/>
        <v>5.6565324272804189E-2</v>
      </c>
      <c r="S81" s="2"/>
      <c r="T81" s="6">
        <v>0</v>
      </c>
      <c r="U81" s="2"/>
      <c r="V81" s="7">
        <f t="shared" si="27"/>
        <v>0</v>
      </c>
      <c r="W81" s="2"/>
      <c r="X81" s="6">
        <f t="shared" si="28"/>
        <v>11376</v>
      </c>
      <c r="Y81" s="2"/>
      <c r="Z81" s="7">
        <f t="shared" si="29"/>
        <v>0</v>
      </c>
    </row>
    <row r="82" spans="1:26" s="24" customFormat="1" hidden="1" outlineLevel="2" x14ac:dyDescent="0.25">
      <c r="A82" s="27"/>
      <c r="B82" s="11" t="str">
        <f>CONCATENATE("          ", "6003", " - ", "STAFF HOURLY-9 MONTH")</f>
        <v xml:space="preserve">          6003 - STAFF HOURLY-9 MONTH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/>
      <c r="Q82" s="2"/>
      <c r="R82" s="7">
        <f t="shared" si="26"/>
        <v>0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0</v>
      </c>
      <c r="Y82" s="2"/>
      <c r="Z82" s="7">
        <f t="shared" si="29"/>
        <v>0</v>
      </c>
    </row>
    <row r="83" spans="1:26" s="24" customFormat="1" hidden="1" outlineLevel="2" x14ac:dyDescent="0.25">
      <c r="A83" s="27"/>
      <c r="B83" s="11" t="str">
        <f>CONCATENATE("          ", "6004", " - ", "STAFF HOURLY")</f>
        <v xml:space="preserve">          6004 - STAFF HOURLY</v>
      </c>
      <c r="C83" s="11"/>
      <c r="D83" s="6"/>
      <c r="E83" s="2"/>
      <c r="F83" s="7">
        <f t="shared" si="22"/>
        <v>0</v>
      </c>
      <c r="G83" s="2"/>
      <c r="H83" s="6">
        <v>0</v>
      </c>
      <c r="I83" s="2"/>
      <c r="J83" s="7">
        <f t="shared" si="23"/>
        <v>0</v>
      </c>
      <c r="K83" s="2"/>
      <c r="L83" s="6">
        <f t="shared" si="24"/>
        <v>0</v>
      </c>
      <c r="M83" s="2"/>
      <c r="N83" s="7">
        <f t="shared" si="25"/>
        <v>0</v>
      </c>
      <c r="O83" s="11"/>
      <c r="P83" s="6"/>
      <c r="Q83" s="2"/>
      <c r="R83" s="7">
        <f t="shared" si="26"/>
        <v>0</v>
      </c>
      <c r="S83" s="2"/>
      <c r="T83" s="6">
        <v>0</v>
      </c>
      <c r="U83" s="2"/>
      <c r="V83" s="7">
        <f t="shared" si="27"/>
        <v>0</v>
      </c>
      <c r="W83" s="2"/>
      <c r="X83" s="6">
        <f t="shared" si="28"/>
        <v>0</v>
      </c>
      <c r="Y83" s="2"/>
      <c r="Z83" s="7">
        <f t="shared" si="29"/>
        <v>0</v>
      </c>
    </row>
    <row r="84" spans="1:26" s="24" customFormat="1" hidden="1" outlineLevel="2" x14ac:dyDescent="0.25">
      <c r="A84" s="27"/>
      <c r="B84" s="11" t="str">
        <f>CONCATENATE("          ", "6005", " - ", "TEMPORARY WAGES-HOURLY")</f>
        <v xml:space="preserve">          6005 - TEMPORARY WAGES-HOURLY</v>
      </c>
      <c r="C84" s="11"/>
      <c r="D84" s="6">
        <v>416.88</v>
      </c>
      <c r="E84" s="2"/>
      <c r="F84" s="7">
        <f t="shared" si="22"/>
        <v>5.7300265182790317E-3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416.88</v>
      </c>
      <c r="M84" s="2"/>
      <c r="N84" s="7">
        <f t="shared" si="25"/>
        <v>0</v>
      </c>
      <c r="O84" s="11"/>
      <c r="P84" s="6">
        <v>416.88</v>
      </c>
      <c r="Q84" s="2"/>
      <c r="R84" s="7">
        <f t="shared" si="26"/>
        <v>2.0728685287312422E-3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416.88</v>
      </c>
      <c r="Y84" s="2"/>
      <c r="Z84" s="7">
        <f t="shared" si="29"/>
        <v>0</v>
      </c>
    </row>
    <row r="85" spans="1:26" s="24" customFormat="1" hidden="1" outlineLevel="2" x14ac:dyDescent="0.25">
      <c r="A85" s="27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2"/>
        <v>0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0</v>
      </c>
      <c r="M85" s="2"/>
      <c r="N85" s="7">
        <f t="shared" si="25"/>
        <v>0</v>
      </c>
      <c r="O85" s="11"/>
      <c r="P85" s="6">
        <v>25.5</v>
      </c>
      <c r="Q85" s="2"/>
      <c r="R85" s="7">
        <f t="shared" si="26"/>
        <v>1.2679463510517817E-4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25.5</v>
      </c>
      <c r="Y85" s="2"/>
      <c r="Z85" s="7">
        <f t="shared" si="29"/>
        <v>0</v>
      </c>
    </row>
    <row r="86" spans="1:26" s="24" customFormat="1" hidden="1" outlineLevel="2" x14ac:dyDescent="0.25">
      <c r="A86" s="27"/>
      <c r="B86" s="11" t="str">
        <f>CONCATENATE("          ", "6007", " - ", "STUDENT HOURLY")</f>
        <v xml:space="preserve">          6007 - STUDENT HOURLY</v>
      </c>
      <c r="C86" s="11"/>
      <c r="D86" s="6">
        <v>8306.5</v>
      </c>
      <c r="E86" s="2"/>
      <c r="F86" s="7">
        <f t="shared" si="22"/>
        <v>0.11417306005105733</v>
      </c>
      <c r="G86" s="2"/>
      <c r="H86" s="6">
        <v>7395.7649999999994</v>
      </c>
      <c r="I86" s="2"/>
      <c r="J86" s="7">
        <f t="shared" si="23"/>
        <v>9.0333264119601325E-2</v>
      </c>
      <c r="K86" s="2"/>
      <c r="L86" s="6">
        <f t="shared" si="24"/>
        <v>910.73500000000058</v>
      </c>
      <c r="M86" s="2"/>
      <c r="N86" s="7">
        <f t="shared" si="25"/>
        <v>0.12314277157265011</v>
      </c>
      <c r="O86" s="11"/>
      <c r="P86" s="6">
        <v>19752.75</v>
      </c>
      <c r="Q86" s="2"/>
      <c r="R86" s="7">
        <f t="shared" si="26"/>
        <v>9.8217361904855222E-2</v>
      </c>
      <c r="S86" s="2"/>
      <c r="T86" s="6">
        <v>16466.235000000001</v>
      </c>
      <c r="U86" s="2"/>
      <c r="V86" s="7">
        <f t="shared" si="27"/>
        <v>7.723012522864782E-2</v>
      </c>
      <c r="W86" s="2"/>
      <c r="X86" s="6">
        <f t="shared" si="28"/>
        <v>3286.5149999999994</v>
      </c>
      <c r="Y86" s="2"/>
      <c r="Z86" s="7">
        <f t="shared" si="29"/>
        <v>0.19959116337159036</v>
      </c>
    </row>
    <row r="87" spans="1:26" s="24" customFormat="1" hidden="1" outlineLevel="2" x14ac:dyDescent="0.25">
      <c r="A87" s="27"/>
      <c r="B87" s="11" t="str">
        <f>CONCATENATE("          ", "6008", " - ", "STUDENT HOURLY-FICA EXEMPT")</f>
        <v xml:space="preserve">          6008 - STUDENT HOURLY-FICA EXEMPT</v>
      </c>
      <c r="C87" s="11"/>
      <c r="D87" s="6"/>
      <c r="E87" s="2"/>
      <c r="F87" s="7">
        <f t="shared" si="22"/>
        <v>0</v>
      </c>
      <c r="G87" s="2"/>
      <c r="H87" s="6">
        <v>0</v>
      </c>
      <c r="I87" s="2"/>
      <c r="J87" s="7">
        <f t="shared" si="23"/>
        <v>0</v>
      </c>
      <c r="K87" s="2"/>
      <c r="L87" s="6">
        <f t="shared" si="24"/>
        <v>0</v>
      </c>
      <c r="M87" s="2"/>
      <c r="N87" s="7">
        <f t="shared" si="25"/>
        <v>0</v>
      </c>
      <c r="O87" s="11"/>
      <c r="P87" s="6"/>
      <c r="Q87" s="2"/>
      <c r="R87" s="7">
        <f t="shared" si="26"/>
        <v>0</v>
      </c>
      <c r="S87" s="2"/>
      <c r="T87" s="6">
        <v>1654.335</v>
      </c>
      <c r="U87" s="2"/>
      <c r="V87" s="7">
        <f t="shared" si="27"/>
        <v>7.7591810890671169E-3</v>
      </c>
      <c r="W87" s="2"/>
      <c r="X87" s="6">
        <f t="shared" si="28"/>
        <v>-1654.335</v>
      </c>
      <c r="Y87" s="2"/>
      <c r="Z87" s="7">
        <f t="shared" si="29"/>
        <v>-1</v>
      </c>
    </row>
    <row r="88" spans="1:26" s="24" customFormat="1" hidden="1" outlineLevel="2" x14ac:dyDescent="0.25">
      <c r="A88" s="27"/>
      <c r="B88" s="11" t="str">
        <f>CONCATENATE("          ", "6009", " - ", "TEMPORARY-SEASONAL")</f>
        <v xml:space="preserve">          6009 - TEMPORARY-SEASONAL</v>
      </c>
      <c r="C88" s="11"/>
      <c r="D88" s="6"/>
      <c r="E88" s="2"/>
      <c r="F88" s="7">
        <f t="shared" si="22"/>
        <v>0</v>
      </c>
      <c r="G88" s="2"/>
      <c r="H88" s="6">
        <v>0</v>
      </c>
      <c r="I88" s="2"/>
      <c r="J88" s="7">
        <f t="shared" si="23"/>
        <v>0</v>
      </c>
      <c r="K88" s="2"/>
      <c r="L88" s="6">
        <f t="shared" si="24"/>
        <v>0</v>
      </c>
      <c r="M88" s="2"/>
      <c r="N88" s="7">
        <f t="shared" si="25"/>
        <v>0</v>
      </c>
      <c r="O88" s="11"/>
      <c r="P88" s="6"/>
      <c r="Q88" s="2"/>
      <c r="R88" s="7">
        <f t="shared" si="26"/>
        <v>0</v>
      </c>
      <c r="S88" s="2"/>
      <c r="T88" s="6">
        <v>0</v>
      </c>
      <c r="U88" s="2"/>
      <c r="V88" s="7">
        <f t="shared" si="27"/>
        <v>0</v>
      </c>
      <c r="W88" s="2"/>
      <c r="X88" s="6">
        <f t="shared" si="28"/>
        <v>0</v>
      </c>
      <c r="Y88" s="2"/>
      <c r="Z88" s="7">
        <f t="shared" si="29"/>
        <v>0</v>
      </c>
    </row>
    <row r="89" spans="1:26" s="24" customFormat="1" hidden="1" outlineLevel="2" x14ac:dyDescent="0.25">
      <c r="A89" s="27"/>
      <c r="B89" s="11" t="str">
        <f>CONCATENATE("          ", "6010", " - ", "GRATUITY")</f>
        <v xml:space="preserve">          6010 - GRATUITY</v>
      </c>
      <c r="C89" s="11"/>
      <c r="D89" s="6"/>
      <c r="E89" s="2"/>
      <c r="F89" s="7">
        <f t="shared" si="22"/>
        <v>0</v>
      </c>
      <c r="G89" s="2"/>
      <c r="H89" s="6">
        <v>0</v>
      </c>
      <c r="I89" s="2"/>
      <c r="J89" s="7">
        <f t="shared" si="23"/>
        <v>0</v>
      </c>
      <c r="K89" s="2"/>
      <c r="L89" s="6">
        <f t="shared" si="24"/>
        <v>0</v>
      </c>
      <c r="M89" s="2"/>
      <c r="N89" s="7">
        <f t="shared" si="25"/>
        <v>0</v>
      </c>
      <c r="O89" s="11"/>
      <c r="P89" s="6"/>
      <c r="Q89" s="2"/>
      <c r="R89" s="7">
        <f t="shared" si="26"/>
        <v>0</v>
      </c>
      <c r="S89" s="2"/>
      <c r="T89" s="6">
        <v>0</v>
      </c>
      <c r="U89" s="2"/>
      <c r="V89" s="7">
        <f t="shared" si="27"/>
        <v>0</v>
      </c>
      <c r="W89" s="2"/>
      <c r="X89" s="6">
        <f t="shared" si="28"/>
        <v>0</v>
      </c>
      <c r="Y89" s="2"/>
      <c r="Z89" s="7">
        <f t="shared" si="29"/>
        <v>0</v>
      </c>
    </row>
    <row r="90" spans="1:26" s="26" customFormat="1" outlineLevel="1" collapsed="1" x14ac:dyDescent="0.25">
      <c r="A90" s="25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701.91</v>
      </c>
      <c r="E90" s="1"/>
      <c r="F90" s="5">
        <f t="shared" ref="F90:F96" si="30">IF(D$12=0,0,D90/D$12)</f>
        <v>9.6477713333458903E-3</v>
      </c>
      <c r="G90" s="1"/>
      <c r="H90" s="1">
        <f>SUM(OSRRefH22_2x_0)</f>
        <v>40</v>
      </c>
      <c r="I90" s="1"/>
      <c r="J90" s="5">
        <f t="shared" ref="J90:J96" si="31">IF(H$12=0,0,H90/H$12)</f>
        <v>4.8856752003126835E-4</v>
      </c>
      <c r="K90" s="1"/>
      <c r="L90" s="1">
        <f t="shared" ref="L90:L96" si="32">+D90-H90</f>
        <v>661.91</v>
      </c>
      <c r="M90" s="1"/>
      <c r="N90" s="5">
        <f t="shared" ref="N90:N96" si="33">IF(H90=0,0,L90/H90)</f>
        <v>16.547750000000001</v>
      </c>
      <c r="O90" s="13"/>
      <c r="P90" s="1">
        <f>SUM(OSRRefP22_2x_0)</f>
        <v>848.62</v>
      </c>
      <c r="Q90" s="1"/>
      <c r="R90" s="5">
        <f t="shared" ref="R90:R96" si="34">IF(P$12=0,0,P90/P$12)</f>
        <v>4.2196260095276978E-3</v>
      </c>
      <c r="S90" s="1"/>
      <c r="T90" s="1">
        <f>SUM(OSRRefT22_2x_0)</f>
        <v>160</v>
      </c>
      <c r="U90" s="1"/>
      <c r="V90" s="5">
        <f t="shared" ref="V90:V96" si="35">IF(T$12=0,0,T90/T$12)</f>
        <v>7.5043384456638992E-4</v>
      </c>
      <c r="W90" s="1"/>
      <c r="X90" s="1">
        <f t="shared" ref="X90:X96" si="36">+P90-T90</f>
        <v>688.62</v>
      </c>
      <c r="Y90" s="1"/>
      <c r="Z90" s="5">
        <f t="shared" ref="Z90:Z96" si="37">IF(T90=0,0,X90/T90)</f>
        <v>4.3038749999999997</v>
      </c>
    </row>
    <row r="91" spans="1:26" s="24" customFormat="1" hidden="1" outlineLevel="2" x14ac:dyDescent="0.25">
      <c r="A91" s="27"/>
      <c r="B91" s="11" t="str">
        <f>CONCATENATE("          ", "6362", " - ", "ADVERTISING EXPENSE")</f>
        <v xml:space="preserve">          6362 - ADVERTISING EXPENSE</v>
      </c>
      <c r="C91" s="11"/>
      <c r="D91" s="6">
        <v>701.91</v>
      </c>
      <c r="E91" s="2"/>
      <c r="F91" s="7">
        <f t="shared" si="30"/>
        <v>9.6477713333458903E-3</v>
      </c>
      <c r="G91" s="2"/>
      <c r="H91" s="6">
        <v>40</v>
      </c>
      <c r="I91" s="2"/>
      <c r="J91" s="7">
        <f t="shared" si="31"/>
        <v>4.8856752003126835E-4</v>
      </c>
      <c r="K91" s="2"/>
      <c r="L91" s="6">
        <f t="shared" si="32"/>
        <v>661.91</v>
      </c>
      <c r="M91" s="2"/>
      <c r="N91" s="7">
        <f t="shared" si="33"/>
        <v>16.547750000000001</v>
      </c>
      <c r="O91" s="11"/>
      <c r="P91" s="6">
        <v>848.62</v>
      </c>
      <c r="Q91" s="2"/>
      <c r="R91" s="7">
        <f t="shared" si="34"/>
        <v>4.2196260095276978E-3</v>
      </c>
      <c r="S91" s="2"/>
      <c r="T91" s="6">
        <v>160</v>
      </c>
      <c r="U91" s="2"/>
      <c r="V91" s="7">
        <f t="shared" si="35"/>
        <v>7.5043384456638992E-4</v>
      </c>
      <c r="W91" s="2"/>
      <c r="X91" s="6">
        <f t="shared" si="36"/>
        <v>688.62</v>
      </c>
      <c r="Y91" s="2"/>
      <c r="Z91" s="7">
        <f t="shared" si="37"/>
        <v>4.3038749999999997</v>
      </c>
    </row>
    <row r="92" spans="1:26" s="26" customFormat="1" outlineLevel="1" collapsed="1" x14ac:dyDescent="0.25">
      <c r="A92" s="25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-8.2799999999999994</v>
      </c>
      <c r="E92" s="1"/>
      <c r="F92" s="5">
        <f t="shared" si="30"/>
        <v>-1.1380881685701013E-4</v>
      </c>
      <c r="G92" s="1"/>
      <c r="H92" s="1">
        <f>SUM(OSRRefH22_3x_0)</f>
        <v>0</v>
      </c>
      <c r="I92" s="1"/>
      <c r="J92" s="5">
        <f t="shared" si="31"/>
        <v>0</v>
      </c>
      <c r="K92" s="1"/>
      <c r="L92" s="1">
        <f t="shared" si="32"/>
        <v>-8.2799999999999994</v>
      </c>
      <c r="M92" s="1"/>
      <c r="N92" s="5">
        <f t="shared" si="33"/>
        <v>0</v>
      </c>
      <c r="O92" s="13"/>
      <c r="P92" s="1">
        <f>SUM(OSRRefP22_3x_0)</f>
        <v>-47.56</v>
      </c>
      <c r="Q92" s="1"/>
      <c r="R92" s="5">
        <f t="shared" si="34"/>
        <v>-2.3648442531773624E-4</v>
      </c>
      <c r="S92" s="1"/>
      <c r="T92" s="1">
        <f>SUM(OSRRefT22_3x_0)</f>
        <v>0</v>
      </c>
      <c r="U92" s="1"/>
      <c r="V92" s="5">
        <f t="shared" si="35"/>
        <v>0</v>
      </c>
      <c r="W92" s="1"/>
      <c r="X92" s="1">
        <f t="shared" si="36"/>
        <v>-47.56</v>
      </c>
      <c r="Y92" s="1"/>
      <c r="Z92" s="5">
        <f t="shared" si="37"/>
        <v>0</v>
      </c>
    </row>
    <row r="93" spans="1:26" s="24" customFormat="1" hidden="1" outlineLevel="2" x14ac:dyDescent="0.25">
      <c r="A93" s="27"/>
      <c r="B93" s="11" t="str">
        <f>CONCATENATE("          ", "6272", " - ", "CASH (OVER/SHORT)")</f>
        <v xml:space="preserve">          6272 - CASH (OVER/SHORT)</v>
      </c>
      <c r="C93" s="11"/>
      <c r="D93" s="6">
        <v>-8.2799999999999994</v>
      </c>
      <c r="E93" s="2"/>
      <c r="F93" s="7">
        <f t="shared" si="30"/>
        <v>-1.1380881685701013E-4</v>
      </c>
      <c r="G93" s="2"/>
      <c r="H93" s="6"/>
      <c r="I93" s="2"/>
      <c r="J93" s="7">
        <f t="shared" si="31"/>
        <v>0</v>
      </c>
      <c r="K93" s="2"/>
      <c r="L93" s="6">
        <f t="shared" si="32"/>
        <v>-8.2799999999999994</v>
      </c>
      <c r="M93" s="2"/>
      <c r="N93" s="7">
        <f t="shared" si="33"/>
        <v>0</v>
      </c>
      <c r="O93" s="11"/>
      <c r="P93" s="6">
        <v>-47.56</v>
      </c>
      <c r="Q93" s="2"/>
      <c r="R93" s="7">
        <f t="shared" si="34"/>
        <v>-2.3648442531773624E-4</v>
      </c>
      <c r="S93" s="2"/>
      <c r="T93" s="6"/>
      <c r="U93" s="2"/>
      <c r="V93" s="7">
        <f t="shared" si="35"/>
        <v>0</v>
      </c>
      <c r="W93" s="2"/>
      <c r="X93" s="6">
        <f t="shared" si="36"/>
        <v>-47.56</v>
      </c>
      <c r="Y93" s="2"/>
      <c r="Z93" s="7">
        <f t="shared" si="37"/>
        <v>0</v>
      </c>
    </row>
    <row r="94" spans="1:26" s="26" customFormat="1" outlineLevel="1" collapsed="1" x14ac:dyDescent="0.25">
      <c r="A94" s="25"/>
      <c r="B94" s="13" t="str">
        <f>CONCATENATE("     ","Discounts and Markdowns                           ")</f>
        <v xml:space="preserve">     Discounts and Markdowns                           </v>
      </c>
      <c r="C94" s="13"/>
      <c r="D94" s="1">
        <f>SUM(OSRRefD22_4x_0)</f>
        <v>1216.78</v>
      </c>
      <c r="E94" s="1"/>
      <c r="F94" s="5">
        <f t="shared" si="30"/>
        <v>1.6724672968028115E-2</v>
      </c>
      <c r="G94" s="1"/>
      <c r="H94" s="1">
        <f>SUM(OSRRefH22_4x_0)</f>
        <v>1250</v>
      </c>
      <c r="I94" s="1"/>
      <c r="J94" s="5">
        <f t="shared" si="31"/>
        <v>1.5267735000977134E-2</v>
      </c>
      <c r="K94" s="1"/>
      <c r="L94" s="1">
        <f t="shared" si="32"/>
        <v>-33.220000000000027</v>
      </c>
      <c r="M94" s="1"/>
      <c r="N94" s="5">
        <f t="shared" si="33"/>
        <v>-2.6576000000000023E-2</v>
      </c>
      <c r="O94" s="13"/>
      <c r="P94" s="1">
        <f>SUM(OSRRefP22_4x_0)</f>
        <v>4736.6099999999997</v>
      </c>
      <c r="Q94" s="1"/>
      <c r="R94" s="5">
        <f t="shared" si="34"/>
        <v>2.3552028885707368E-2</v>
      </c>
      <c r="S94" s="1"/>
      <c r="T94" s="1">
        <f>SUM(OSRRefT22_4x_0)</f>
        <v>5000</v>
      </c>
      <c r="U94" s="1"/>
      <c r="V94" s="5">
        <f t="shared" si="35"/>
        <v>2.3451057642699686E-2</v>
      </c>
      <c r="W94" s="1"/>
      <c r="X94" s="1">
        <f t="shared" si="36"/>
        <v>-263.39000000000033</v>
      </c>
      <c r="Y94" s="1"/>
      <c r="Z94" s="5">
        <f t="shared" si="37"/>
        <v>-5.2678000000000065E-2</v>
      </c>
    </row>
    <row r="95" spans="1:26" s="24" customFormat="1" hidden="1" outlineLevel="2" x14ac:dyDescent="0.25">
      <c r="A95" s="27"/>
      <c r="B95" s="11" t="str">
        <f>CONCATENATE("          ", "6382", " - ", "DISCOUNTS/MARK DOWNS")</f>
        <v xml:space="preserve">          6382 - DISCOUNTS/MARK DOWNS</v>
      </c>
      <c r="C95" s="11"/>
      <c r="D95" s="6">
        <v>1216.78</v>
      </c>
      <c r="E95" s="2"/>
      <c r="F95" s="7">
        <f t="shared" si="30"/>
        <v>1.6724672968028115E-2</v>
      </c>
      <c r="G95" s="2"/>
      <c r="H95" s="6">
        <v>1250</v>
      </c>
      <c r="I95" s="2"/>
      <c r="J95" s="7">
        <f t="shared" si="31"/>
        <v>1.5267735000977134E-2</v>
      </c>
      <c r="K95" s="2"/>
      <c r="L95" s="6">
        <f t="shared" si="32"/>
        <v>-33.220000000000027</v>
      </c>
      <c r="M95" s="2"/>
      <c r="N95" s="7">
        <f t="shared" si="33"/>
        <v>-2.6576000000000023E-2</v>
      </c>
      <c r="O95" s="11"/>
      <c r="P95" s="6">
        <v>4736.6099999999997</v>
      </c>
      <c r="Q95" s="2"/>
      <c r="R95" s="7">
        <f t="shared" si="34"/>
        <v>2.3552028885707368E-2</v>
      </c>
      <c r="S95" s="2"/>
      <c r="T95" s="6">
        <v>5000</v>
      </c>
      <c r="U95" s="2"/>
      <c r="V95" s="7">
        <f t="shared" si="35"/>
        <v>2.3451057642699686E-2</v>
      </c>
      <c r="W95" s="2"/>
      <c r="X95" s="6">
        <f t="shared" si="36"/>
        <v>-263.39000000000033</v>
      </c>
      <c r="Y95" s="2"/>
      <c r="Z95" s="7">
        <f t="shared" si="37"/>
        <v>-5.2678000000000065E-2</v>
      </c>
    </row>
    <row r="96" spans="1:26" s="24" customFormat="1" hidden="1" outlineLevel="2" x14ac:dyDescent="0.25">
      <c r="A96" s="27"/>
      <c r="B96" s="11" t="str">
        <f>CONCATENATE("          ", "9175", " - ", "EARNED DISCOUNTS")</f>
        <v xml:space="preserve">          9175 - EARNED DISCOUNTS</v>
      </c>
      <c r="C96" s="11"/>
      <c r="D96" s="6"/>
      <c r="E96" s="2"/>
      <c r="F96" s="7">
        <f t="shared" si="30"/>
        <v>0</v>
      </c>
      <c r="G96" s="2"/>
      <c r="H96" s="6"/>
      <c r="I96" s="2"/>
      <c r="J96" s="7">
        <f t="shared" si="31"/>
        <v>0</v>
      </c>
      <c r="K96" s="2"/>
      <c r="L96" s="6">
        <f t="shared" si="32"/>
        <v>0</v>
      </c>
      <c r="M96" s="2"/>
      <c r="N96" s="7">
        <f t="shared" si="33"/>
        <v>0</v>
      </c>
      <c r="O96" s="11"/>
      <c r="P96" s="6">
        <v>0</v>
      </c>
      <c r="Q96" s="2"/>
      <c r="R96" s="7">
        <f t="shared" si="34"/>
        <v>0</v>
      </c>
      <c r="S96" s="2"/>
      <c r="T96" s="6"/>
      <c r="U96" s="2"/>
      <c r="V96" s="7">
        <f t="shared" si="35"/>
        <v>0</v>
      </c>
      <c r="W96" s="2"/>
      <c r="X96" s="6">
        <f t="shared" si="36"/>
        <v>0</v>
      </c>
      <c r="Y96" s="2"/>
      <c r="Z96" s="7">
        <f t="shared" si="37"/>
        <v>0</v>
      </c>
    </row>
    <row r="97" spans="1:26" s="26" customFormat="1" outlineLevel="1" collapsed="1" x14ac:dyDescent="0.25">
      <c r="A97" s="25"/>
      <c r="B97" s="13" t="str">
        <f>CONCATENATE("     ","Employees' Appreciation                           ")</f>
        <v xml:space="preserve">     Employees' Appreciation                           </v>
      </c>
      <c r="C97" s="13"/>
      <c r="D97" s="1">
        <f>SUM(OSRRefD22_5x_0)</f>
        <v>0</v>
      </c>
      <c r="E97" s="1"/>
      <c r="F97" s="5">
        <f t="shared" ref="F97:F105" si="38">IF(D$12=0,0,D97/D$12)</f>
        <v>0</v>
      </c>
      <c r="G97" s="1"/>
      <c r="H97" s="1">
        <f>SUM(OSRRefH22_5x_0)</f>
        <v>25</v>
      </c>
      <c r="I97" s="1"/>
      <c r="J97" s="5">
        <f t="shared" ref="J97:J105" si="39">IF(H$12=0,0,H97/H$12)</f>
        <v>3.0535470001954269E-4</v>
      </c>
      <c r="K97" s="1"/>
      <c r="L97" s="1">
        <f t="shared" ref="L97:L105" si="40">+D97-H97</f>
        <v>-25</v>
      </c>
      <c r="M97" s="1"/>
      <c r="N97" s="5">
        <f t="shared" ref="N97:N105" si="41">IF(H97=0,0,L97/H97)</f>
        <v>-1</v>
      </c>
      <c r="O97" s="13"/>
      <c r="P97" s="1">
        <f>SUM(OSRRefP22_5x_0)</f>
        <v>0</v>
      </c>
      <c r="Q97" s="1"/>
      <c r="R97" s="5">
        <f t="shared" ref="R97:R105" si="42">IF(P$12=0,0,P97/P$12)</f>
        <v>0</v>
      </c>
      <c r="S97" s="1"/>
      <c r="T97" s="1">
        <f>SUM(OSRRefT22_5x_0)</f>
        <v>100</v>
      </c>
      <c r="U97" s="1"/>
      <c r="V97" s="5">
        <f t="shared" ref="V97:V105" si="43">IF(T$12=0,0,T97/T$12)</f>
        <v>4.690211528539937E-4</v>
      </c>
      <c r="W97" s="1"/>
      <c r="X97" s="1">
        <f t="shared" ref="X97:X105" si="44">+P97-T97</f>
        <v>-100</v>
      </c>
      <c r="Y97" s="1"/>
      <c r="Z97" s="5">
        <f t="shared" ref="Z97:Z105" si="45">IF(T97=0,0,X97/T97)</f>
        <v>-1</v>
      </c>
    </row>
    <row r="98" spans="1:26" s="24" customFormat="1" hidden="1" outlineLevel="2" x14ac:dyDescent="0.25">
      <c r="A98" s="27"/>
      <c r="B98" s="11" t="str">
        <f>CONCATENATE("          ", "6277", " - ", "EMPLOYEE APPRECIATION")</f>
        <v xml:space="preserve">          6277 - EMPLOYEE APPRECIATION</v>
      </c>
      <c r="C98" s="11"/>
      <c r="D98" s="6"/>
      <c r="E98" s="2"/>
      <c r="F98" s="7">
        <f t="shared" si="38"/>
        <v>0</v>
      </c>
      <c r="G98" s="2"/>
      <c r="H98" s="6">
        <v>25</v>
      </c>
      <c r="I98" s="2"/>
      <c r="J98" s="7">
        <f t="shared" si="39"/>
        <v>3.0535470001954269E-4</v>
      </c>
      <c r="K98" s="2"/>
      <c r="L98" s="6">
        <f t="shared" si="40"/>
        <v>-25</v>
      </c>
      <c r="M98" s="2"/>
      <c r="N98" s="7">
        <f t="shared" si="41"/>
        <v>-1</v>
      </c>
      <c r="O98" s="11"/>
      <c r="P98" s="6"/>
      <c r="Q98" s="2"/>
      <c r="R98" s="7">
        <f t="shared" si="42"/>
        <v>0</v>
      </c>
      <c r="S98" s="2"/>
      <c r="T98" s="6">
        <v>100</v>
      </c>
      <c r="U98" s="2"/>
      <c r="V98" s="7">
        <f t="shared" si="43"/>
        <v>4.690211528539937E-4</v>
      </c>
      <c r="W98" s="2"/>
      <c r="X98" s="6">
        <f t="shared" si="44"/>
        <v>-100</v>
      </c>
      <c r="Y98" s="2"/>
      <c r="Z98" s="7">
        <f t="shared" si="45"/>
        <v>-1</v>
      </c>
    </row>
    <row r="99" spans="1:26" s="26" customFormat="1" outlineLevel="1" collapsed="1" x14ac:dyDescent="0.25">
      <c r="A99" s="25"/>
      <c r="B99" s="13" t="str">
        <f>CONCATENATE("     ","General                                           ")</f>
        <v xml:space="preserve">     General                                           </v>
      </c>
      <c r="C99" s="13"/>
      <c r="D99" s="1">
        <f>SUM(OSRRefD22_6x_0)</f>
        <v>99.5</v>
      </c>
      <c r="E99" s="1"/>
      <c r="F99" s="5">
        <f t="shared" si="38"/>
        <v>1.367630105950786E-3</v>
      </c>
      <c r="G99" s="1"/>
      <c r="H99" s="1">
        <f>SUM(OSRRefH22_6x_0)</f>
        <v>80</v>
      </c>
      <c r="I99" s="1"/>
      <c r="J99" s="5">
        <f t="shared" si="39"/>
        <v>9.7713504006253669E-4</v>
      </c>
      <c r="K99" s="1"/>
      <c r="L99" s="1">
        <f t="shared" si="40"/>
        <v>19.5</v>
      </c>
      <c r="M99" s="1"/>
      <c r="N99" s="5">
        <f t="shared" si="41"/>
        <v>0.24374999999999999</v>
      </c>
      <c r="O99" s="13"/>
      <c r="P99" s="1">
        <f>SUM(OSRRefP22_6x_0)</f>
        <v>794.05</v>
      </c>
      <c r="Q99" s="1"/>
      <c r="R99" s="5">
        <f t="shared" si="42"/>
        <v>3.9482854904026162E-3</v>
      </c>
      <c r="S99" s="1"/>
      <c r="T99" s="1">
        <f>SUM(OSRRefT22_6x_0)</f>
        <v>320</v>
      </c>
      <c r="U99" s="1"/>
      <c r="V99" s="5">
        <f t="shared" si="43"/>
        <v>1.5008676891327798E-3</v>
      </c>
      <c r="W99" s="1"/>
      <c r="X99" s="1">
        <f t="shared" si="44"/>
        <v>474.04999999999995</v>
      </c>
      <c r="Y99" s="1"/>
      <c r="Z99" s="5">
        <f t="shared" si="45"/>
        <v>1.4814062499999998</v>
      </c>
    </row>
    <row r="100" spans="1:26" s="24" customFormat="1" hidden="1" outlineLevel="2" x14ac:dyDescent="0.25">
      <c r="A100" s="27"/>
      <c r="B100" s="11" t="str">
        <f>CONCATENATE("          ", "6279", " - ", "GENERAL EXPENSE")</f>
        <v xml:space="preserve">          6279 - GENERAL EXPENSE</v>
      </c>
      <c r="C100" s="11"/>
      <c r="D100" s="6">
        <v>99.5</v>
      </c>
      <c r="E100" s="2"/>
      <c r="F100" s="7">
        <f t="shared" si="38"/>
        <v>1.367630105950786E-3</v>
      </c>
      <c r="G100" s="2"/>
      <c r="H100" s="6">
        <v>80</v>
      </c>
      <c r="I100" s="2"/>
      <c r="J100" s="7">
        <f t="shared" si="39"/>
        <v>9.7713504006253669E-4</v>
      </c>
      <c r="K100" s="2"/>
      <c r="L100" s="6">
        <f t="shared" si="40"/>
        <v>19.5</v>
      </c>
      <c r="M100" s="2"/>
      <c r="N100" s="7">
        <f t="shared" si="41"/>
        <v>0.24374999999999999</v>
      </c>
      <c r="O100" s="11"/>
      <c r="P100" s="6">
        <v>794.05</v>
      </c>
      <c r="Q100" s="2"/>
      <c r="R100" s="7">
        <f t="shared" si="42"/>
        <v>3.9482854904026162E-3</v>
      </c>
      <c r="S100" s="2"/>
      <c r="T100" s="6">
        <v>320</v>
      </c>
      <c r="U100" s="2"/>
      <c r="V100" s="7">
        <f t="shared" si="43"/>
        <v>1.5008676891327798E-3</v>
      </c>
      <c r="W100" s="2"/>
      <c r="X100" s="6">
        <f t="shared" si="44"/>
        <v>474.04999999999995</v>
      </c>
      <c r="Y100" s="2"/>
      <c r="Z100" s="7">
        <f t="shared" si="45"/>
        <v>1.4814062499999998</v>
      </c>
    </row>
    <row r="101" spans="1:26" s="26" customFormat="1" outlineLevel="1" collapsed="1" x14ac:dyDescent="0.25">
      <c r="A101" s="25"/>
      <c r="B101" s="13" t="str">
        <f>CONCATENATE("     ","Professional Services                             ")</f>
        <v xml:space="preserve">     Professional Services                             </v>
      </c>
      <c r="C101" s="13"/>
      <c r="D101" s="1">
        <f>SUM(OSRRefD22_7x_0)</f>
        <v>0</v>
      </c>
      <c r="E101" s="1"/>
      <c r="F101" s="5">
        <f t="shared" si="38"/>
        <v>0</v>
      </c>
      <c r="G101" s="1"/>
      <c r="H101" s="1">
        <f>SUM(OSRRefH22_7x_0)</f>
        <v>115</v>
      </c>
      <c r="I101" s="1"/>
      <c r="J101" s="5">
        <f t="shared" si="39"/>
        <v>1.4046316200898965E-3</v>
      </c>
      <c r="K101" s="1"/>
      <c r="L101" s="1">
        <f t="shared" si="40"/>
        <v>-115</v>
      </c>
      <c r="M101" s="1"/>
      <c r="N101" s="5">
        <f t="shared" si="41"/>
        <v>-1</v>
      </c>
      <c r="O101" s="13"/>
      <c r="P101" s="1">
        <f>SUM(OSRRefP22_7x_0)</f>
        <v>750</v>
      </c>
      <c r="Q101" s="1"/>
      <c r="R101" s="5">
        <f t="shared" si="42"/>
        <v>3.7292539736817109E-3</v>
      </c>
      <c r="S101" s="1"/>
      <c r="T101" s="1">
        <f>SUM(OSRRefT22_7x_0)</f>
        <v>460</v>
      </c>
      <c r="U101" s="1"/>
      <c r="V101" s="5">
        <f t="shared" si="43"/>
        <v>2.1574973031283709E-3</v>
      </c>
      <c r="W101" s="1"/>
      <c r="X101" s="1">
        <f t="shared" si="44"/>
        <v>290</v>
      </c>
      <c r="Y101" s="1"/>
      <c r="Z101" s="5">
        <f t="shared" si="45"/>
        <v>0.63043478260869568</v>
      </c>
    </row>
    <row r="102" spans="1:26" s="24" customFormat="1" hidden="1" outlineLevel="2" x14ac:dyDescent="0.25">
      <c r="A102" s="27"/>
      <c r="B102" s="11" t="str">
        <f>CONCATENATE("          ", "6336", " - ", "PROFESSIONAL SERVICES")</f>
        <v xml:space="preserve">          6336 - PROFESSIONAL SERVICES</v>
      </c>
      <c r="C102" s="11"/>
      <c r="D102" s="6"/>
      <c r="E102" s="2"/>
      <c r="F102" s="7">
        <f t="shared" si="38"/>
        <v>0</v>
      </c>
      <c r="G102" s="2"/>
      <c r="H102" s="6">
        <v>115</v>
      </c>
      <c r="I102" s="2"/>
      <c r="J102" s="7">
        <f t="shared" si="39"/>
        <v>1.4046316200898965E-3</v>
      </c>
      <c r="K102" s="2"/>
      <c r="L102" s="6">
        <f t="shared" si="40"/>
        <v>-115</v>
      </c>
      <c r="M102" s="2"/>
      <c r="N102" s="7">
        <f t="shared" si="41"/>
        <v>-1</v>
      </c>
      <c r="O102" s="11"/>
      <c r="P102" s="6">
        <v>750</v>
      </c>
      <c r="Q102" s="2"/>
      <c r="R102" s="7">
        <f t="shared" si="42"/>
        <v>3.7292539736817109E-3</v>
      </c>
      <c r="S102" s="2"/>
      <c r="T102" s="6">
        <v>460</v>
      </c>
      <c r="U102" s="2"/>
      <c r="V102" s="7">
        <f t="shared" si="43"/>
        <v>2.1574973031283709E-3</v>
      </c>
      <c r="W102" s="2"/>
      <c r="X102" s="6">
        <f t="shared" si="44"/>
        <v>290</v>
      </c>
      <c r="Y102" s="2"/>
      <c r="Z102" s="7">
        <f t="shared" si="45"/>
        <v>0.63043478260869568</v>
      </c>
    </row>
    <row r="103" spans="1:26" s="26" customFormat="1" outlineLevel="1" collapsed="1" x14ac:dyDescent="0.25">
      <c r="A103" s="25"/>
      <c r="B103" s="13" t="str">
        <f>CONCATENATE("     ","Repair and Maintenance                            ")</f>
        <v xml:space="preserve">     Repair and Maintenance                            </v>
      </c>
      <c r="C103" s="13"/>
      <c r="D103" s="1">
        <f>SUM(OSRRefD22_8x_0)</f>
        <v>58.62</v>
      </c>
      <c r="E103" s="1"/>
      <c r="F103" s="5">
        <f t="shared" si="38"/>
        <v>8.0573343528477458E-4</v>
      </c>
      <c r="G103" s="1"/>
      <c r="H103" s="1">
        <f>SUM(OSRRefH22_8x_0)</f>
        <v>125</v>
      </c>
      <c r="I103" s="1"/>
      <c r="J103" s="5">
        <f t="shared" si="39"/>
        <v>1.5267735000977136E-3</v>
      </c>
      <c r="K103" s="1"/>
      <c r="L103" s="1">
        <f t="shared" si="40"/>
        <v>-66.38</v>
      </c>
      <c r="M103" s="1"/>
      <c r="N103" s="5">
        <f t="shared" si="41"/>
        <v>-0.53103999999999996</v>
      </c>
      <c r="O103" s="13"/>
      <c r="P103" s="1">
        <f>SUM(OSRRefP22_8x_0)</f>
        <v>68.42</v>
      </c>
      <c r="Q103" s="1"/>
      <c r="R103" s="5">
        <f t="shared" si="42"/>
        <v>3.4020740917240356E-4</v>
      </c>
      <c r="S103" s="1"/>
      <c r="T103" s="1">
        <f>SUM(OSRRefT22_8x_0)</f>
        <v>500</v>
      </c>
      <c r="U103" s="1"/>
      <c r="V103" s="5">
        <f t="shared" si="43"/>
        <v>2.3451057642699686E-3</v>
      </c>
      <c r="W103" s="1"/>
      <c r="X103" s="1">
        <f t="shared" si="44"/>
        <v>-431.58</v>
      </c>
      <c r="Y103" s="1"/>
      <c r="Z103" s="5">
        <f t="shared" si="45"/>
        <v>-0.86315999999999993</v>
      </c>
    </row>
    <row r="104" spans="1:26" s="24" customFormat="1" hidden="1" outlineLevel="2" x14ac:dyDescent="0.25">
      <c r="A104" s="27"/>
      <c r="B104" s="11" t="str">
        <f>CONCATENATE("          ", "6373", " - ", "MAINTENANCE CONTRACTS")</f>
        <v xml:space="preserve">          6373 - MAINTENANCE CONTRACTS</v>
      </c>
      <c r="C104" s="11"/>
      <c r="D104" s="6">
        <v>58.62</v>
      </c>
      <c r="E104" s="2"/>
      <c r="F104" s="7">
        <f t="shared" si="38"/>
        <v>8.0573343528477458E-4</v>
      </c>
      <c r="G104" s="2"/>
      <c r="H104" s="6"/>
      <c r="I104" s="2"/>
      <c r="J104" s="7">
        <f t="shared" si="39"/>
        <v>0</v>
      </c>
      <c r="K104" s="2"/>
      <c r="L104" s="6">
        <f t="shared" si="40"/>
        <v>58.62</v>
      </c>
      <c r="M104" s="2"/>
      <c r="N104" s="7">
        <f t="shared" si="41"/>
        <v>0</v>
      </c>
      <c r="O104" s="11"/>
      <c r="P104" s="6">
        <v>58.62</v>
      </c>
      <c r="Q104" s="2"/>
      <c r="R104" s="7">
        <f t="shared" si="42"/>
        <v>2.9147849058296251E-4</v>
      </c>
      <c r="S104" s="2"/>
      <c r="T104" s="6"/>
      <c r="U104" s="2"/>
      <c r="V104" s="7">
        <f t="shared" si="43"/>
        <v>0</v>
      </c>
      <c r="W104" s="2"/>
      <c r="X104" s="6">
        <f t="shared" si="44"/>
        <v>58.62</v>
      </c>
      <c r="Y104" s="2"/>
      <c r="Z104" s="7">
        <f t="shared" si="45"/>
        <v>0</v>
      </c>
    </row>
    <row r="105" spans="1:26" s="24" customFormat="1" hidden="1" outlineLevel="2" x14ac:dyDescent="0.25">
      <c r="A105" s="27"/>
      <c r="B105" s="11" t="str">
        <f>CONCATENATE("          ", "6375", " - ", "OUTSIDE REPAIRS &amp; MAINTENANCE")</f>
        <v xml:space="preserve">          6375 - OUTSIDE REPAIRS &amp; MAINTENANCE</v>
      </c>
      <c r="C105" s="11"/>
      <c r="D105" s="6"/>
      <c r="E105" s="2"/>
      <c r="F105" s="7">
        <f t="shared" si="38"/>
        <v>0</v>
      </c>
      <c r="G105" s="2"/>
      <c r="H105" s="6">
        <v>125</v>
      </c>
      <c r="I105" s="2"/>
      <c r="J105" s="7">
        <f t="shared" si="39"/>
        <v>1.5267735000977136E-3</v>
      </c>
      <c r="K105" s="2"/>
      <c r="L105" s="6">
        <f t="shared" si="40"/>
        <v>-125</v>
      </c>
      <c r="M105" s="2"/>
      <c r="N105" s="7">
        <f t="shared" si="41"/>
        <v>-1</v>
      </c>
      <c r="O105" s="11"/>
      <c r="P105" s="6">
        <v>9.8000000000000007</v>
      </c>
      <c r="Q105" s="2"/>
      <c r="R105" s="7">
        <f t="shared" si="42"/>
        <v>4.8728918589441022E-5</v>
      </c>
      <c r="S105" s="2"/>
      <c r="T105" s="6">
        <v>500</v>
      </c>
      <c r="U105" s="2"/>
      <c r="V105" s="7">
        <f t="shared" si="43"/>
        <v>2.3451057642699686E-3</v>
      </c>
      <c r="W105" s="2"/>
      <c r="X105" s="6">
        <f t="shared" si="44"/>
        <v>-490.2</v>
      </c>
      <c r="Y105" s="2"/>
      <c r="Z105" s="7">
        <f t="shared" si="45"/>
        <v>-0.98039999999999994</v>
      </c>
    </row>
    <row r="106" spans="1:26" s="26" customFormat="1" outlineLevel="1" collapsed="1" x14ac:dyDescent="0.25">
      <c r="A106" s="25"/>
      <c r="B106" s="13" t="str">
        <f>CONCATENATE("     ","Services                                          ")</f>
        <v xml:space="preserve">     Services                                          </v>
      </c>
      <c r="C106" s="13"/>
      <c r="D106" s="1">
        <f>SUM(OSRRefD22_9x_0)</f>
        <v>274.26</v>
      </c>
      <c r="E106" s="1"/>
      <c r="F106" s="5">
        <f t="shared" ref="F106:F108" si="46">IF(D$12=0,0,D106/D$12)</f>
        <v>3.7697108829956036E-3</v>
      </c>
      <c r="G106" s="1"/>
      <c r="H106" s="1">
        <f>SUM(OSRRefH22_9x_0)</f>
        <v>100</v>
      </c>
      <c r="I106" s="1"/>
      <c r="J106" s="5">
        <f t="shared" ref="J106:J108" si="47">IF(H$12=0,0,H106/H$12)</f>
        <v>1.2214188000781708E-3</v>
      </c>
      <c r="K106" s="1"/>
      <c r="L106" s="1">
        <f t="shared" ref="L106:L108" si="48">+D106-H106</f>
        <v>174.26</v>
      </c>
      <c r="M106" s="1"/>
      <c r="N106" s="5">
        <f t="shared" ref="N106:N108" si="49">IF(H106=0,0,L106/H106)</f>
        <v>1.7425999999999999</v>
      </c>
      <c r="O106" s="13"/>
      <c r="P106" s="1">
        <f>SUM(OSRRefP22_9x_0)</f>
        <v>970.22</v>
      </c>
      <c r="Q106" s="1"/>
      <c r="R106" s="5">
        <f t="shared" ref="R106:R108" si="50">IF(P$12=0,0,P106/P$12)</f>
        <v>4.8242623871272931E-3</v>
      </c>
      <c r="S106" s="1"/>
      <c r="T106" s="1">
        <f>SUM(OSRRefT22_9x_0)</f>
        <v>400</v>
      </c>
      <c r="U106" s="1"/>
      <c r="V106" s="5">
        <f t="shared" ref="V106:V108" si="51">IF(T$12=0,0,T106/T$12)</f>
        <v>1.8760846114159748E-3</v>
      </c>
      <c r="W106" s="1"/>
      <c r="X106" s="1">
        <f t="shared" ref="X106:X108" si="52">+P106-T106</f>
        <v>570.22</v>
      </c>
      <c r="Y106" s="1"/>
      <c r="Z106" s="5">
        <f t="shared" ref="Z106:Z108" si="53">IF(T106=0,0,X106/T106)</f>
        <v>1.4255500000000001</v>
      </c>
    </row>
    <row r="107" spans="1:26" s="24" customFormat="1" hidden="1" outlineLevel="2" x14ac:dyDescent="0.25">
      <c r="A107" s="27"/>
      <c r="B107" s="11" t="str">
        <f>CONCATENATE("          ", "6282", " - ", "JANITORIAL/EXTERMINATOR EXPENS")</f>
        <v xml:space="preserve">          6282 - JANITORIAL/EXTERMINATOR EXPENS</v>
      </c>
      <c r="C107" s="11"/>
      <c r="D107" s="6">
        <v>44</v>
      </c>
      <c r="E107" s="2"/>
      <c r="F107" s="7">
        <f t="shared" si="46"/>
        <v>6.0478115238024707E-4</v>
      </c>
      <c r="G107" s="2"/>
      <c r="H107" s="6">
        <v>50</v>
      </c>
      <c r="I107" s="2"/>
      <c r="J107" s="7">
        <f t="shared" si="47"/>
        <v>6.1070940003908538E-4</v>
      </c>
      <c r="K107" s="2"/>
      <c r="L107" s="6">
        <f t="shared" si="48"/>
        <v>-6</v>
      </c>
      <c r="M107" s="2"/>
      <c r="N107" s="7">
        <f t="shared" si="49"/>
        <v>-0.12</v>
      </c>
      <c r="O107" s="11"/>
      <c r="P107" s="6">
        <v>176</v>
      </c>
      <c r="Q107" s="2"/>
      <c r="R107" s="7">
        <f t="shared" si="50"/>
        <v>8.751315991573081E-4</v>
      </c>
      <c r="S107" s="2"/>
      <c r="T107" s="6">
        <v>200</v>
      </c>
      <c r="U107" s="2"/>
      <c r="V107" s="7">
        <f t="shared" si="51"/>
        <v>9.380423057079874E-4</v>
      </c>
      <c r="W107" s="2"/>
      <c r="X107" s="6">
        <f t="shared" si="52"/>
        <v>-24</v>
      </c>
      <c r="Y107" s="2"/>
      <c r="Z107" s="7">
        <f t="shared" si="53"/>
        <v>-0.12</v>
      </c>
    </row>
    <row r="108" spans="1:26" s="24" customFormat="1" hidden="1" outlineLevel="2" x14ac:dyDescent="0.25">
      <c r="A108" s="27"/>
      <c r="B108" s="11" t="str">
        <f>CONCATENATE("          ", "6285", " - ", "JANITORIAL SERVICES")</f>
        <v xml:space="preserve">          6285 - JANITORIAL SERVICES</v>
      </c>
      <c r="C108" s="11"/>
      <c r="D108" s="6">
        <v>230.26</v>
      </c>
      <c r="E108" s="2"/>
      <c r="F108" s="7">
        <f t="shared" si="46"/>
        <v>3.1649297306153563E-3</v>
      </c>
      <c r="G108" s="2"/>
      <c r="H108" s="6">
        <v>50</v>
      </c>
      <c r="I108" s="2"/>
      <c r="J108" s="7">
        <f t="shared" si="47"/>
        <v>6.1070940003908538E-4</v>
      </c>
      <c r="K108" s="2"/>
      <c r="L108" s="6">
        <f t="shared" si="48"/>
        <v>180.26</v>
      </c>
      <c r="M108" s="2"/>
      <c r="N108" s="7">
        <f t="shared" si="49"/>
        <v>3.6052</v>
      </c>
      <c r="O108" s="11"/>
      <c r="P108" s="6">
        <v>794.22</v>
      </c>
      <c r="Q108" s="2"/>
      <c r="R108" s="7">
        <f t="shared" si="50"/>
        <v>3.9491307879699847E-3</v>
      </c>
      <c r="S108" s="2"/>
      <c r="T108" s="6">
        <v>200</v>
      </c>
      <c r="U108" s="2"/>
      <c r="V108" s="7">
        <f t="shared" si="51"/>
        <v>9.380423057079874E-4</v>
      </c>
      <c r="W108" s="2"/>
      <c r="X108" s="6">
        <f t="shared" si="52"/>
        <v>594.22</v>
      </c>
      <c r="Y108" s="2"/>
      <c r="Z108" s="7">
        <f t="shared" si="53"/>
        <v>2.9711000000000003</v>
      </c>
    </row>
    <row r="109" spans="1:26" s="26" customFormat="1" outlineLevel="1" collapsed="1" x14ac:dyDescent="0.25">
      <c r="A109" s="25"/>
      <c r="B109" s="13" t="str">
        <f>CONCATENATE("     ","Supplies                                          ")</f>
        <v xml:space="preserve">     Supplies                                          </v>
      </c>
      <c r="C109" s="13"/>
      <c r="D109" s="1">
        <f>SUM(OSRRefD22_10x_0)</f>
        <v>198.56</v>
      </c>
      <c r="E109" s="1"/>
      <c r="F109" s="5">
        <f t="shared" ref="F109:F111" si="54">IF(D$12=0,0,D109/D$12)</f>
        <v>2.7292124003777695E-3</v>
      </c>
      <c r="G109" s="1"/>
      <c r="H109" s="1">
        <f>SUM(OSRRefH22_10x_0)</f>
        <v>150</v>
      </c>
      <c r="I109" s="1"/>
      <c r="J109" s="5">
        <f t="shared" ref="J109:J111" si="55">IF(H$12=0,0,H109/H$12)</f>
        <v>1.8321282001172562E-3</v>
      </c>
      <c r="K109" s="1"/>
      <c r="L109" s="1">
        <f t="shared" ref="L109:L111" si="56">+D109-H109</f>
        <v>48.56</v>
      </c>
      <c r="M109" s="1"/>
      <c r="N109" s="5">
        <f t="shared" ref="N109:N111" si="57">IF(H109=0,0,L109/H109)</f>
        <v>0.32373333333333337</v>
      </c>
      <c r="O109" s="13"/>
      <c r="P109" s="1">
        <f>SUM(OSRRefP22_10x_0)</f>
        <v>572.18999999999994</v>
      </c>
      <c r="Q109" s="1"/>
      <c r="R109" s="5">
        <f t="shared" ref="R109:R111" si="58">IF(P$12=0,0,P109/P$12)</f>
        <v>2.8451224416012506E-3</v>
      </c>
      <c r="S109" s="1"/>
      <c r="T109" s="1">
        <f>SUM(OSRRefT22_10x_0)</f>
        <v>600</v>
      </c>
      <c r="U109" s="1"/>
      <c r="V109" s="5">
        <f t="shared" ref="V109:V111" si="59">IF(T$12=0,0,T109/T$12)</f>
        <v>2.8141269171239624E-3</v>
      </c>
      <c r="W109" s="1"/>
      <c r="X109" s="1">
        <f t="shared" ref="X109:X111" si="60">+P109-T109</f>
        <v>-27.810000000000059</v>
      </c>
      <c r="Y109" s="1"/>
      <c r="Z109" s="5">
        <f t="shared" ref="Z109:Z111" si="61">IF(T109=0,0,X109/T109)</f>
        <v>-4.6350000000000099E-2</v>
      </c>
    </row>
    <row r="110" spans="1:26" s="24" customFormat="1" hidden="1" outlineLevel="2" x14ac:dyDescent="0.25">
      <c r="A110" s="27"/>
      <c r="B110" s="11" t="str">
        <f>CONCATENATE("          ", "6241", " - ", "OFFICE EXPENSE")</f>
        <v xml:space="preserve">          6241 - OFFICE EXPENSE</v>
      </c>
      <c r="C110" s="11"/>
      <c r="D110" s="6">
        <v>198.66</v>
      </c>
      <c r="E110" s="2"/>
      <c r="F110" s="7">
        <f t="shared" si="54"/>
        <v>2.7305869029968155E-3</v>
      </c>
      <c r="G110" s="2"/>
      <c r="H110" s="6">
        <v>150</v>
      </c>
      <c r="I110" s="2"/>
      <c r="J110" s="7">
        <f t="shared" si="55"/>
        <v>1.8321282001172562E-3</v>
      </c>
      <c r="K110" s="2"/>
      <c r="L110" s="6">
        <f t="shared" si="56"/>
        <v>48.66</v>
      </c>
      <c r="M110" s="2"/>
      <c r="N110" s="7">
        <f t="shared" si="57"/>
        <v>0.32439999999999997</v>
      </c>
      <c r="O110" s="11"/>
      <c r="P110" s="6">
        <v>572.29</v>
      </c>
      <c r="Q110" s="2"/>
      <c r="R110" s="7">
        <f t="shared" si="58"/>
        <v>2.8456196754644081E-3</v>
      </c>
      <c r="S110" s="2"/>
      <c r="T110" s="6">
        <v>600</v>
      </c>
      <c r="U110" s="2"/>
      <c r="V110" s="7">
        <f t="shared" si="59"/>
        <v>2.8141269171239624E-3</v>
      </c>
      <c r="W110" s="2"/>
      <c r="X110" s="6">
        <f t="shared" si="60"/>
        <v>-27.710000000000036</v>
      </c>
      <c r="Y110" s="2"/>
      <c r="Z110" s="7">
        <f t="shared" si="61"/>
        <v>-4.6183333333333396E-2</v>
      </c>
    </row>
    <row r="111" spans="1:26" s="24" customFormat="1" hidden="1" outlineLevel="2" x14ac:dyDescent="0.25">
      <c r="A111" s="27"/>
      <c r="B111" s="11" t="str">
        <f>CONCATENATE("          ", "6247", " - ", "STORE SUPPLIES")</f>
        <v xml:space="preserve">          6247 - STORE SUPPLIES</v>
      </c>
      <c r="C111" s="11"/>
      <c r="D111" s="6">
        <v>-0.1</v>
      </c>
      <c r="E111" s="2"/>
      <c r="F111" s="7">
        <f t="shared" si="54"/>
        <v>-1.3745026190460161E-6</v>
      </c>
      <c r="G111" s="2"/>
      <c r="H111" s="6"/>
      <c r="I111" s="2"/>
      <c r="J111" s="7">
        <f t="shared" si="55"/>
        <v>0</v>
      </c>
      <c r="K111" s="2"/>
      <c r="L111" s="6">
        <f t="shared" si="56"/>
        <v>-0.1</v>
      </c>
      <c r="M111" s="2"/>
      <c r="N111" s="7">
        <f t="shared" si="57"/>
        <v>0</v>
      </c>
      <c r="O111" s="11"/>
      <c r="P111" s="6">
        <v>-0.1</v>
      </c>
      <c r="Q111" s="2"/>
      <c r="R111" s="7">
        <f t="shared" si="58"/>
        <v>-4.9723386315756147E-7</v>
      </c>
      <c r="S111" s="2"/>
      <c r="T111" s="6"/>
      <c r="U111" s="2"/>
      <c r="V111" s="7">
        <f t="shared" si="59"/>
        <v>0</v>
      </c>
      <c r="W111" s="2"/>
      <c r="X111" s="6">
        <f t="shared" si="60"/>
        <v>-0.1</v>
      </c>
      <c r="Y111" s="2"/>
      <c r="Z111" s="7">
        <f t="shared" si="61"/>
        <v>0</v>
      </c>
    </row>
    <row r="112" spans="1:26" s="26" customFormat="1" outlineLevel="1" collapsed="1" x14ac:dyDescent="0.25">
      <c r="A112" s="25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SUM(OSRRefD22_11x_0)</f>
        <v>87.49</v>
      </c>
      <c r="E112" s="1"/>
      <c r="F112" s="5">
        <f t="shared" ref="F112:F115" si="62">IF(D$12=0,0,D112/D$12)</f>
        <v>1.2025523414033593E-3</v>
      </c>
      <c r="G112" s="1"/>
      <c r="H112" s="1">
        <f>SUM(OSRRefH22_11x_0)</f>
        <v>75</v>
      </c>
      <c r="I112" s="1"/>
      <c r="J112" s="5">
        <f t="shared" ref="J112:J115" si="63">IF(H$12=0,0,H112/H$12)</f>
        <v>9.1606410005862812E-4</v>
      </c>
      <c r="K112" s="1"/>
      <c r="L112" s="1">
        <f t="shared" ref="L112:L115" si="64">+D112-H112</f>
        <v>12.489999999999995</v>
      </c>
      <c r="M112" s="1"/>
      <c r="N112" s="5">
        <f t="shared" ref="N112:N115" si="65">IF(H112=0,0,L112/H112)</f>
        <v>0.16653333333333326</v>
      </c>
      <c r="O112" s="13"/>
      <c r="P112" s="1">
        <f>SUM(OSRRefP22_11x_0)</f>
        <v>389.99</v>
      </c>
      <c r="Q112" s="1"/>
      <c r="R112" s="5">
        <f t="shared" ref="R112:R115" si="66">IF(P$12=0,0,P112/P$12)</f>
        <v>1.9391623429281738E-3</v>
      </c>
      <c r="S112" s="1"/>
      <c r="T112" s="1">
        <f>SUM(OSRRefT22_11x_0)</f>
        <v>300</v>
      </c>
      <c r="U112" s="1"/>
      <c r="V112" s="5">
        <f t="shared" ref="V112:V115" si="67">IF(T$12=0,0,T112/T$12)</f>
        <v>1.4070634585619812E-3</v>
      </c>
      <c r="W112" s="1"/>
      <c r="X112" s="1">
        <f t="shared" ref="X112:X115" si="68">+P112-T112</f>
        <v>89.990000000000009</v>
      </c>
      <c r="Y112" s="1"/>
      <c r="Z112" s="5">
        <f t="shared" ref="Z112:Z115" si="69">IF(T112=0,0,X112/T112)</f>
        <v>0.29996666666666671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87.49</v>
      </c>
      <c r="E113" s="2"/>
      <c r="F113" s="7">
        <f t="shared" si="62"/>
        <v>1.2025523414033593E-3</v>
      </c>
      <c r="G113" s="2"/>
      <c r="H113" s="6">
        <v>75</v>
      </c>
      <c r="I113" s="2"/>
      <c r="J113" s="7">
        <f t="shared" si="63"/>
        <v>9.1606410005862812E-4</v>
      </c>
      <c r="K113" s="2"/>
      <c r="L113" s="6">
        <f t="shared" si="64"/>
        <v>12.489999999999995</v>
      </c>
      <c r="M113" s="2"/>
      <c r="N113" s="7">
        <f t="shared" si="65"/>
        <v>0.16653333333333326</v>
      </c>
      <c r="O113" s="11"/>
      <c r="P113" s="6">
        <v>389.99</v>
      </c>
      <c r="Q113" s="2"/>
      <c r="R113" s="7">
        <f t="shared" si="66"/>
        <v>1.9391623429281738E-3</v>
      </c>
      <c r="S113" s="2"/>
      <c r="T113" s="6">
        <v>300</v>
      </c>
      <c r="U113" s="2"/>
      <c r="V113" s="7">
        <f t="shared" si="67"/>
        <v>1.4070634585619812E-3</v>
      </c>
      <c r="W113" s="2"/>
      <c r="X113" s="6">
        <f t="shared" si="68"/>
        <v>89.990000000000009</v>
      </c>
      <c r="Y113" s="2"/>
      <c r="Z113" s="7">
        <f t="shared" si="69"/>
        <v>0.29996666666666671</v>
      </c>
    </row>
    <row r="114" spans="1:26" s="26" customFormat="1" outlineLevel="1" collapsed="1" x14ac:dyDescent="0.25">
      <c r="A114" s="25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SUM(OSRRefD22_12x_0)</f>
        <v>80</v>
      </c>
      <c r="E114" s="1"/>
      <c r="F114" s="5">
        <f t="shared" si="62"/>
        <v>1.0996020952368129E-3</v>
      </c>
      <c r="G114" s="1"/>
      <c r="H114" s="1">
        <f>SUM(OSRRefH22_12x_0)</f>
        <v>175</v>
      </c>
      <c r="I114" s="1"/>
      <c r="J114" s="5">
        <f t="shared" si="63"/>
        <v>2.1374829001367989E-3</v>
      </c>
      <c r="K114" s="1"/>
      <c r="L114" s="1">
        <f t="shared" si="64"/>
        <v>-95</v>
      </c>
      <c r="M114" s="1"/>
      <c r="N114" s="5">
        <f t="shared" si="65"/>
        <v>-0.54285714285714282</v>
      </c>
      <c r="O114" s="13"/>
      <c r="P114" s="1">
        <f>SUM(OSRRefP22_12x_0)</f>
        <v>80</v>
      </c>
      <c r="Q114" s="1"/>
      <c r="R114" s="5">
        <f t="shared" si="66"/>
        <v>3.9778709052604915E-4</v>
      </c>
      <c r="S114" s="1"/>
      <c r="T114" s="1">
        <f>SUM(OSRRefT22_12x_0)</f>
        <v>700</v>
      </c>
      <c r="U114" s="1"/>
      <c r="V114" s="5">
        <f t="shared" si="67"/>
        <v>3.2831480699779562E-3</v>
      </c>
      <c r="W114" s="1"/>
      <c r="X114" s="1">
        <f t="shared" si="68"/>
        <v>-620</v>
      </c>
      <c r="Y114" s="1"/>
      <c r="Z114" s="5">
        <f t="shared" si="69"/>
        <v>-0.88571428571428568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>
        <v>80</v>
      </c>
      <c r="E115" s="2"/>
      <c r="F115" s="7">
        <f t="shared" si="62"/>
        <v>1.0996020952368129E-3</v>
      </c>
      <c r="G115" s="2"/>
      <c r="H115" s="6">
        <v>175</v>
      </c>
      <c r="I115" s="2"/>
      <c r="J115" s="7">
        <f t="shared" si="63"/>
        <v>2.1374829001367989E-3</v>
      </c>
      <c r="K115" s="2"/>
      <c r="L115" s="6">
        <f t="shared" si="64"/>
        <v>-95</v>
      </c>
      <c r="M115" s="2"/>
      <c r="N115" s="7">
        <f t="shared" si="65"/>
        <v>-0.54285714285714282</v>
      </c>
      <c r="O115" s="11"/>
      <c r="P115" s="6">
        <v>80</v>
      </c>
      <c r="Q115" s="2"/>
      <c r="R115" s="7">
        <f t="shared" si="66"/>
        <v>3.9778709052604915E-4</v>
      </c>
      <c r="S115" s="2"/>
      <c r="T115" s="6">
        <v>700</v>
      </c>
      <c r="U115" s="2"/>
      <c r="V115" s="7">
        <f t="shared" si="67"/>
        <v>3.2831480699779562E-3</v>
      </c>
      <c r="W115" s="2"/>
      <c r="X115" s="6">
        <f t="shared" si="68"/>
        <v>-620</v>
      </c>
      <c r="Y115" s="2"/>
      <c r="Z115" s="7">
        <f t="shared" si="69"/>
        <v>-0.88571428571428568</v>
      </c>
    </row>
    <row r="116" spans="1:26" s="61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25">
      <c r="A117" s="10"/>
      <c r="B117" s="29" t="s">
        <v>0</v>
      </c>
      <c r="C117" s="10"/>
      <c r="D117" s="4">
        <f>SUM(0)</f>
        <v>0</v>
      </c>
      <c r="E117" s="4"/>
      <c r="F117" s="12">
        <f>IF(D$12=0,0,D117/D$12)</f>
        <v>0</v>
      </c>
      <c r="G117" s="4"/>
      <c r="H117" s="4">
        <f>SUM(0)</f>
        <v>0</v>
      </c>
      <c r="I117" s="4"/>
      <c r="J117" s="12">
        <f>IF(H$12=0,0,H117/H$12)</f>
        <v>0</v>
      </c>
      <c r="K117" s="4"/>
      <c r="L117" s="4">
        <f>+D117-H117</f>
        <v>0</v>
      </c>
      <c r="M117" s="4"/>
      <c r="N117" s="12">
        <f>IF(H117=0,0,L117/H117)</f>
        <v>0</v>
      </c>
      <c r="O117" s="10"/>
      <c r="P117" s="4">
        <f>SUM(0)</f>
        <v>0</v>
      </c>
      <c r="Q117" s="4"/>
      <c r="R117" s="12">
        <f>IF(P$12=0,0,P117/P$12)</f>
        <v>0</v>
      </c>
      <c r="S117" s="4"/>
      <c r="T117" s="4">
        <f>SUM(0)</f>
        <v>0</v>
      </c>
      <c r="U117" s="4"/>
      <c r="V117" s="12">
        <f>IF(T$12=0,0,T117/T$12)</f>
        <v>0</v>
      </c>
      <c r="W117" s="4"/>
      <c r="X117" s="4">
        <f>+P117-T117</f>
        <v>0</v>
      </c>
      <c r="Y117" s="4"/>
      <c r="Z117" s="12">
        <f>IF(T117=0,0,X117/T117)</f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8" t="s">
        <v>3</v>
      </c>
      <c r="C119" s="28"/>
      <c r="D119" s="22">
        <f>+D66-D68+D117</f>
        <v>18648.119999999981</v>
      </c>
      <c r="E119" s="14"/>
      <c r="F119" s="20">
        <f>IF(D$12=0,0,D119/D$12)</f>
        <v>0.25631889780284367</v>
      </c>
      <c r="G119" s="14"/>
      <c r="H119" s="22">
        <f>+H66-H68+H117</f>
        <v>30108.903774999999</v>
      </c>
      <c r="I119" s="14"/>
      <c r="J119" s="20">
        <f>IF(H$12=0,0,H119/H$12)</f>
        <v>0.36775581120529605</v>
      </c>
      <c r="K119" s="16"/>
      <c r="L119" s="22">
        <f>+D119-H119</f>
        <v>-11460.783775000018</v>
      </c>
      <c r="M119" s="16"/>
      <c r="N119" s="20">
        <f>IF(H119=0,0,L119/H119)</f>
        <v>-0.38064433898507216</v>
      </c>
      <c r="O119" s="29"/>
      <c r="P119" s="22">
        <f>+P66-P68+P117</f>
        <v>48961.419999999933</v>
      </c>
      <c r="Q119" s="14"/>
      <c r="R119" s="20">
        <f>IF(P$12=0,0,P119/P$12)</f>
        <v>0.24345276012279859</v>
      </c>
      <c r="S119" s="14"/>
      <c r="T119" s="22">
        <f>+T66-T68+T117</f>
        <v>73045.200841000013</v>
      </c>
      <c r="U119" s="14"/>
      <c r="V119" s="20">
        <f>IF(T$12=0,0,T119/T$12)</f>
        <v>0.34259744308897339</v>
      </c>
      <c r="W119" s="16"/>
      <c r="X119" s="22">
        <f>+P119-T119</f>
        <v>-24083.78084100008</v>
      </c>
      <c r="Y119" s="16"/>
      <c r="Z119" s="20">
        <f>IF(T119=0,0,X119/T119)</f>
        <v>-0.32971065263307398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14</v>
      </c>
      <c r="C121" s="10"/>
      <c r="D121" s="4">
        <v>6457.05</v>
      </c>
      <c r="E121" s="4"/>
      <c r="F121" s="12">
        <f>IF(D$12=0,0,D121/D$12)</f>
        <v>8.8752321363110787E-2</v>
      </c>
      <c r="G121" s="4"/>
      <c r="H121" s="4">
        <v>9063</v>
      </c>
      <c r="I121" s="4"/>
      <c r="J121" s="12">
        <f>IF(H$12=0,0,H121/H$12)</f>
        <v>0.11069718585108462</v>
      </c>
      <c r="K121" s="4"/>
      <c r="L121" s="4">
        <f>+D121-H121</f>
        <v>-2605.9499999999998</v>
      </c>
      <c r="M121" s="4"/>
      <c r="N121" s="12">
        <f>IF(H121=0,0,L121/H121)</f>
        <v>-0.28753723932472691</v>
      </c>
      <c r="O121" s="10"/>
      <c r="P121" s="4">
        <v>20244.510000000002</v>
      </c>
      <c r="Q121" s="4"/>
      <c r="R121" s="12">
        <f>IF(P$12=0,0,P121/P$12)</f>
        <v>0.10066255915031885</v>
      </c>
      <c r="S121" s="4"/>
      <c r="T121" s="4">
        <v>25675</v>
      </c>
      <c r="U121" s="4"/>
      <c r="V121" s="12">
        <f>IF(T$12=0,0,T121/T$12)</f>
        <v>0.12042118099526289</v>
      </c>
      <c r="W121" s="4"/>
      <c r="X121" s="4">
        <f>+P121-T121</f>
        <v>-5430.489999999998</v>
      </c>
      <c r="Y121" s="4"/>
      <c r="Z121" s="12">
        <f>IF(T121=0,0,X121/T121)</f>
        <v>-0.2115088607594936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4</v>
      </c>
      <c r="C123" s="28"/>
      <c r="D123" s="31">
        <f>+D119-D121</f>
        <v>12191.069999999982</v>
      </c>
      <c r="E123" s="14"/>
      <c r="F123" s="33">
        <f>IF(D$12=0,0,D123/D$12)</f>
        <v>0.16756657643973291</v>
      </c>
      <c r="G123" s="14"/>
      <c r="H123" s="31">
        <f>+H119-H121</f>
        <v>21045.903774999999</v>
      </c>
      <c r="I123" s="14"/>
      <c r="J123" s="33">
        <f>IF(H$12=0,0,H123/H$12)</f>
        <v>0.25705862535421142</v>
      </c>
      <c r="K123" s="16"/>
      <c r="L123" s="31">
        <f>D123-H123</f>
        <v>-8854.8337750000173</v>
      </c>
      <c r="M123" s="16"/>
      <c r="N123" s="33">
        <f>IF(H123=0,0,L123/H123)</f>
        <v>-0.42073906018322171</v>
      </c>
      <c r="O123" s="29"/>
      <c r="P123" s="31">
        <f>+P119-P121</f>
        <v>28716.909999999931</v>
      </c>
      <c r="Q123" s="14"/>
      <c r="R123" s="33">
        <f>IF(P$12=0,0,P123/P$12)</f>
        <v>0.14279020097247974</v>
      </c>
      <c r="S123" s="14"/>
      <c r="T123" s="31">
        <f>+T119-T121</f>
        <v>47370.200841000013</v>
      </c>
      <c r="U123" s="14"/>
      <c r="V123" s="33">
        <f>IF(T$12=0,0,T123/T$12)</f>
        <v>0.2221762620937105</v>
      </c>
      <c r="W123" s="16"/>
      <c r="X123" s="31">
        <f>P123-T123</f>
        <v>-18653.290841000082</v>
      </c>
      <c r="Y123" s="16"/>
      <c r="Z123" s="33">
        <f>IF(T123=0,0,X123/T123)</f>
        <v>-0.39377690003068816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5</v>
      </c>
      <c r="C126" s="28"/>
      <c r="D126" s="32">
        <f>SUM(D123:D125)</f>
        <v>12191.069999999982</v>
      </c>
      <c r="E126" s="14"/>
      <c r="F126" s="34">
        <f>IF(D$12=0,0,D126/D$12)</f>
        <v>0.16756657643973291</v>
      </c>
      <c r="G126" s="14"/>
      <c r="H126" s="32">
        <f>SUM(H123:H125)</f>
        <v>21045.903774999999</v>
      </c>
      <c r="I126" s="14"/>
      <c r="J126" s="34">
        <f>IF(H$12=0,0,H126/H$12)</f>
        <v>0.25705862535421142</v>
      </c>
      <c r="K126" s="16"/>
      <c r="L126" s="32">
        <f>+D126-H126</f>
        <v>-8854.8337750000173</v>
      </c>
      <c r="M126" s="16"/>
      <c r="N126" s="34">
        <f>IF(H126=0,0,L126/H126)</f>
        <v>-0.42073906018322171</v>
      </c>
      <c r="O126" s="29"/>
      <c r="P126" s="32">
        <f>SUM(P123:P125)</f>
        <v>28716.909999999931</v>
      </c>
      <c r="Q126" s="14"/>
      <c r="R126" s="34">
        <f>IF(P$12=0,0,P126/P$12)</f>
        <v>0.14279020097247974</v>
      </c>
      <c r="S126" s="14"/>
      <c r="T126" s="32">
        <f>SUM(T123:T125)</f>
        <v>47370.200841000013</v>
      </c>
      <c r="U126" s="14"/>
      <c r="V126" s="34">
        <f>IF(T$12=0,0,T126/T$12)</f>
        <v>0.2221762620937105</v>
      </c>
      <c r="W126" s="16"/>
      <c r="X126" s="32">
        <f>+P126-T126</f>
        <v>-18653.290841000082</v>
      </c>
      <c r="Y126" s="16"/>
      <c r="Z126" s="34">
        <f>IF(T126=0,0,X126/T126)</f>
        <v>-0.39377690003068816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0">
        <v>43791.348110069448</v>
      </c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4" t="s">
        <v>314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5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","314", " - ", "Supplies")</f>
        <v>Department 314 - Supplies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43050.419999999991</v>
      </c>
      <c r="E12" s="4"/>
      <c r="F12" s="12"/>
      <c r="G12" s="4"/>
      <c r="H12" s="4">
        <f>SUM(OSRRefH13x_0)</f>
        <v>44188</v>
      </c>
      <c r="I12" s="4"/>
      <c r="J12" s="12"/>
      <c r="K12" s="4"/>
      <c r="L12" s="4">
        <f t="shared" ref="L12:L34" si="0">+D12-H12</f>
        <v>-1137.580000000009</v>
      </c>
      <c r="M12" s="4"/>
      <c r="N12" s="12">
        <f t="shared" ref="N12:N34" si="1">IF(H12=0,0,L12/H12)</f>
        <v>-2.5744093419027995E-2</v>
      </c>
      <c r="O12" s="10"/>
      <c r="P12" s="4">
        <f>SUM(OSRRefP13x_0)</f>
        <v>205420.35</v>
      </c>
      <c r="Q12" s="4"/>
      <c r="R12" s="12"/>
      <c r="S12" s="4"/>
      <c r="T12" s="4">
        <f>SUM(OSRRefT13x_0)</f>
        <v>229598</v>
      </c>
      <c r="U12" s="4"/>
      <c r="V12" s="12"/>
      <c r="W12" s="4"/>
      <c r="X12" s="4">
        <f t="shared" ref="X12:X34" si="2">+P12-T12</f>
        <v>-24177.649999999994</v>
      </c>
      <c r="Y12" s="4"/>
      <c r="Z12" s="12">
        <f t="shared" ref="Z12:Z34" si="3">IF(T12=0,0,X12/T12)</f>
        <v>-0.10530427094312665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40653</v>
      </c>
      <c r="I13" s="2"/>
      <c r="J13" s="19"/>
      <c r="K13" s="2"/>
      <c r="L13" s="2">
        <f t="shared" si="0"/>
        <v>-40653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211231</v>
      </c>
      <c r="U13" s="2"/>
      <c r="V13" s="19"/>
      <c r="W13" s="2"/>
      <c r="X13" s="2">
        <f t="shared" si="2"/>
        <v>-211231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--2.98</f>
        <v>2.98</v>
      </c>
      <c r="E14" s="2"/>
      <c r="F14" s="19"/>
      <c r="G14" s="2"/>
      <c r="H14" s="2"/>
      <c r="I14" s="2"/>
      <c r="J14" s="19"/>
      <c r="K14" s="2"/>
      <c r="L14" s="2">
        <f t="shared" si="0"/>
        <v>2.98</v>
      </c>
      <c r="M14" s="2"/>
      <c r="N14" s="19">
        <f t="shared" si="1"/>
        <v>0</v>
      </c>
      <c r="O14" s="11"/>
      <c r="P14" s="2">
        <f>--209.2</f>
        <v>209.2</v>
      </c>
      <c r="Q14" s="2"/>
      <c r="R14" s="19"/>
      <c r="S14" s="2"/>
      <c r="T14" s="2"/>
      <c r="U14" s="2"/>
      <c r="V14" s="19"/>
      <c r="W14" s="2"/>
      <c r="X14" s="2">
        <f t="shared" si="2"/>
        <v>209.2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--14.95</f>
        <v>14.95</v>
      </c>
      <c r="E15" s="2"/>
      <c r="F15" s="19"/>
      <c r="G15" s="2"/>
      <c r="H15" s="2"/>
      <c r="I15" s="2"/>
      <c r="J15" s="19"/>
      <c r="K15" s="2"/>
      <c r="L15" s="2">
        <f t="shared" si="0"/>
        <v>14.95</v>
      </c>
      <c r="M15" s="2"/>
      <c r="N15" s="19">
        <f t="shared" si="1"/>
        <v>0</v>
      </c>
      <c r="O15" s="11"/>
      <c r="P15" s="2">
        <f>--29.9</f>
        <v>29.9</v>
      </c>
      <c r="Q15" s="2"/>
      <c r="R15" s="19"/>
      <c r="S15" s="2"/>
      <c r="T15" s="2"/>
      <c r="U15" s="2"/>
      <c r="V15" s="19"/>
      <c r="W15" s="2"/>
      <c r="X15" s="2">
        <f t="shared" si="2"/>
        <v>29.9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--9414.57</f>
        <v>9414.57</v>
      </c>
      <c r="E16" s="2"/>
      <c r="F16" s="19"/>
      <c r="G16" s="2"/>
      <c r="H16" s="2"/>
      <c r="I16" s="2"/>
      <c r="J16" s="19"/>
      <c r="K16" s="2"/>
      <c r="L16" s="2">
        <f t="shared" si="0"/>
        <v>9414.57</v>
      </c>
      <c r="M16" s="2"/>
      <c r="N16" s="19">
        <f t="shared" si="1"/>
        <v>0</v>
      </c>
      <c r="O16" s="11"/>
      <c r="P16" s="2">
        <f>--25211.88</f>
        <v>25211.88</v>
      </c>
      <c r="Q16" s="2"/>
      <c r="R16" s="19"/>
      <c r="S16" s="2"/>
      <c r="T16" s="2"/>
      <c r="U16" s="2"/>
      <c r="V16" s="19"/>
      <c r="W16" s="2"/>
      <c r="X16" s="2">
        <f t="shared" si="2"/>
        <v>25211.88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--11350.78</f>
        <v>11350.78</v>
      </c>
      <c r="E17" s="2"/>
      <c r="F17" s="19"/>
      <c r="G17" s="2"/>
      <c r="H17" s="2"/>
      <c r="I17" s="2"/>
      <c r="J17" s="19"/>
      <c r="K17" s="2"/>
      <c r="L17" s="2">
        <f t="shared" si="0"/>
        <v>11350.78</v>
      </c>
      <c r="M17" s="2"/>
      <c r="N17" s="19">
        <f t="shared" si="1"/>
        <v>0</v>
      </c>
      <c r="O17" s="11"/>
      <c r="P17" s="2">
        <f>--34245.79</f>
        <v>34245.79</v>
      </c>
      <c r="Q17" s="2"/>
      <c r="R17" s="19"/>
      <c r="S17" s="2"/>
      <c r="T17" s="2"/>
      <c r="U17" s="2"/>
      <c r="V17" s="19"/>
      <c r="W17" s="2"/>
      <c r="X17" s="2">
        <f t="shared" si="2"/>
        <v>34245.79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--20132.79</f>
        <v>20132.79</v>
      </c>
      <c r="E18" s="2"/>
      <c r="F18" s="19"/>
      <c r="G18" s="2"/>
      <c r="H18" s="2"/>
      <c r="I18" s="2"/>
      <c r="J18" s="19"/>
      <c r="K18" s="2"/>
      <c r="L18" s="2">
        <f t="shared" si="0"/>
        <v>20132.79</v>
      </c>
      <c r="M18" s="2"/>
      <c r="N18" s="19">
        <f t="shared" si="1"/>
        <v>0</v>
      </c>
      <c r="O18" s="11"/>
      <c r="P18" s="2">
        <f>--138983.15</f>
        <v>138983.15</v>
      </c>
      <c r="Q18" s="2"/>
      <c r="R18" s="19"/>
      <c r="S18" s="2"/>
      <c r="T18" s="2"/>
      <c r="U18" s="2"/>
      <c r="V18" s="19"/>
      <c r="W18" s="2"/>
      <c r="X18" s="2">
        <f t="shared" si="2"/>
        <v>138983.15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--1708.81</f>
        <v>1708.81</v>
      </c>
      <c r="E19" s="2"/>
      <c r="F19" s="19"/>
      <c r="G19" s="2"/>
      <c r="H19" s="2"/>
      <c r="I19" s="2"/>
      <c r="J19" s="19"/>
      <c r="K19" s="2"/>
      <c r="L19" s="2">
        <f t="shared" si="0"/>
        <v>1708.81</v>
      </c>
      <c r="M19" s="2"/>
      <c r="N19" s="19">
        <f t="shared" si="1"/>
        <v>0</v>
      </c>
      <c r="O19" s="11"/>
      <c r="P19" s="2">
        <f>--5839.34</f>
        <v>5839.34</v>
      </c>
      <c r="Q19" s="2"/>
      <c r="R19" s="19"/>
      <c r="S19" s="2"/>
      <c r="T19" s="2"/>
      <c r="U19" s="2"/>
      <c r="V19" s="19"/>
      <c r="W19" s="2"/>
      <c r="X19" s="2">
        <f t="shared" si="2"/>
        <v>5839.34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2" si="4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3535</v>
      </c>
      <c r="I21" s="2"/>
      <c r="J21" s="19"/>
      <c r="K21" s="2"/>
      <c r="L21" s="2">
        <f t="shared" si="0"/>
        <v>-3535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18367</v>
      </c>
      <c r="U21" s="2"/>
      <c r="V21" s="19"/>
      <c r="W21" s="2"/>
      <c r="X21" s="2">
        <f t="shared" si="2"/>
        <v>-18367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--124.18</f>
        <v>124.18</v>
      </c>
      <c r="Q22" s="2"/>
      <c r="R22" s="19"/>
      <c r="S22" s="2"/>
      <c r="T22" s="2"/>
      <c r="U22" s="2"/>
      <c r="V22" s="19"/>
      <c r="W22" s="2"/>
      <c r="X22" s="2">
        <f t="shared" si="2"/>
        <v>124.18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--115.27</f>
        <v>115.27</v>
      </c>
      <c r="E23" s="2"/>
      <c r="F23" s="19"/>
      <c r="G23" s="2"/>
      <c r="H23" s="2"/>
      <c r="I23" s="2"/>
      <c r="J23" s="19"/>
      <c r="K23" s="2"/>
      <c r="L23" s="2">
        <f t="shared" si="0"/>
        <v>115.27</v>
      </c>
      <c r="M23" s="2"/>
      <c r="N23" s="19">
        <f t="shared" si="1"/>
        <v>0</v>
      </c>
      <c r="O23" s="11"/>
      <c r="P23" s="2">
        <f>--1458.53</f>
        <v>1458.53</v>
      </c>
      <c r="Q23" s="2"/>
      <c r="R23" s="19"/>
      <c r="S23" s="2"/>
      <c r="T23" s="2"/>
      <c r="U23" s="2"/>
      <c r="V23" s="19"/>
      <c r="W23" s="2"/>
      <c r="X23" s="2">
        <f t="shared" si="2"/>
        <v>1458.53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--178.54</f>
        <v>178.54</v>
      </c>
      <c r="E24" s="2"/>
      <c r="F24" s="19"/>
      <c r="G24" s="2"/>
      <c r="H24" s="2"/>
      <c r="I24" s="2"/>
      <c r="J24" s="19"/>
      <c r="K24" s="2"/>
      <c r="L24" s="2">
        <f t="shared" si="0"/>
        <v>178.54</v>
      </c>
      <c r="M24" s="2"/>
      <c r="N24" s="19">
        <f t="shared" si="1"/>
        <v>0</v>
      </c>
      <c r="O24" s="11"/>
      <c r="P24" s="2">
        <f>--2584.95</f>
        <v>2584.9499999999998</v>
      </c>
      <c r="Q24" s="2"/>
      <c r="R24" s="19"/>
      <c r="S24" s="2"/>
      <c r="T24" s="2"/>
      <c r="U24" s="2"/>
      <c r="V24" s="19"/>
      <c r="W24" s="2"/>
      <c r="X24" s="2">
        <f t="shared" si="2"/>
        <v>2584.9499999999998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--32.63</f>
        <v>32.630000000000003</v>
      </c>
      <c r="E25" s="2"/>
      <c r="F25" s="19"/>
      <c r="G25" s="2"/>
      <c r="H25" s="2"/>
      <c r="I25" s="2"/>
      <c r="J25" s="19"/>
      <c r="K25" s="2"/>
      <c r="L25" s="2">
        <f t="shared" si="0"/>
        <v>32.630000000000003</v>
      </c>
      <c r="M25" s="2"/>
      <c r="N25" s="19">
        <f t="shared" si="1"/>
        <v>0</v>
      </c>
      <c r="O25" s="11"/>
      <c r="P25" s="2">
        <f>--253.32</f>
        <v>253.32</v>
      </c>
      <c r="Q25" s="2"/>
      <c r="R25" s="19"/>
      <c r="S25" s="2"/>
      <c r="T25" s="2"/>
      <c r="U25" s="2"/>
      <c r="V25" s="19"/>
      <c r="W25" s="2"/>
      <c r="X25" s="2">
        <f t="shared" si="2"/>
        <v>253.32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--198.67</f>
        <v>198.67</v>
      </c>
      <c r="E26" s="2"/>
      <c r="F26" s="19"/>
      <c r="G26" s="2"/>
      <c r="H26" s="2"/>
      <c r="I26" s="2"/>
      <c r="J26" s="19"/>
      <c r="K26" s="2"/>
      <c r="L26" s="2">
        <f t="shared" si="0"/>
        <v>198.67</v>
      </c>
      <c r="M26" s="2"/>
      <c r="N26" s="19">
        <f t="shared" si="1"/>
        <v>0</v>
      </c>
      <c r="O26" s="11"/>
      <c r="P26" s="2">
        <f>--703.67</f>
        <v>703.67</v>
      </c>
      <c r="Q26" s="2"/>
      <c r="R26" s="19"/>
      <c r="S26" s="2"/>
      <c r="T26" s="2"/>
      <c r="U26" s="2"/>
      <c r="V26" s="19"/>
      <c r="W26" s="2"/>
      <c r="X26" s="2">
        <f t="shared" si="2"/>
        <v>703.67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--273.05</f>
        <v>273.05</v>
      </c>
      <c r="E27" s="2"/>
      <c r="F27" s="19"/>
      <c r="G27" s="2"/>
      <c r="H27" s="2"/>
      <c r="I27" s="2"/>
      <c r="J27" s="19"/>
      <c r="K27" s="2"/>
      <c r="L27" s="2">
        <f t="shared" si="0"/>
        <v>273.05</v>
      </c>
      <c r="M27" s="2"/>
      <c r="N27" s="19">
        <f t="shared" si="1"/>
        <v>0</v>
      </c>
      <c r="O27" s="11"/>
      <c r="P27" s="2">
        <f>--1145.4</f>
        <v>1145.4000000000001</v>
      </c>
      <c r="Q27" s="2"/>
      <c r="R27" s="19"/>
      <c r="S27" s="2"/>
      <c r="T27" s="2"/>
      <c r="U27" s="2"/>
      <c r="V27" s="19"/>
      <c r="W27" s="2"/>
      <c r="X27" s="2">
        <f t="shared" si="2"/>
        <v>1145.4000000000001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>-2.98</f>
        <v>-2.98</v>
      </c>
      <c r="E29" s="2"/>
      <c r="F29" s="19"/>
      <c r="G29" s="2"/>
      <c r="H29" s="2"/>
      <c r="I29" s="2"/>
      <c r="J29" s="19"/>
      <c r="K29" s="2"/>
      <c r="L29" s="2">
        <f t="shared" si="0"/>
        <v>-2.98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-7.96</f>
        <v>-7.96</v>
      </c>
      <c r="E30" s="2"/>
      <c r="F30" s="19"/>
      <c r="G30" s="2"/>
      <c r="H30" s="2"/>
      <c r="I30" s="2"/>
      <c r="J30" s="19"/>
      <c r="K30" s="2"/>
      <c r="L30" s="2">
        <f t="shared" si="0"/>
        <v>-7.96</v>
      </c>
      <c r="M30" s="2"/>
      <c r="N30" s="19">
        <f t="shared" si="1"/>
        <v>0</v>
      </c>
      <c r="O30" s="11"/>
      <c r="P30" s="2">
        <f>-41.06</f>
        <v>-41.06</v>
      </c>
      <c r="Q30" s="2"/>
      <c r="R30" s="19"/>
      <c r="S30" s="2"/>
      <c r="T30" s="2"/>
      <c r="U30" s="2"/>
      <c r="V30" s="19"/>
      <c r="W30" s="2"/>
      <c r="X30" s="2">
        <f t="shared" si="2"/>
        <v>-41.06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-32.1</f>
        <v>-32.1</v>
      </c>
      <c r="E31" s="2"/>
      <c r="F31" s="19"/>
      <c r="G31" s="2"/>
      <c r="H31" s="2"/>
      <c r="I31" s="2"/>
      <c r="J31" s="19"/>
      <c r="K31" s="2"/>
      <c r="L31" s="2">
        <f t="shared" si="0"/>
        <v>-32.1</v>
      </c>
      <c r="M31" s="2"/>
      <c r="N31" s="19">
        <f t="shared" si="1"/>
        <v>0</v>
      </c>
      <c r="O31" s="11"/>
      <c r="P31" s="2">
        <f>-338.18</f>
        <v>-338.18</v>
      </c>
      <c r="Q31" s="2"/>
      <c r="R31" s="19"/>
      <c r="S31" s="2"/>
      <c r="T31" s="2"/>
      <c r="U31" s="2"/>
      <c r="V31" s="19"/>
      <c r="W31" s="2"/>
      <c r="X31" s="2">
        <f t="shared" si="2"/>
        <v>-338.18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-324.85</f>
        <v>-324.85000000000002</v>
      </c>
      <c r="E32" s="2"/>
      <c r="F32" s="19"/>
      <c r="G32" s="2"/>
      <c r="H32" s="2"/>
      <c r="I32" s="2"/>
      <c r="J32" s="19"/>
      <c r="K32" s="2"/>
      <c r="L32" s="2">
        <f t="shared" si="0"/>
        <v>-324.85000000000002</v>
      </c>
      <c r="M32" s="2"/>
      <c r="N32" s="19">
        <f t="shared" si="1"/>
        <v>0</v>
      </c>
      <c r="O32" s="11"/>
      <c r="P32" s="2">
        <f>-4804.26</f>
        <v>-4804.26</v>
      </c>
      <c r="Q32" s="2"/>
      <c r="R32" s="19"/>
      <c r="S32" s="2"/>
      <c r="T32" s="2"/>
      <c r="U32" s="2"/>
      <c r="V32" s="19"/>
      <c r="W32" s="2"/>
      <c r="X32" s="2">
        <f t="shared" si="2"/>
        <v>-4804.26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-4.73</f>
        <v>-4.7300000000000004</v>
      </c>
      <c r="E33" s="2"/>
      <c r="F33" s="19"/>
      <c r="G33" s="2"/>
      <c r="H33" s="2"/>
      <c r="I33" s="2"/>
      <c r="J33" s="19"/>
      <c r="K33" s="2"/>
      <c r="L33" s="2">
        <f t="shared" si="0"/>
        <v>-4.7300000000000004</v>
      </c>
      <c r="M33" s="2"/>
      <c r="N33" s="19">
        <f t="shared" si="1"/>
        <v>0</v>
      </c>
      <c r="O33" s="11"/>
      <c r="P33" s="2">
        <f>-226.97</f>
        <v>-226.97</v>
      </c>
      <c r="Q33" s="2"/>
      <c r="R33" s="19"/>
      <c r="S33" s="2"/>
      <c r="T33" s="2"/>
      <c r="U33" s="2"/>
      <c r="V33" s="19"/>
      <c r="W33" s="2"/>
      <c r="X33" s="2">
        <f t="shared" si="2"/>
        <v>-226.97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20551.25</v>
      </c>
      <c r="E36" s="4"/>
      <c r="F36" s="12">
        <f t="shared" ref="F36:F52" si="5">IF(D$12=0,0,D36/D$12)</f>
        <v>0.47737629505124468</v>
      </c>
      <c r="G36" s="4"/>
      <c r="H36" s="4">
        <f>SUM(OSRRefH16x_0)</f>
        <v>22536</v>
      </c>
      <c r="I36" s="4"/>
      <c r="J36" s="12">
        <f t="shared" ref="J36:J52" si="6">IF(H$12=0,0,H36/H$12)</f>
        <v>0.51000271566941247</v>
      </c>
      <c r="K36" s="4"/>
      <c r="L36" s="4">
        <f t="shared" ref="L36:L52" si="7">+D36-H36</f>
        <v>-1984.75</v>
      </c>
      <c r="M36" s="4"/>
      <c r="N36" s="12">
        <f t="shared" ref="N36:N52" si="8">IF(H36=0,0,L36/H36)</f>
        <v>-8.8070198793042245E-2</v>
      </c>
      <c r="O36" s="10"/>
      <c r="P36" s="4">
        <f>SUM(OSRRefP16x_0)</f>
        <v>95179.010000000024</v>
      </c>
      <c r="Q36" s="4"/>
      <c r="R36" s="12">
        <f t="shared" ref="R36:R52" si="9">IF(P$12=0,0,P36/P$12)</f>
        <v>0.46333778518048491</v>
      </c>
      <c r="S36" s="4"/>
      <c r="T36" s="4">
        <f>SUM(OSRRefT16x_0)</f>
        <v>117094</v>
      </c>
      <c r="U36" s="4"/>
      <c r="V36" s="12">
        <f t="shared" ref="V36:V52" si="10">IF(T$12=0,0,T36/T$12)</f>
        <v>0.50999573167013645</v>
      </c>
      <c r="W36" s="4"/>
      <c r="X36" s="4">
        <f t="shared" ref="X36:X52" si="11">+P36-T36</f>
        <v>-21914.989999999976</v>
      </c>
      <c r="Y36" s="4"/>
      <c r="Z36" s="12">
        <f t="shared" ref="Z36:Z52" si="12">IF(T36=0,0,X36/T36)</f>
        <v>-0.18715724119083793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5"/>
        <v>0</v>
      </c>
      <c r="G37" s="2"/>
      <c r="H37" s="2">
        <v>22536</v>
      </c>
      <c r="I37" s="2"/>
      <c r="J37" s="19">
        <f t="shared" si="6"/>
        <v>0.51000271566941247</v>
      </c>
      <c r="K37" s="2"/>
      <c r="L37" s="2">
        <f t="shared" si="7"/>
        <v>-22536</v>
      </c>
      <c r="M37" s="2"/>
      <c r="N37" s="19">
        <f t="shared" si="8"/>
        <v>-1</v>
      </c>
      <c r="O37" s="11"/>
      <c r="P37" s="2"/>
      <c r="Q37" s="2"/>
      <c r="R37" s="19">
        <f t="shared" si="9"/>
        <v>0</v>
      </c>
      <c r="S37" s="2"/>
      <c r="T37" s="2">
        <v>117094</v>
      </c>
      <c r="U37" s="2"/>
      <c r="V37" s="19">
        <f t="shared" si="10"/>
        <v>0.50999573167013645</v>
      </c>
      <c r="W37" s="2"/>
      <c r="X37" s="2">
        <f t="shared" si="11"/>
        <v>-117094</v>
      </c>
      <c r="Y37" s="2"/>
      <c r="Z37" s="19">
        <f t="shared" si="12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0</v>
      </c>
      <c r="Q38" s="2"/>
      <c r="R38" s="19">
        <f t="shared" si="9"/>
        <v>0</v>
      </c>
      <c r="S38" s="2"/>
      <c r="T38" s="2"/>
      <c r="U38" s="2"/>
      <c r="V38" s="19">
        <f t="shared" si="10"/>
        <v>0</v>
      </c>
      <c r="W38" s="2"/>
      <c r="X38" s="2">
        <f t="shared" si="11"/>
        <v>0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-294.16000000000003</v>
      </c>
      <c r="E39" s="2"/>
      <c r="F39" s="19">
        <f t="shared" si="5"/>
        <v>-6.8329182386606237E-3</v>
      </c>
      <c r="G39" s="2"/>
      <c r="H39" s="2"/>
      <c r="I39" s="2"/>
      <c r="J39" s="19">
        <f t="shared" si="6"/>
        <v>0</v>
      </c>
      <c r="K39" s="2"/>
      <c r="L39" s="2">
        <f t="shared" si="7"/>
        <v>-294.16000000000003</v>
      </c>
      <c r="M39" s="2"/>
      <c r="N39" s="19">
        <f t="shared" si="8"/>
        <v>0</v>
      </c>
      <c r="O39" s="11"/>
      <c r="P39" s="2">
        <v>2814.01</v>
      </c>
      <c r="Q39" s="2"/>
      <c r="R39" s="19">
        <f t="shared" si="9"/>
        <v>1.3698788849303393E-2</v>
      </c>
      <c r="S39" s="2"/>
      <c r="T39" s="2"/>
      <c r="U39" s="2"/>
      <c r="V39" s="19">
        <f t="shared" si="10"/>
        <v>0</v>
      </c>
      <c r="W39" s="2"/>
      <c r="X39" s="2">
        <f t="shared" si="11"/>
        <v>2814.01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9210.39</v>
      </c>
      <c r="E40" s="2"/>
      <c r="F40" s="19">
        <f t="shared" si="5"/>
        <v>0.21394425420239804</v>
      </c>
      <c r="G40" s="2"/>
      <c r="H40" s="2"/>
      <c r="I40" s="2"/>
      <c r="J40" s="19">
        <f t="shared" si="6"/>
        <v>0</v>
      </c>
      <c r="K40" s="2"/>
      <c r="L40" s="2">
        <f t="shared" si="7"/>
        <v>9210.39</v>
      </c>
      <c r="M40" s="2"/>
      <c r="N40" s="19">
        <f t="shared" si="8"/>
        <v>0</v>
      </c>
      <c r="O40" s="11"/>
      <c r="P40" s="2">
        <v>23500.1</v>
      </c>
      <c r="Q40" s="2"/>
      <c r="R40" s="19">
        <f t="shared" si="9"/>
        <v>0.11440005822207974</v>
      </c>
      <c r="S40" s="2"/>
      <c r="T40" s="2"/>
      <c r="U40" s="2"/>
      <c r="V40" s="19">
        <f t="shared" si="10"/>
        <v>0</v>
      </c>
      <c r="W40" s="2"/>
      <c r="X40" s="2">
        <f t="shared" si="11"/>
        <v>23500.1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8821.99</v>
      </c>
      <c r="E41" s="2"/>
      <c r="F41" s="19">
        <f t="shared" si="5"/>
        <v>0.20492227485817796</v>
      </c>
      <c r="G41" s="2"/>
      <c r="H41" s="2"/>
      <c r="I41" s="2"/>
      <c r="J41" s="19">
        <f t="shared" si="6"/>
        <v>0</v>
      </c>
      <c r="K41" s="2"/>
      <c r="L41" s="2">
        <f t="shared" si="7"/>
        <v>8821.99</v>
      </c>
      <c r="M41" s="2"/>
      <c r="N41" s="19">
        <f t="shared" si="8"/>
        <v>0</v>
      </c>
      <c r="O41" s="11"/>
      <c r="P41" s="2">
        <v>70213.02</v>
      </c>
      <c r="Q41" s="2"/>
      <c r="R41" s="19">
        <f t="shared" si="9"/>
        <v>0.34180167641618758</v>
      </c>
      <c r="S41" s="2"/>
      <c r="T41" s="2"/>
      <c r="U41" s="2"/>
      <c r="V41" s="19">
        <f t="shared" si="10"/>
        <v>0</v>
      </c>
      <c r="W41" s="2"/>
      <c r="X41" s="2">
        <f t="shared" si="11"/>
        <v>70213.02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194.51</v>
      </c>
      <c r="E42" s="2"/>
      <c r="F42" s="19">
        <f t="shared" si="5"/>
        <v>4.5181905310099192E-3</v>
      </c>
      <c r="G42" s="2"/>
      <c r="H42" s="2"/>
      <c r="I42" s="2"/>
      <c r="J42" s="19">
        <f t="shared" si="6"/>
        <v>0</v>
      </c>
      <c r="K42" s="2"/>
      <c r="L42" s="2">
        <f t="shared" si="7"/>
        <v>194.51</v>
      </c>
      <c r="M42" s="2"/>
      <c r="N42" s="19">
        <f t="shared" si="8"/>
        <v>0</v>
      </c>
      <c r="O42" s="11"/>
      <c r="P42" s="2">
        <v>3273.34</v>
      </c>
      <c r="Q42" s="2"/>
      <c r="R42" s="19">
        <f t="shared" si="9"/>
        <v>1.5934838004121793E-2</v>
      </c>
      <c r="S42" s="2"/>
      <c r="T42" s="2"/>
      <c r="U42" s="2"/>
      <c r="V42" s="19">
        <f t="shared" si="10"/>
        <v>0</v>
      </c>
      <c r="W42" s="2"/>
      <c r="X42" s="2">
        <f t="shared" si="11"/>
        <v>3273.34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18.190000000000001</v>
      </c>
      <c r="E43" s="2"/>
      <c r="F43" s="19">
        <f t="shared" si="5"/>
        <v>4.2252781738250187E-4</v>
      </c>
      <c r="G43" s="2"/>
      <c r="H43" s="2"/>
      <c r="I43" s="2"/>
      <c r="J43" s="19">
        <f t="shared" si="6"/>
        <v>0</v>
      </c>
      <c r="K43" s="2"/>
      <c r="L43" s="2">
        <f t="shared" si="7"/>
        <v>18.190000000000001</v>
      </c>
      <c r="M43" s="2"/>
      <c r="N43" s="19">
        <f t="shared" si="8"/>
        <v>0</v>
      </c>
      <c r="O43" s="11"/>
      <c r="P43" s="2">
        <v>167.3</v>
      </c>
      <c r="Q43" s="2"/>
      <c r="R43" s="19">
        <f t="shared" si="9"/>
        <v>8.1442758714022245E-4</v>
      </c>
      <c r="S43" s="2"/>
      <c r="T43" s="2"/>
      <c r="U43" s="2"/>
      <c r="V43" s="19">
        <f t="shared" si="10"/>
        <v>0</v>
      </c>
      <c r="W43" s="2"/>
      <c r="X43" s="2">
        <f t="shared" si="11"/>
        <v>167.3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73.040000000000006</v>
      </c>
      <c r="E44" s="2"/>
      <c r="F44" s="19">
        <f t="shared" si="5"/>
        <v>1.6966152711169837E-3</v>
      </c>
      <c r="G44" s="2"/>
      <c r="H44" s="2"/>
      <c r="I44" s="2"/>
      <c r="J44" s="19">
        <f t="shared" si="6"/>
        <v>0</v>
      </c>
      <c r="K44" s="2"/>
      <c r="L44" s="2">
        <f t="shared" si="7"/>
        <v>73.040000000000006</v>
      </c>
      <c r="M44" s="2"/>
      <c r="N44" s="19">
        <f t="shared" si="8"/>
        <v>0</v>
      </c>
      <c r="O44" s="11"/>
      <c r="P44" s="2">
        <v>153.99</v>
      </c>
      <c r="Q44" s="2"/>
      <c r="R44" s="19">
        <f t="shared" si="9"/>
        <v>7.496336171172915E-4</v>
      </c>
      <c r="S44" s="2"/>
      <c r="T44" s="2"/>
      <c r="U44" s="2"/>
      <c r="V44" s="19">
        <f t="shared" si="10"/>
        <v>0</v>
      </c>
      <c r="W44" s="2"/>
      <c r="X44" s="2">
        <f t="shared" si="11"/>
        <v>153.99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34.49</v>
      </c>
      <c r="Q45" s="2"/>
      <c r="R45" s="19">
        <f t="shared" si="9"/>
        <v>1.6789962630284682E-4</v>
      </c>
      <c r="S45" s="2"/>
      <c r="T45" s="2"/>
      <c r="U45" s="2"/>
      <c r="V45" s="19">
        <f t="shared" si="10"/>
        <v>0</v>
      </c>
      <c r="W45" s="2"/>
      <c r="X45" s="2">
        <f t="shared" si="11"/>
        <v>34.49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-18395</v>
      </c>
      <c r="E46" s="2"/>
      <c r="F46" s="19">
        <f t="shared" si="5"/>
        <v>-0.4272896756872524</v>
      </c>
      <c r="G46" s="2"/>
      <c r="H46" s="2"/>
      <c r="I46" s="2"/>
      <c r="J46" s="19">
        <f t="shared" si="6"/>
        <v>0</v>
      </c>
      <c r="K46" s="2"/>
      <c r="L46" s="2">
        <f t="shared" si="7"/>
        <v>-18395</v>
      </c>
      <c r="M46" s="2"/>
      <c r="N46" s="19">
        <f t="shared" si="8"/>
        <v>0</v>
      </c>
      <c r="O46" s="11"/>
      <c r="P46" s="2">
        <v>-101022</v>
      </c>
      <c r="Q46" s="2"/>
      <c r="R46" s="19">
        <f t="shared" si="9"/>
        <v>-0.49178185121386464</v>
      </c>
      <c r="S46" s="2"/>
      <c r="T46" s="2"/>
      <c r="U46" s="2"/>
      <c r="V46" s="19">
        <f t="shared" si="10"/>
        <v>0</v>
      </c>
      <c r="W46" s="2"/>
      <c r="X46" s="2">
        <f t="shared" si="11"/>
        <v>-101022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20545</v>
      </c>
      <c r="E47" s="2"/>
      <c r="F47" s="19">
        <f t="shared" si="5"/>
        <v>0.47723111644439253</v>
      </c>
      <c r="G47" s="2"/>
      <c r="H47" s="2"/>
      <c r="I47" s="2"/>
      <c r="J47" s="19">
        <f t="shared" si="6"/>
        <v>0</v>
      </c>
      <c r="K47" s="2"/>
      <c r="L47" s="2">
        <f t="shared" si="7"/>
        <v>20545</v>
      </c>
      <c r="M47" s="2"/>
      <c r="N47" s="19">
        <f t="shared" si="8"/>
        <v>0</v>
      </c>
      <c r="O47" s="11"/>
      <c r="P47" s="2">
        <v>95173</v>
      </c>
      <c r="Q47" s="2"/>
      <c r="R47" s="19">
        <f t="shared" si="9"/>
        <v>0.46330852809860368</v>
      </c>
      <c r="S47" s="2"/>
      <c r="T47" s="2"/>
      <c r="U47" s="2"/>
      <c r="V47" s="19">
        <f t="shared" si="10"/>
        <v>0</v>
      </c>
      <c r="W47" s="2"/>
      <c r="X47" s="2">
        <f t="shared" si="11"/>
        <v>95173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>
        <v>6</v>
      </c>
      <c r="E48" s="2"/>
      <c r="F48" s="19">
        <f t="shared" si="5"/>
        <v>1.3937146257806546E-4</v>
      </c>
      <c r="G48" s="2"/>
      <c r="H48" s="2"/>
      <c r="I48" s="2"/>
      <c r="J48" s="19">
        <f t="shared" si="6"/>
        <v>0</v>
      </c>
      <c r="K48" s="2"/>
      <c r="L48" s="2">
        <f t="shared" si="7"/>
        <v>6</v>
      </c>
      <c r="M48" s="2"/>
      <c r="N48" s="19">
        <f t="shared" si="8"/>
        <v>0</v>
      </c>
      <c r="O48" s="11"/>
      <c r="P48" s="2">
        <v>6</v>
      </c>
      <c r="Q48" s="2"/>
      <c r="R48" s="19">
        <f t="shared" si="9"/>
        <v>2.9208401212440734E-5</v>
      </c>
      <c r="S48" s="2"/>
      <c r="T48" s="2"/>
      <c r="U48" s="2"/>
      <c r="V48" s="19">
        <f t="shared" si="10"/>
        <v>0</v>
      </c>
      <c r="W48" s="2"/>
      <c r="X48" s="2">
        <f t="shared" si="11"/>
        <v>6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39.22</v>
      </c>
      <c r="E49" s="2"/>
      <c r="F49" s="19">
        <f t="shared" si="5"/>
        <v>9.1102479371862129E-4</v>
      </c>
      <c r="G49" s="2"/>
      <c r="H49" s="2"/>
      <c r="I49" s="2"/>
      <c r="J49" s="19">
        <f t="shared" si="6"/>
        <v>0</v>
      </c>
      <c r="K49" s="2"/>
      <c r="L49" s="2">
        <f t="shared" si="7"/>
        <v>39.22</v>
      </c>
      <c r="M49" s="2"/>
      <c r="N49" s="19">
        <f t="shared" si="8"/>
        <v>0</v>
      </c>
      <c r="O49" s="11"/>
      <c r="P49" s="2">
        <v>39.22</v>
      </c>
      <c r="Q49" s="2"/>
      <c r="R49" s="19">
        <f t="shared" si="9"/>
        <v>1.9092558259198758E-4</v>
      </c>
      <c r="S49" s="2"/>
      <c r="T49" s="2"/>
      <c r="U49" s="2"/>
      <c r="V49" s="19">
        <f t="shared" si="10"/>
        <v>0</v>
      </c>
      <c r="W49" s="2"/>
      <c r="X49" s="2">
        <f t="shared" si="11"/>
        <v>39.22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56.57</v>
      </c>
      <c r="Q50" s="2"/>
      <c r="R50" s="19">
        <f t="shared" si="9"/>
        <v>2.7538654276462873E-4</v>
      </c>
      <c r="S50" s="2"/>
      <c r="T50" s="2"/>
      <c r="U50" s="2"/>
      <c r="V50" s="19">
        <f t="shared" si="10"/>
        <v>0</v>
      </c>
      <c r="W50" s="2"/>
      <c r="X50" s="2">
        <f t="shared" si="11"/>
        <v>56.57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332.07</v>
      </c>
      <c r="E51" s="2"/>
      <c r="F51" s="19">
        <f t="shared" si="5"/>
        <v>7.7135135963830332E-3</v>
      </c>
      <c r="G51" s="2"/>
      <c r="H51" s="2"/>
      <c r="I51" s="2"/>
      <c r="J51" s="19">
        <f t="shared" si="6"/>
        <v>0</v>
      </c>
      <c r="K51" s="2"/>
      <c r="L51" s="2">
        <f t="shared" si="7"/>
        <v>332.07</v>
      </c>
      <c r="M51" s="2"/>
      <c r="N51" s="19">
        <f t="shared" si="8"/>
        <v>0</v>
      </c>
      <c r="O51" s="11"/>
      <c r="P51" s="2">
        <v>725.97</v>
      </c>
      <c r="Q51" s="2"/>
      <c r="R51" s="19">
        <f t="shared" si="9"/>
        <v>3.5340705046992666E-3</v>
      </c>
      <c r="S51" s="2"/>
      <c r="T51" s="2"/>
      <c r="U51" s="2"/>
      <c r="V51" s="19">
        <f t="shared" si="10"/>
        <v>0</v>
      </c>
      <c r="W51" s="2"/>
      <c r="X51" s="2">
        <f t="shared" si="11"/>
        <v>725.97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44</v>
      </c>
      <c r="Q52" s="2"/>
      <c r="R52" s="19">
        <f t="shared" si="9"/>
        <v>2.1419494222456537E-4</v>
      </c>
      <c r="S52" s="2"/>
      <c r="T52" s="2"/>
      <c r="U52" s="2"/>
      <c r="V52" s="19">
        <f t="shared" si="10"/>
        <v>0</v>
      </c>
      <c r="W52" s="2"/>
      <c r="X52" s="2">
        <f t="shared" si="11"/>
        <v>44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2">
        <f>D12-D36</f>
        <v>22499.169999999991</v>
      </c>
      <c r="E54" s="14"/>
      <c r="F54" s="20">
        <f>IF(D$12=0,0,D54/D$12)</f>
        <v>0.52262370494875532</v>
      </c>
      <c r="G54" s="14"/>
      <c r="H54" s="22">
        <f>H12-H36</f>
        <v>21652</v>
      </c>
      <c r="I54" s="14"/>
      <c r="J54" s="20">
        <f>IF(H$12=0,0,H54/H$12)</f>
        <v>0.48999728433058748</v>
      </c>
      <c r="K54" s="16"/>
      <c r="L54" s="22">
        <f>+D54-H54</f>
        <v>847.16999999999098</v>
      </c>
      <c r="M54" s="16"/>
      <c r="N54" s="20">
        <f>IF(H54=0,0,L54/H54)</f>
        <v>3.9126639571401764E-2</v>
      </c>
      <c r="O54" s="29"/>
      <c r="P54" s="22">
        <f>P12-P36</f>
        <v>110241.33999999998</v>
      </c>
      <c r="Q54" s="14"/>
      <c r="R54" s="20">
        <f>IF(P$12=0,0,P54/P$12)</f>
        <v>0.53666221481951515</v>
      </c>
      <c r="S54" s="14"/>
      <c r="T54" s="22">
        <f>T12-T36</f>
        <v>112504</v>
      </c>
      <c r="U54" s="14"/>
      <c r="V54" s="20">
        <f>IF(T$12=0,0,T54/T$12)</f>
        <v>0.49000426832986349</v>
      </c>
      <c r="W54" s="16"/>
      <c r="X54" s="22">
        <f>+P54-T54</f>
        <v>-2262.660000000018</v>
      </c>
      <c r="Y54" s="16"/>
      <c r="Z54" s="20">
        <f>IF(T54=0,0,X54/T54)</f>
        <v>-2.0111818246462507E-2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9968.7199999999993</v>
      </c>
      <c r="E56" s="21"/>
      <c r="F56" s="35">
        <f t="shared" ref="F56:F65" si="13">IF(D$12=0,0,D56/D$12)</f>
        <v>0.23155918107186879</v>
      </c>
      <c r="G56" s="21"/>
      <c r="H56" s="21">
        <f>SUM(OSRRefH22x_0)</f>
        <v>11501.656006930767</v>
      </c>
      <c r="I56" s="21"/>
      <c r="J56" s="35">
        <f t="shared" ref="J56:J65" si="14">IF(H$12=0,0,H56/H$12)</f>
        <v>0.26028912842696583</v>
      </c>
      <c r="K56" s="4"/>
      <c r="L56" s="21">
        <f t="shared" ref="L56:L65" si="15">+D56-H56</f>
        <v>-1532.9360069307677</v>
      </c>
      <c r="M56" s="4"/>
      <c r="N56" s="35">
        <f t="shared" ref="N56:N65" si="16">IF(H56=0,0,L56/H56)</f>
        <v>-0.1332795908699615</v>
      </c>
      <c r="O56" s="10"/>
      <c r="P56" s="21">
        <f>SUM(OSRRefP22x_0)</f>
        <v>40971.119999999995</v>
      </c>
      <c r="Q56" s="21"/>
      <c r="R56" s="35">
        <f t="shared" ref="R56:R65" si="17">IF(P$12=0,0,P56/P$12)</f>
        <v>0.19945015184717577</v>
      </c>
      <c r="S56" s="21"/>
      <c r="T56" s="21">
        <f>SUM(OSRRefT22x_0)</f>
        <v>42732.341999950761</v>
      </c>
      <c r="U56" s="21"/>
      <c r="V56" s="35">
        <f t="shared" ref="V56:V65" si="18">IF(T$12=0,0,T56/T$12)</f>
        <v>0.18611809336296814</v>
      </c>
      <c r="W56" s="4"/>
      <c r="X56" s="21">
        <f t="shared" ref="X56:X65" si="19">+P56-T56</f>
        <v>-1761.2219999507652</v>
      </c>
      <c r="Y56" s="4"/>
      <c r="Z56" s="35">
        <f t="shared" ref="Z56:Z65" si="20">IF(T56=0,0,X56/T56)</f>
        <v>-4.1215199484100233E-2</v>
      </c>
    </row>
    <row r="57" spans="1:26" s="26" customFormat="1" outlineLevel="1" collapsed="1" x14ac:dyDescent="0.25">
      <c r="A57" s="25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1001.9300000000001</v>
      </c>
      <c r="E57" s="1"/>
      <c r="F57" s="5">
        <f t="shared" si="13"/>
        <v>2.3273408250140192E-2</v>
      </c>
      <c r="G57" s="1"/>
      <c r="H57" s="1">
        <f>SUM(OSRRefH22_0x_0)</f>
        <v>1724.2715146230771</v>
      </c>
      <c r="I57" s="1"/>
      <c r="J57" s="5">
        <f t="shared" si="14"/>
        <v>3.9021261759370804E-2</v>
      </c>
      <c r="K57" s="1"/>
      <c r="L57" s="1">
        <f t="shared" si="15"/>
        <v>-722.34151462307705</v>
      </c>
      <c r="M57" s="1"/>
      <c r="N57" s="5">
        <f t="shared" si="16"/>
        <v>-0.41892562076047501</v>
      </c>
      <c r="O57" s="13"/>
      <c r="P57" s="1">
        <f>SUM(OSRRefP22_0x_0)</f>
        <v>6796.5599999999995</v>
      </c>
      <c r="Q57" s="1"/>
      <c r="R57" s="5">
        <f t="shared" si="17"/>
        <v>3.3086108557404362E-2</v>
      </c>
      <c r="S57" s="1"/>
      <c r="T57" s="1">
        <f>SUM(OSRRefT22_0x_0)</f>
        <v>7258.7578276430759</v>
      </c>
      <c r="U57" s="1"/>
      <c r="V57" s="5">
        <f t="shared" si="18"/>
        <v>3.1615074293517696E-2</v>
      </c>
      <c r="W57" s="1"/>
      <c r="X57" s="1">
        <f t="shared" si="19"/>
        <v>-462.19782764307638</v>
      </c>
      <c r="Y57" s="1"/>
      <c r="Z57" s="5">
        <f t="shared" si="20"/>
        <v>-6.3674507211539305E-2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161.19</v>
      </c>
      <c r="E58" s="2"/>
      <c r="F58" s="7">
        <f t="shared" si="13"/>
        <v>3.744214342159729E-3</v>
      </c>
      <c r="G58" s="2"/>
      <c r="H58" s="6">
        <v>218.038502930769</v>
      </c>
      <c r="I58" s="2"/>
      <c r="J58" s="7">
        <f t="shared" si="14"/>
        <v>4.9343374429883452E-3</v>
      </c>
      <c r="K58" s="2"/>
      <c r="L58" s="6">
        <f t="shared" si="15"/>
        <v>-56.848502930769001</v>
      </c>
      <c r="M58" s="2"/>
      <c r="N58" s="7">
        <f t="shared" si="16"/>
        <v>-0.26072689991280751</v>
      </c>
      <c r="O58" s="11"/>
      <c r="P58" s="6">
        <v>1234.27</v>
      </c>
      <c r="Q58" s="2"/>
      <c r="R58" s="7">
        <f t="shared" si="17"/>
        <v>6.008508894079871E-3</v>
      </c>
      <c r="S58" s="2"/>
      <c r="T58" s="6">
        <v>1529.3841855507681</v>
      </c>
      <c r="U58" s="2"/>
      <c r="V58" s="7">
        <f t="shared" si="18"/>
        <v>6.6611389713794027E-3</v>
      </c>
      <c r="W58" s="2"/>
      <c r="X58" s="6">
        <f t="shared" si="19"/>
        <v>-295.11418555076807</v>
      </c>
      <c r="Y58" s="2"/>
      <c r="Z58" s="7">
        <f t="shared" si="20"/>
        <v>-0.19296275477341251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33.31</v>
      </c>
      <c r="E59" s="2"/>
      <c r="F59" s="7">
        <f t="shared" si="13"/>
        <v>7.7374390307922687E-4</v>
      </c>
      <c r="G59" s="2"/>
      <c r="H59" s="6">
        <v>162.93087538461498</v>
      </c>
      <c r="I59" s="2"/>
      <c r="J59" s="7">
        <f t="shared" si="14"/>
        <v>3.6872199552958943E-3</v>
      </c>
      <c r="K59" s="2"/>
      <c r="L59" s="6">
        <f t="shared" si="15"/>
        <v>-129.62087538461498</v>
      </c>
      <c r="M59" s="2"/>
      <c r="N59" s="7">
        <f t="shared" si="16"/>
        <v>-0.7955574723245773</v>
      </c>
      <c r="O59" s="11"/>
      <c r="P59" s="6">
        <v>409.06</v>
      </c>
      <c r="Q59" s="2"/>
      <c r="R59" s="7">
        <f t="shared" si="17"/>
        <v>1.9913314333268343E-3</v>
      </c>
      <c r="S59" s="2"/>
      <c r="T59" s="6">
        <v>580.90815138461403</v>
      </c>
      <c r="U59" s="2"/>
      <c r="V59" s="7">
        <f t="shared" si="18"/>
        <v>2.5301098066386205E-3</v>
      </c>
      <c r="W59" s="2"/>
      <c r="X59" s="6">
        <f t="shared" si="19"/>
        <v>-171.84815138461403</v>
      </c>
      <c r="Y59" s="2"/>
      <c r="Z59" s="7">
        <f t="shared" si="20"/>
        <v>-0.29582671714109743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462.13</v>
      </c>
      <c r="E60" s="2"/>
      <c r="F60" s="7">
        <f t="shared" si="13"/>
        <v>1.0734622333533566E-2</v>
      </c>
      <c r="G60" s="2"/>
      <c r="H60" s="6">
        <v>790.8</v>
      </c>
      <c r="I60" s="2"/>
      <c r="J60" s="7">
        <f t="shared" si="14"/>
        <v>1.7896261428442108E-2</v>
      </c>
      <c r="K60" s="2"/>
      <c r="L60" s="6">
        <f t="shared" si="15"/>
        <v>-328.66999999999996</v>
      </c>
      <c r="M60" s="2"/>
      <c r="N60" s="7">
        <f t="shared" si="16"/>
        <v>-0.4156170966110268</v>
      </c>
      <c r="O60" s="11"/>
      <c r="P60" s="6">
        <v>2772.76</v>
      </c>
      <c r="Q60" s="2"/>
      <c r="R60" s="7">
        <f t="shared" si="17"/>
        <v>1.3497981090967863E-2</v>
      </c>
      <c r="S60" s="2"/>
      <c r="T60" s="6">
        <v>3163.2</v>
      </c>
      <c r="U60" s="2"/>
      <c r="V60" s="7">
        <f t="shared" si="18"/>
        <v>1.3777123494107091E-2</v>
      </c>
      <c r="W60" s="2"/>
      <c r="X60" s="6">
        <f t="shared" si="19"/>
        <v>-390.4399999999996</v>
      </c>
      <c r="Y60" s="2"/>
      <c r="Z60" s="7">
        <f t="shared" si="20"/>
        <v>-0.12343196762771864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23.11</v>
      </c>
      <c r="E61" s="2"/>
      <c r="F61" s="7">
        <f t="shared" si="13"/>
        <v>5.3681241669651552E-4</v>
      </c>
      <c r="G61" s="2"/>
      <c r="H61" s="6">
        <v>22.295804</v>
      </c>
      <c r="I61" s="2"/>
      <c r="J61" s="7">
        <f t="shared" si="14"/>
        <v>5.0456694125101834E-4</v>
      </c>
      <c r="K61" s="2"/>
      <c r="L61" s="6">
        <f t="shared" si="15"/>
        <v>0.81419599999999903</v>
      </c>
      <c r="M61" s="2"/>
      <c r="N61" s="7">
        <f t="shared" si="16"/>
        <v>3.6517902651099686E-2</v>
      </c>
      <c r="O61" s="11"/>
      <c r="P61" s="6">
        <v>74.53</v>
      </c>
      <c r="Q61" s="2"/>
      <c r="R61" s="7">
        <f t="shared" si="17"/>
        <v>3.6281702372720133E-4</v>
      </c>
      <c r="S61" s="2"/>
      <c r="T61" s="6">
        <v>79.492694400000005</v>
      </c>
      <c r="U61" s="2"/>
      <c r="V61" s="7">
        <f t="shared" si="18"/>
        <v>3.4622555248739104E-4</v>
      </c>
      <c r="W61" s="2"/>
      <c r="X61" s="6">
        <f t="shared" si="19"/>
        <v>-4.9626944000000037</v>
      </c>
      <c r="Y61" s="2"/>
      <c r="Z61" s="7">
        <f t="shared" si="20"/>
        <v>-6.2429565854544782E-2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98.12</v>
      </c>
      <c r="E62" s="2"/>
      <c r="F62" s="7">
        <f t="shared" si="13"/>
        <v>2.2791879846932976E-3</v>
      </c>
      <c r="G62" s="2"/>
      <c r="H62" s="6">
        <v>245.01909384615399</v>
      </c>
      <c r="I62" s="2"/>
      <c r="J62" s="7">
        <f t="shared" si="14"/>
        <v>5.5449238219913545E-3</v>
      </c>
      <c r="K62" s="2"/>
      <c r="L62" s="6">
        <f t="shared" si="15"/>
        <v>-146.89909384615399</v>
      </c>
      <c r="M62" s="2"/>
      <c r="N62" s="7">
        <f t="shared" si="16"/>
        <v>-0.5995414134475211</v>
      </c>
      <c r="O62" s="11"/>
      <c r="P62" s="6">
        <v>563.04</v>
      </c>
      <c r="Q62" s="2"/>
      <c r="R62" s="7">
        <f t="shared" si="17"/>
        <v>2.7409163697754381E-3</v>
      </c>
      <c r="S62" s="2"/>
      <c r="T62" s="6">
        <v>882.06873784615402</v>
      </c>
      <c r="U62" s="2"/>
      <c r="V62" s="7">
        <f t="shared" si="18"/>
        <v>3.8417962606214079E-3</v>
      </c>
      <c r="W62" s="2"/>
      <c r="X62" s="6">
        <f t="shared" si="19"/>
        <v>-319.02873784615406</v>
      </c>
      <c r="Y62" s="2"/>
      <c r="Z62" s="7">
        <f t="shared" si="20"/>
        <v>-0.36168239974716965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3"/>
        <v>0</v>
      </c>
      <c r="G63" s="2"/>
      <c r="H63" s="6">
        <v>0</v>
      </c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/>
      <c r="Q63" s="2"/>
      <c r="R63" s="7">
        <f t="shared" si="17"/>
        <v>0</v>
      </c>
      <c r="S63" s="2"/>
      <c r="T63" s="6">
        <v>0</v>
      </c>
      <c r="U63" s="2"/>
      <c r="V63" s="7">
        <f t="shared" si="18"/>
        <v>0</v>
      </c>
      <c r="W63" s="2"/>
      <c r="X63" s="6">
        <f t="shared" si="19"/>
        <v>0</v>
      </c>
      <c r="Y63" s="2"/>
      <c r="Z63" s="7">
        <f t="shared" si="20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126.87</v>
      </c>
      <c r="E64" s="2"/>
      <c r="F64" s="7">
        <f t="shared" si="13"/>
        <v>2.9470095762131943E-3</v>
      </c>
      <c r="G64" s="2"/>
      <c r="H64" s="6">
        <v>142.45296153846201</v>
      </c>
      <c r="I64" s="2"/>
      <c r="J64" s="7">
        <f t="shared" si="14"/>
        <v>3.2237929197624243E-3</v>
      </c>
      <c r="K64" s="2"/>
      <c r="L64" s="6">
        <f t="shared" si="15"/>
        <v>-15.582961538462001</v>
      </c>
      <c r="M64" s="2"/>
      <c r="N64" s="7">
        <f t="shared" si="16"/>
        <v>-0.10939022516744683</v>
      </c>
      <c r="O64" s="11"/>
      <c r="P64" s="6">
        <v>877.82</v>
      </c>
      <c r="Q64" s="2"/>
      <c r="R64" s="7">
        <f t="shared" si="17"/>
        <v>4.2732864587174541E-3</v>
      </c>
      <c r="S64" s="2"/>
      <c r="T64" s="6">
        <v>512.83066153846198</v>
      </c>
      <c r="U64" s="2"/>
      <c r="V64" s="7">
        <f t="shared" si="18"/>
        <v>2.2336024771054713E-3</v>
      </c>
      <c r="W64" s="2"/>
      <c r="X64" s="6">
        <f t="shared" si="19"/>
        <v>364.98933846153807</v>
      </c>
      <c r="Y64" s="2"/>
      <c r="Z64" s="7">
        <f t="shared" si="20"/>
        <v>0.71171512515767177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97.2</v>
      </c>
      <c r="E65" s="2"/>
      <c r="F65" s="7">
        <f t="shared" si="13"/>
        <v>2.2578176937646608E-3</v>
      </c>
      <c r="G65" s="2"/>
      <c r="H65" s="6">
        <v>142.734276923077</v>
      </c>
      <c r="I65" s="2"/>
      <c r="J65" s="7">
        <f t="shared" si="14"/>
        <v>3.2301592496396534E-3</v>
      </c>
      <c r="K65" s="2"/>
      <c r="L65" s="6">
        <f t="shared" si="15"/>
        <v>-45.534276923077002</v>
      </c>
      <c r="M65" s="2"/>
      <c r="N65" s="7">
        <f t="shared" si="16"/>
        <v>-0.31901431040013284</v>
      </c>
      <c r="O65" s="11"/>
      <c r="P65" s="6">
        <v>865.08</v>
      </c>
      <c r="Q65" s="2"/>
      <c r="R65" s="7">
        <f t="shared" si="17"/>
        <v>4.2112672868097048E-3</v>
      </c>
      <c r="S65" s="2"/>
      <c r="T65" s="6">
        <v>510.87339692307802</v>
      </c>
      <c r="U65" s="2"/>
      <c r="V65" s="7">
        <f t="shared" si="18"/>
        <v>2.2250777311783117E-3</v>
      </c>
      <c r="W65" s="2"/>
      <c r="X65" s="6">
        <f t="shared" si="19"/>
        <v>354.20660307692202</v>
      </c>
      <c r="Y65" s="2"/>
      <c r="Z65" s="7">
        <f t="shared" si="20"/>
        <v>0.69333538448128418</v>
      </c>
    </row>
    <row r="66" spans="1:26" s="26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8318.8000000000011</v>
      </c>
      <c r="E66" s="1"/>
      <c r="F66" s="5">
        <f t="shared" ref="F66:F76" si="21">IF(D$12=0,0,D66/D$12)</f>
        <v>0.19323388714906853</v>
      </c>
      <c r="G66" s="1"/>
      <c r="H66" s="1">
        <f>SUM(OSRRefH22_1x_0)</f>
        <v>8347.3844923076904</v>
      </c>
      <c r="I66" s="1"/>
      <c r="J66" s="5">
        <f t="shared" ref="J66:J76" si="22">IF(H$12=0,0,H66/H$12)</f>
        <v>0.1889061395018487</v>
      </c>
      <c r="K66" s="1"/>
      <c r="L66" s="1">
        <f t="shared" ref="L66:L76" si="23">+D66-H66</f>
        <v>-28.584492307689288</v>
      </c>
      <c r="M66" s="1"/>
      <c r="N66" s="5">
        <f t="shared" ref="N66:N76" si="24">IF(H66=0,0,L66/H66)</f>
        <v>-3.4243651210784124E-3</v>
      </c>
      <c r="O66" s="13"/>
      <c r="P66" s="1">
        <f>SUM(OSRRefP22_1x_0)</f>
        <v>29779.97</v>
      </c>
      <c r="Q66" s="1"/>
      <c r="R66" s="5">
        <f t="shared" ref="R66:R76" si="25">IF(P$12=0,0,P66/P$12)</f>
        <v>0.14497088530907479</v>
      </c>
      <c r="S66" s="1"/>
      <c r="T66" s="1">
        <f>SUM(OSRRefT22_1x_0)</f>
        <v>29753.584172307681</v>
      </c>
      <c r="U66" s="1"/>
      <c r="V66" s="5">
        <f t="shared" ref="V66:V76" si="26">IF(T$12=0,0,T66/T$12)</f>
        <v>0.12958991007024312</v>
      </c>
      <c r="W66" s="1"/>
      <c r="X66" s="1">
        <f t="shared" ref="X66:X76" si="27">+P66-T66</f>
        <v>26.385827692320163</v>
      </c>
      <c r="Y66" s="1"/>
      <c r="Z66" s="5">
        <f t="shared" ref="Z66:Z76" si="28">IF(T66=0,0,X66/T66)</f>
        <v>8.8681173802509605E-4</v>
      </c>
    </row>
    <row r="67" spans="1:26" s="24" customFormat="1" hidden="1" outlineLevel="2" x14ac:dyDescent="0.25">
      <c r="A67" s="27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1"/>
        <v>0</v>
      </c>
      <c r="G67" s="2"/>
      <c r="H67" s="6">
        <v>2621.1344923076899</v>
      </c>
      <c r="I67" s="2"/>
      <c r="J67" s="7">
        <f t="shared" si="22"/>
        <v>5.9317789723628361E-2</v>
      </c>
      <c r="K67" s="2"/>
      <c r="L67" s="6">
        <f t="shared" si="23"/>
        <v>-2621.1344923076899</v>
      </c>
      <c r="M67" s="2"/>
      <c r="N67" s="7">
        <f t="shared" si="24"/>
        <v>-1</v>
      </c>
      <c r="O67" s="11"/>
      <c r="P67" s="6"/>
      <c r="Q67" s="2"/>
      <c r="R67" s="7">
        <f t="shared" si="25"/>
        <v>0</v>
      </c>
      <c r="S67" s="2"/>
      <c r="T67" s="6">
        <v>9436.084172307681</v>
      </c>
      <c r="U67" s="2"/>
      <c r="V67" s="7">
        <f t="shared" si="26"/>
        <v>4.1098285578740588E-2</v>
      </c>
      <c r="W67" s="2"/>
      <c r="X67" s="6">
        <f t="shared" si="27"/>
        <v>-9436.084172307681</v>
      </c>
      <c r="Y67" s="2"/>
      <c r="Z67" s="7">
        <f t="shared" si="28"/>
        <v>-1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1756.2</v>
      </c>
      <c r="E68" s="2"/>
      <c r="F68" s="7">
        <f t="shared" si="21"/>
        <v>4.0794027096599766E-2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1756.2</v>
      </c>
      <c r="M68" s="2"/>
      <c r="N68" s="7">
        <f t="shared" si="24"/>
        <v>0</v>
      </c>
      <c r="O68" s="11"/>
      <c r="P68" s="6">
        <v>8632.11</v>
      </c>
      <c r="Q68" s="2"/>
      <c r="R68" s="7">
        <f t="shared" si="25"/>
        <v>4.2021688698320299E-2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8632.11</v>
      </c>
      <c r="Y68" s="2"/>
      <c r="Z68" s="7">
        <f t="shared" si="28"/>
        <v>0</v>
      </c>
    </row>
    <row r="69" spans="1:26" s="24" customFormat="1" hidden="1" outlineLevel="2" x14ac:dyDescent="0.25">
      <c r="A69" s="27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1"/>
        <v>0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0</v>
      </c>
      <c r="M69" s="2"/>
      <c r="N69" s="7">
        <f t="shared" si="24"/>
        <v>0</v>
      </c>
      <c r="O69" s="11"/>
      <c r="P69" s="6"/>
      <c r="Q69" s="2"/>
      <c r="R69" s="7">
        <f t="shared" si="25"/>
        <v>0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0</v>
      </c>
      <c r="Y69" s="2"/>
      <c r="Z69" s="7">
        <f t="shared" si="28"/>
        <v>0</v>
      </c>
    </row>
    <row r="70" spans="1:26" s="24" customFormat="1" hidden="1" outlineLevel="2" x14ac:dyDescent="0.25">
      <c r="A70" s="27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7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1"/>
        <v>0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0</v>
      </c>
      <c r="M71" s="2"/>
      <c r="N71" s="7">
        <f t="shared" si="24"/>
        <v>0</v>
      </c>
      <c r="O71" s="11"/>
      <c r="P71" s="6"/>
      <c r="Q71" s="2"/>
      <c r="R71" s="7">
        <f t="shared" si="25"/>
        <v>0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0</v>
      </c>
      <c r="Y71" s="2"/>
      <c r="Z71" s="7">
        <f t="shared" si="28"/>
        <v>0</v>
      </c>
    </row>
    <row r="72" spans="1:26" s="24" customFormat="1" hidden="1" outlineLevel="2" x14ac:dyDescent="0.25">
      <c r="A72" s="27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1"/>
        <v>0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0</v>
      </c>
      <c r="M72" s="2"/>
      <c r="N72" s="7">
        <f t="shared" si="24"/>
        <v>0</v>
      </c>
      <c r="O72" s="11"/>
      <c r="P72" s="6"/>
      <c r="Q72" s="2"/>
      <c r="R72" s="7">
        <f t="shared" si="25"/>
        <v>0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0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"6007", " - ", "STUDENT HOURLY")</f>
        <v xml:space="preserve">          6007 - STUDENT HOURLY</v>
      </c>
      <c r="C73" s="11"/>
      <c r="D73" s="6">
        <v>6562.6</v>
      </c>
      <c r="E73" s="2"/>
      <c r="F73" s="7">
        <f t="shared" si="21"/>
        <v>0.15243986005246876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6562.6</v>
      </c>
      <c r="M73" s="2"/>
      <c r="N73" s="7">
        <f t="shared" si="24"/>
        <v>0</v>
      </c>
      <c r="O73" s="11"/>
      <c r="P73" s="6">
        <v>21147.86</v>
      </c>
      <c r="Q73" s="2"/>
      <c r="R73" s="7">
        <f t="shared" si="25"/>
        <v>0.10294919661075448</v>
      </c>
      <c r="S73" s="2"/>
      <c r="T73" s="6">
        <v>9727.5</v>
      </c>
      <c r="U73" s="2"/>
      <c r="V73" s="7">
        <f t="shared" si="26"/>
        <v>4.2367529333879217E-2</v>
      </c>
      <c r="W73" s="2"/>
      <c r="X73" s="6">
        <f t="shared" si="27"/>
        <v>11420.36</v>
      </c>
      <c r="Y73" s="2"/>
      <c r="Z73" s="7">
        <f t="shared" si="28"/>
        <v>1.1740282703675149</v>
      </c>
    </row>
    <row r="74" spans="1:26" s="24" customFormat="1" hidden="1" outlineLevel="2" x14ac:dyDescent="0.25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1"/>
        <v>0</v>
      </c>
      <c r="G74" s="2"/>
      <c r="H74" s="6">
        <v>5726.25</v>
      </c>
      <c r="I74" s="2"/>
      <c r="J74" s="7">
        <f t="shared" si="22"/>
        <v>0.12958834977822034</v>
      </c>
      <c r="K74" s="2"/>
      <c r="L74" s="6">
        <f t="shared" si="23"/>
        <v>-5726.25</v>
      </c>
      <c r="M74" s="2"/>
      <c r="N74" s="7">
        <f t="shared" si="24"/>
        <v>-1</v>
      </c>
      <c r="O74" s="11"/>
      <c r="P74" s="6"/>
      <c r="Q74" s="2"/>
      <c r="R74" s="7">
        <f t="shared" si="25"/>
        <v>0</v>
      </c>
      <c r="S74" s="2"/>
      <c r="T74" s="6">
        <v>10590</v>
      </c>
      <c r="U74" s="2"/>
      <c r="V74" s="7">
        <f t="shared" si="26"/>
        <v>4.6124095157623321E-2</v>
      </c>
      <c r="W74" s="2"/>
      <c r="X74" s="6">
        <f t="shared" si="27"/>
        <v>-10590</v>
      </c>
      <c r="Y74" s="2"/>
      <c r="Z74" s="7">
        <f t="shared" si="28"/>
        <v>-1</v>
      </c>
    </row>
    <row r="75" spans="1:26" s="24" customFormat="1" hidden="1" outlineLevel="2" x14ac:dyDescent="0.25">
      <c r="A75" s="27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0</v>
      </c>
      <c r="Y75" s="2"/>
      <c r="Z75" s="7">
        <f t="shared" si="28"/>
        <v>0</v>
      </c>
    </row>
    <row r="76" spans="1:26" s="24" customFormat="1" hidden="1" outlineLevel="2" x14ac:dyDescent="0.25">
      <c r="A76" s="27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6" customFormat="1" outlineLevel="1" collapsed="1" x14ac:dyDescent="0.25">
      <c r="A77" s="25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291</v>
      </c>
      <c r="E77" s="1"/>
      <c r="F77" s="5">
        <f t="shared" ref="F77:F81" si="29">IF(D$12=0,0,D77/D$12)</f>
        <v>6.759515935036175E-3</v>
      </c>
      <c r="G77" s="1"/>
      <c r="H77" s="1">
        <f>SUM(OSRRefH22_2x_0)</f>
        <v>80</v>
      </c>
      <c r="I77" s="1"/>
      <c r="J77" s="5">
        <f t="shared" ref="J77:J81" si="30">IF(H$12=0,0,H77/H$12)</f>
        <v>1.8104462750067891E-3</v>
      </c>
      <c r="K77" s="1"/>
      <c r="L77" s="1">
        <f t="shared" ref="L77:L81" si="31">+D77-H77</f>
        <v>211</v>
      </c>
      <c r="M77" s="1"/>
      <c r="N77" s="5">
        <f t="shared" ref="N77:N81" si="32">IF(H77=0,0,L77/H77)</f>
        <v>2.6375000000000002</v>
      </c>
      <c r="O77" s="13"/>
      <c r="P77" s="1">
        <f>SUM(OSRRefP22_2x_0)</f>
        <v>336.86</v>
      </c>
      <c r="Q77" s="1"/>
      <c r="R77" s="5">
        <f t="shared" ref="R77:R81" si="33">IF(P$12=0,0,P77/P$12)</f>
        <v>1.6398570054037976E-3</v>
      </c>
      <c r="S77" s="1"/>
      <c r="T77" s="1">
        <f>SUM(OSRRefT22_2x_0)</f>
        <v>320</v>
      </c>
      <c r="U77" s="1"/>
      <c r="V77" s="5">
        <f t="shared" ref="V77:V81" si="34">IF(T$12=0,0,T77/T$12)</f>
        <v>1.3937403635920173E-3</v>
      </c>
      <c r="W77" s="1"/>
      <c r="X77" s="1">
        <f t="shared" ref="X77:X81" si="35">+P77-T77</f>
        <v>16.860000000000014</v>
      </c>
      <c r="Y77" s="1"/>
      <c r="Z77" s="5">
        <f t="shared" ref="Z77:Z81" si="36">IF(T77=0,0,X77/T77)</f>
        <v>5.268750000000004E-2</v>
      </c>
    </row>
    <row r="78" spans="1:26" s="24" customFormat="1" hidden="1" outlineLevel="2" x14ac:dyDescent="0.25">
      <c r="A78" s="27"/>
      <c r="B78" s="11" t="str">
        <f>CONCATENATE("          ", "6362", " - ", "ADVERTISING EXPENSE")</f>
        <v xml:space="preserve">          6362 - ADVERTISING EXPENSE</v>
      </c>
      <c r="C78" s="11"/>
      <c r="D78" s="6">
        <v>291</v>
      </c>
      <c r="E78" s="2"/>
      <c r="F78" s="7">
        <f t="shared" si="29"/>
        <v>6.759515935036175E-3</v>
      </c>
      <c r="G78" s="2"/>
      <c r="H78" s="6">
        <v>80</v>
      </c>
      <c r="I78" s="2"/>
      <c r="J78" s="7">
        <f t="shared" si="30"/>
        <v>1.8104462750067891E-3</v>
      </c>
      <c r="K78" s="2"/>
      <c r="L78" s="6">
        <f t="shared" si="31"/>
        <v>211</v>
      </c>
      <c r="M78" s="2"/>
      <c r="N78" s="7">
        <f t="shared" si="32"/>
        <v>2.6375000000000002</v>
      </c>
      <c r="O78" s="11"/>
      <c r="P78" s="6">
        <v>336.86</v>
      </c>
      <c r="Q78" s="2"/>
      <c r="R78" s="7">
        <f t="shared" si="33"/>
        <v>1.6398570054037976E-3</v>
      </c>
      <c r="S78" s="2"/>
      <c r="T78" s="6">
        <v>320</v>
      </c>
      <c r="U78" s="2"/>
      <c r="V78" s="7">
        <f t="shared" si="34"/>
        <v>1.3937403635920173E-3</v>
      </c>
      <c r="W78" s="2"/>
      <c r="X78" s="6">
        <f t="shared" si="35"/>
        <v>16.860000000000014</v>
      </c>
      <c r="Y78" s="2"/>
      <c r="Z78" s="7">
        <f t="shared" si="36"/>
        <v>5.268750000000004E-2</v>
      </c>
    </row>
    <row r="79" spans="1:26" s="26" customFormat="1" outlineLevel="1" collapsed="1" x14ac:dyDescent="0.25">
      <c r="A79" s="25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338.11</v>
      </c>
      <c r="E79" s="1"/>
      <c r="F79" s="5">
        <f t="shared" si="29"/>
        <v>7.8538142020449526E-3</v>
      </c>
      <c r="G79" s="1"/>
      <c r="H79" s="1">
        <f>SUM(OSRRefH22_3x_0)</f>
        <v>1250</v>
      </c>
      <c r="I79" s="1"/>
      <c r="J79" s="5">
        <f t="shared" si="30"/>
        <v>2.828822304698108E-2</v>
      </c>
      <c r="K79" s="1"/>
      <c r="L79" s="1">
        <f t="shared" si="31"/>
        <v>-911.89</v>
      </c>
      <c r="M79" s="1"/>
      <c r="N79" s="5">
        <f t="shared" si="32"/>
        <v>-0.72951199999999994</v>
      </c>
      <c r="O79" s="13"/>
      <c r="P79" s="1">
        <f>SUM(OSRRefP22_3x_0)</f>
        <v>3720.52</v>
      </c>
      <c r="Q79" s="1"/>
      <c r="R79" s="5">
        <f t="shared" si="33"/>
        <v>1.8111740146484999E-2</v>
      </c>
      <c r="S79" s="1"/>
      <c r="T79" s="1">
        <f>SUM(OSRRefT22_3x_0)</f>
        <v>5000</v>
      </c>
      <c r="U79" s="1"/>
      <c r="V79" s="5">
        <f t="shared" si="34"/>
        <v>2.1777193181125271E-2</v>
      </c>
      <c r="W79" s="1"/>
      <c r="X79" s="1">
        <f t="shared" si="35"/>
        <v>-1279.48</v>
      </c>
      <c r="Y79" s="1"/>
      <c r="Z79" s="5">
        <f t="shared" si="36"/>
        <v>-0.25589600000000001</v>
      </c>
    </row>
    <row r="80" spans="1:26" s="24" customFormat="1" hidden="1" outlineLevel="2" x14ac:dyDescent="0.25">
      <c r="A80" s="27"/>
      <c r="B80" s="11" t="str">
        <f>CONCATENATE("          ", "6382", " - ", "DISCOUNTS/MARK DOWNS")</f>
        <v xml:space="preserve">          6382 - DISCOUNTS/MARK DOWNS</v>
      </c>
      <c r="C80" s="11"/>
      <c r="D80" s="6">
        <v>420.76</v>
      </c>
      <c r="E80" s="2"/>
      <c r="F80" s="7">
        <f t="shared" si="29"/>
        <v>9.773656099057804E-3</v>
      </c>
      <c r="G80" s="2"/>
      <c r="H80" s="6">
        <v>1250</v>
      </c>
      <c r="I80" s="2"/>
      <c r="J80" s="7">
        <f t="shared" si="30"/>
        <v>2.828822304698108E-2</v>
      </c>
      <c r="K80" s="2"/>
      <c r="L80" s="6">
        <f t="shared" si="31"/>
        <v>-829.24</v>
      </c>
      <c r="M80" s="2"/>
      <c r="N80" s="7">
        <f t="shared" si="32"/>
        <v>-0.66339199999999998</v>
      </c>
      <c r="O80" s="11"/>
      <c r="P80" s="6">
        <v>3909.09</v>
      </c>
      <c r="Q80" s="2"/>
      <c r="R80" s="7">
        <f t="shared" si="33"/>
        <v>1.9029711515923326E-2</v>
      </c>
      <c r="S80" s="2"/>
      <c r="T80" s="6">
        <v>5000</v>
      </c>
      <c r="U80" s="2"/>
      <c r="V80" s="7">
        <f t="shared" si="34"/>
        <v>2.1777193181125271E-2</v>
      </c>
      <c r="W80" s="2"/>
      <c r="X80" s="6">
        <f t="shared" si="35"/>
        <v>-1090.9099999999999</v>
      </c>
      <c r="Y80" s="2"/>
      <c r="Z80" s="7">
        <f t="shared" si="36"/>
        <v>-0.21818199999999996</v>
      </c>
    </row>
    <row r="81" spans="1:26" s="24" customFormat="1" hidden="1" outlineLevel="2" x14ac:dyDescent="0.25">
      <c r="A81" s="27"/>
      <c r="B81" s="11" t="str">
        <f>CONCATENATE("          ", "9175", " - ", "EARNED DISCOUNTS")</f>
        <v xml:space="preserve">          9175 - EARNED DISCOUNTS</v>
      </c>
      <c r="C81" s="11"/>
      <c r="D81" s="6">
        <v>-82.65</v>
      </c>
      <c r="E81" s="2"/>
      <c r="F81" s="7">
        <f t="shared" si="29"/>
        <v>-1.9198418970128521E-3</v>
      </c>
      <c r="G81" s="2"/>
      <c r="H81" s="6"/>
      <c r="I81" s="2"/>
      <c r="J81" s="7">
        <f t="shared" si="30"/>
        <v>0</v>
      </c>
      <c r="K81" s="2"/>
      <c r="L81" s="6">
        <f t="shared" si="31"/>
        <v>-82.65</v>
      </c>
      <c r="M81" s="2"/>
      <c r="N81" s="7">
        <f t="shared" si="32"/>
        <v>0</v>
      </c>
      <c r="O81" s="11"/>
      <c r="P81" s="6">
        <v>-188.57</v>
      </c>
      <c r="Q81" s="2"/>
      <c r="R81" s="7">
        <f t="shared" si="33"/>
        <v>-9.1797136943832483E-4</v>
      </c>
      <c r="S81" s="2"/>
      <c r="T81" s="6"/>
      <c r="U81" s="2"/>
      <c r="V81" s="7">
        <f t="shared" si="34"/>
        <v>0</v>
      </c>
      <c r="W81" s="2"/>
      <c r="X81" s="6">
        <f t="shared" si="35"/>
        <v>-188.57</v>
      </c>
      <c r="Y81" s="2"/>
      <c r="Z81" s="7">
        <f t="shared" si="36"/>
        <v>0</v>
      </c>
    </row>
    <row r="82" spans="1:26" s="26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89" si="37">IF(D$12=0,0,D82/D$12)</f>
        <v>0</v>
      </c>
      <c r="G82" s="1"/>
      <c r="H82" s="1">
        <f>SUM(OSRRefH22_4x_0)</f>
        <v>25</v>
      </c>
      <c r="I82" s="1"/>
      <c r="J82" s="5">
        <f t="shared" ref="J82:J89" si="38">IF(H$12=0,0,H82/H$12)</f>
        <v>5.6576446093962161E-4</v>
      </c>
      <c r="K82" s="1"/>
      <c r="L82" s="1">
        <f t="shared" ref="L82:L89" si="39">+D82-H82</f>
        <v>-25</v>
      </c>
      <c r="M82" s="1"/>
      <c r="N82" s="5">
        <f t="shared" ref="N82:N89" si="40">IF(H82=0,0,L82/H82)</f>
        <v>-1</v>
      </c>
      <c r="O82" s="13"/>
      <c r="P82" s="1">
        <f>SUM(OSRRefP22_4x_0)</f>
        <v>0</v>
      </c>
      <c r="Q82" s="1"/>
      <c r="R82" s="5">
        <f t="shared" ref="R82:R89" si="41">IF(P$12=0,0,P82/P$12)</f>
        <v>0</v>
      </c>
      <c r="S82" s="1"/>
      <c r="T82" s="1">
        <f>SUM(OSRRefT22_4x_0)</f>
        <v>100</v>
      </c>
      <c r="U82" s="1"/>
      <c r="V82" s="5">
        <f t="shared" ref="V82:V89" si="42">IF(T$12=0,0,T82/T$12)</f>
        <v>4.3554386362250542E-4</v>
      </c>
      <c r="W82" s="1"/>
      <c r="X82" s="1">
        <f t="shared" ref="X82:X89" si="43">+P82-T82</f>
        <v>-100</v>
      </c>
      <c r="Y82" s="1"/>
      <c r="Z82" s="5">
        <f t="shared" ref="Z82:Z89" si="44">IF(T82=0,0,X82/T82)</f>
        <v>-1</v>
      </c>
    </row>
    <row r="83" spans="1:26" s="24" customFormat="1" hidden="1" outlineLevel="2" x14ac:dyDescent="0.25">
      <c r="A83" s="27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7"/>
        <v>0</v>
      </c>
      <c r="G83" s="2"/>
      <c r="H83" s="6">
        <v>25</v>
      </c>
      <c r="I83" s="2"/>
      <c r="J83" s="7">
        <f t="shared" si="38"/>
        <v>5.6576446093962161E-4</v>
      </c>
      <c r="K83" s="2"/>
      <c r="L83" s="6">
        <f t="shared" si="39"/>
        <v>-25</v>
      </c>
      <c r="M83" s="2"/>
      <c r="N83" s="7">
        <f t="shared" si="40"/>
        <v>-1</v>
      </c>
      <c r="O83" s="11"/>
      <c r="P83" s="6"/>
      <c r="Q83" s="2"/>
      <c r="R83" s="7">
        <f t="shared" si="41"/>
        <v>0</v>
      </c>
      <c r="S83" s="2"/>
      <c r="T83" s="6">
        <v>100</v>
      </c>
      <c r="U83" s="2"/>
      <c r="V83" s="7">
        <f t="shared" si="42"/>
        <v>4.3554386362250542E-4</v>
      </c>
      <c r="W83" s="2"/>
      <c r="X83" s="6">
        <f t="shared" si="43"/>
        <v>-100</v>
      </c>
      <c r="Y83" s="2"/>
      <c r="Z83" s="7">
        <f t="shared" si="44"/>
        <v>-1</v>
      </c>
    </row>
    <row r="84" spans="1:26" s="26" customFormat="1" outlineLevel="1" collapsed="1" x14ac:dyDescent="0.25">
      <c r="A84" s="25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SUM(OSRRefD22_5x_0)</f>
        <v>0</v>
      </c>
      <c r="E84" s="1"/>
      <c r="F84" s="5">
        <f t="shared" si="37"/>
        <v>0</v>
      </c>
      <c r="G84" s="1"/>
      <c r="H84" s="1">
        <f>SUM(OSRRefH22_5x_0)</f>
        <v>0</v>
      </c>
      <c r="I84" s="1"/>
      <c r="J84" s="5">
        <f t="shared" si="38"/>
        <v>0</v>
      </c>
      <c r="K84" s="1"/>
      <c r="L84" s="1">
        <f t="shared" si="39"/>
        <v>0</v>
      </c>
      <c r="M84" s="1"/>
      <c r="N84" s="5">
        <f t="shared" si="40"/>
        <v>0</v>
      </c>
      <c r="O84" s="13"/>
      <c r="P84" s="1">
        <f>SUM(OSRRefP22_5x_0)</f>
        <v>0</v>
      </c>
      <c r="Q84" s="1"/>
      <c r="R84" s="5">
        <f t="shared" si="41"/>
        <v>0</v>
      </c>
      <c r="S84" s="1"/>
      <c r="T84" s="1">
        <f>SUM(OSRRefT22_5x_0)</f>
        <v>0</v>
      </c>
      <c r="U84" s="1"/>
      <c r="V84" s="5">
        <f t="shared" si="42"/>
        <v>0</v>
      </c>
      <c r="W84" s="1"/>
      <c r="X84" s="1">
        <f t="shared" si="43"/>
        <v>0</v>
      </c>
      <c r="Y84" s="1"/>
      <c r="Z84" s="5">
        <f t="shared" si="44"/>
        <v>0</v>
      </c>
    </row>
    <row r="85" spans="1:26" s="24" customFormat="1" hidden="1" outlineLevel="2" x14ac:dyDescent="0.25">
      <c r="A85" s="27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37"/>
        <v>0</v>
      </c>
      <c r="G85" s="2"/>
      <c r="H85" s="6">
        <v>0</v>
      </c>
      <c r="I85" s="2"/>
      <c r="J85" s="7">
        <f t="shared" si="38"/>
        <v>0</v>
      </c>
      <c r="K85" s="2"/>
      <c r="L85" s="6">
        <f t="shared" si="39"/>
        <v>0</v>
      </c>
      <c r="M85" s="2"/>
      <c r="N85" s="7">
        <f t="shared" si="40"/>
        <v>0</v>
      </c>
      <c r="O85" s="11"/>
      <c r="P85" s="6"/>
      <c r="Q85" s="2"/>
      <c r="R85" s="7">
        <f t="shared" si="41"/>
        <v>0</v>
      </c>
      <c r="S85" s="2"/>
      <c r="T85" s="6">
        <v>0</v>
      </c>
      <c r="U85" s="2"/>
      <c r="V85" s="7">
        <f t="shared" si="42"/>
        <v>0</v>
      </c>
      <c r="W85" s="2"/>
      <c r="X85" s="6">
        <f t="shared" si="43"/>
        <v>0</v>
      </c>
      <c r="Y85" s="2"/>
      <c r="Z85" s="7">
        <f t="shared" si="44"/>
        <v>0</v>
      </c>
    </row>
    <row r="86" spans="1:26" s="26" customFormat="1" outlineLevel="1" collapsed="1" x14ac:dyDescent="0.25">
      <c r="A86" s="25"/>
      <c r="B86" s="13" t="str">
        <f>CONCATENATE("     ","Subscriptions &amp; Dues                              ")</f>
        <v xml:space="preserve">     Subscriptions &amp; Dues                              </v>
      </c>
      <c r="C86" s="13"/>
      <c r="D86" s="1">
        <f>SUM(OSRRefD22_6x_0)</f>
        <v>0</v>
      </c>
      <c r="E86" s="1"/>
      <c r="F86" s="5">
        <f t="shared" si="37"/>
        <v>0</v>
      </c>
      <c r="G86" s="1"/>
      <c r="H86" s="1">
        <f>SUM(OSRRefH22_6x_0)</f>
        <v>0</v>
      </c>
      <c r="I86" s="1"/>
      <c r="J86" s="5">
        <f t="shared" si="38"/>
        <v>0</v>
      </c>
      <c r="K86" s="1"/>
      <c r="L86" s="1">
        <f t="shared" si="39"/>
        <v>0</v>
      </c>
      <c r="M86" s="1"/>
      <c r="N86" s="5">
        <f t="shared" si="40"/>
        <v>0</v>
      </c>
      <c r="O86" s="13"/>
      <c r="P86" s="1">
        <f>SUM(OSRRefP22_6x_0)</f>
        <v>120</v>
      </c>
      <c r="Q86" s="1"/>
      <c r="R86" s="5">
        <f t="shared" si="41"/>
        <v>5.8416802424881469E-4</v>
      </c>
      <c r="S86" s="1"/>
      <c r="T86" s="1">
        <f>SUM(OSRRefT22_6x_0)</f>
        <v>0</v>
      </c>
      <c r="U86" s="1"/>
      <c r="V86" s="5">
        <f t="shared" si="42"/>
        <v>0</v>
      </c>
      <c r="W86" s="1"/>
      <c r="X86" s="1">
        <f t="shared" si="43"/>
        <v>120</v>
      </c>
      <c r="Y86" s="1"/>
      <c r="Z86" s="5">
        <f t="shared" si="44"/>
        <v>0</v>
      </c>
    </row>
    <row r="87" spans="1:26" s="24" customFormat="1" hidden="1" outlineLevel="2" x14ac:dyDescent="0.25">
      <c r="A87" s="27"/>
      <c r="B87" s="11" t="str">
        <f>CONCATENATE("          ", "6258", " - ", "MEMBERSHIP DUES")</f>
        <v xml:space="preserve">          6258 - MEMBERSHIP DUES</v>
      </c>
      <c r="C87" s="11"/>
      <c r="D87" s="6"/>
      <c r="E87" s="2"/>
      <c r="F87" s="7">
        <f t="shared" si="37"/>
        <v>0</v>
      </c>
      <c r="G87" s="2"/>
      <c r="H87" s="6"/>
      <c r="I87" s="2"/>
      <c r="J87" s="7">
        <f t="shared" si="38"/>
        <v>0</v>
      </c>
      <c r="K87" s="2"/>
      <c r="L87" s="6">
        <f t="shared" si="39"/>
        <v>0</v>
      </c>
      <c r="M87" s="2"/>
      <c r="N87" s="7">
        <f t="shared" si="40"/>
        <v>0</v>
      </c>
      <c r="O87" s="11"/>
      <c r="P87" s="6">
        <v>120</v>
      </c>
      <c r="Q87" s="2"/>
      <c r="R87" s="7">
        <f t="shared" si="41"/>
        <v>5.8416802424881469E-4</v>
      </c>
      <c r="S87" s="2"/>
      <c r="T87" s="6"/>
      <c r="U87" s="2"/>
      <c r="V87" s="7">
        <f t="shared" si="42"/>
        <v>0</v>
      </c>
      <c r="W87" s="2"/>
      <c r="X87" s="6">
        <f t="shared" si="43"/>
        <v>120</v>
      </c>
      <c r="Y87" s="2"/>
      <c r="Z87" s="7">
        <f t="shared" si="44"/>
        <v>0</v>
      </c>
    </row>
    <row r="88" spans="1:26" s="26" customFormat="1" outlineLevel="1" collapsed="1" x14ac:dyDescent="0.25">
      <c r="A88" s="25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SUM(OSRRefD22_7x_0)</f>
        <v>18.88</v>
      </c>
      <c r="E88" s="1"/>
      <c r="F88" s="5">
        <f t="shared" si="37"/>
        <v>4.3855553557897931E-4</v>
      </c>
      <c r="G88" s="1"/>
      <c r="H88" s="1">
        <f>SUM(OSRRefH22_7x_0)</f>
        <v>75</v>
      </c>
      <c r="I88" s="1"/>
      <c r="J88" s="5">
        <f t="shared" si="38"/>
        <v>1.6972933828188648E-3</v>
      </c>
      <c r="K88" s="1"/>
      <c r="L88" s="1">
        <f t="shared" si="39"/>
        <v>-56.120000000000005</v>
      </c>
      <c r="M88" s="1"/>
      <c r="N88" s="5">
        <f t="shared" si="40"/>
        <v>-0.74826666666666675</v>
      </c>
      <c r="O88" s="13"/>
      <c r="P88" s="1">
        <f>SUM(OSRRefP22_7x_0)</f>
        <v>217.21</v>
      </c>
      <c r="Q88" s="1"/>
      <c r="R88" s="5">
        <f t="shared" si="41"/>
        <v>1.0573928045590421E-3</v>
      </c>
      <c r="S88" s="1"/>
      <c r="T88" s="1">
        <f>SUM(OSRRefT22_7x_0)</f>
        <v>300</v>
      </c>
      <c r="U88" s="1"/>
      <c r="V88" s="5">
        <f t="shared" si="42"/>
        <v>1.3066315908675163E-3</v>
      </c>
      <c r="W88" s="1"/>
      <c r="X88" s="1">
        <f t="shared" si="43"/>
        <v>-82.789999999999992</v>
      </c>
      <c r="Y88" s="1"/>
      <c r="Z88" s="5">
        <f t="shared" si="44"/>
        <v>-0.27596666666666664</v>
      </c>
    </row>
    <row r="89" spans="1:26" s="24" customFormat="1" hidden="1" outlineLevel="2" x14ac:dyDescent="0.25">
      <c r="A89" s="27"/>
      <c r="B89" s="11" t="str">
        <f>CONCATENATE("          ", "6241", " - ", "OFFICE EXPENSE")</f>
        <v xml:space="preserve">          6241 - OFFICE EXPENSE</v>
      </c>
      <c r="C89" s="11"/>
      <c r="D89" s="6">
        <v>18.88</v>
      </c>
      <c r="E89" s="2"/>
      <c r="F89" s="7">
        <f t="shared" si="37"/>
        <v>4.3855553557897931E-4</v>
      </c>
      <c r="G89" s="2"/>
      <c r="H89" s="6">
        <v>75</v>
      </c>
      <c r="I89" s="2"/>
      <c r="J89" s="7">
        <f t="shared" si="38"/>
        <v>1.6972933828188648E-3</v>
      </c>
      <c r="K89" s="2"/>
      <c r="L89" s="6">
        <f t="shared" si="39"/>
        <v>-56.120000000000005</v>
      </c>
      <c r="M89" s="2"/>
      <c r="N89" s="7">
        <f t="shared" si="40"/>
        <v>-0.74826666666666675</v>
      </c>
      <c r="O89" s="11"/>
      <c r="P89" s="6">
        <v>217.21</v>
      </c>
      <c r="Q89" s="2"/>
      <c r="R89" s="7">
        <f t="shared" si="41"/>
        <v>1.0573928045590421E-3</v>
      </c>
      <c r="S89" s="2"/>
      <c r="T89" s="6">
        <v>300</v>
      </c>
      <c r="U89" s="2"/>
      <c r="V89" s="7">
        <f t="shared" si="42"/>
        <v>1.3066315908675163E-3</v>
      </c>
      <c r="W89" s="2"/>
      <c r="X89" s="6">
        <f t="shared" si="43"/>
        <v>-82.789999999999992</v>
      </c>
      <c r="Y89" s="2"/>
      <c r="Z89" s="7">
        <f t="shared" si="44"/>
        <v>-0.27596666666666664</v>
      </c>
    </row>
    <row r="90" spans="1:26" s="61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2">
        <f>+D54-D56+D91</f>
        <v>12530.449999999992</v>
      </c>
      <c r="E93" s="14"/>
      <c r="F93" s="20">
        <f>IF(D$12=0,0,D93/D$12)</f>
        <v>0.29106452387688653</v>
      </c>
      <c r="G93" s="14"/>
      <c r="H93" s="22">
        <f>+H54-H56+H91</f>
        <v>10150.343993069233</v>
      </c>
      <c r="I93" s="14"/>
      <c r="J93" s="20">
        <f>IF(H$12=0,0,H93/H$12)</f>
        <v>0.22970815590362165</v>
      </c>
      <c r="K93" s="16"/>
      <c r="L93" s="22">
        <f>+D93-H93</f>
        <v>2380.1060069307587</v>
      </c>
      <c r="M93" s="16"/>
      <c r="N93" s="20">
        <f>IF(H93=0,0,L93/H93)</f>
        <v>0.23448525572689174</v>
      </c>
      <c r="O93" s="29"/>
      <c r="P93" s="22">
        <f>+P54-P56+P91</f>
        <v>69270.219999999987</v>
      </c>
      <c r="Q93" s="14"/>
      <c r="R93" s="20">
        <f>IF(P$12=0,0,P93/P$12)</f>
        <v>0.3372120629723393</v>
      </c>
      <c r="S93" s="14"/>
      <c r="T93" s="22">
        <f>+T54-T56+T91</f>
        <v>69771.658000049239</v>
      </c>
      <c r="U93" s="14"/>
      <c r="V93" s="20">
        <f>IF(T$12=0,0,T93/T$12)</f>
        <v>0.30388617496689535</v>
      </c>
      <c r="W93" s="16"/>
      <c r="X93" s="22">
        <f>+P93-T93</f>
        <v>-501.43800004925288</v>
      </c>
      <c r="Y93" s="16"/>
      <c r="Z93" s="20">
        <f>IF(T93=0,0,X93/T93)</f>
        <v>-7.1868436901542316E-3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3237.46</v>
      </c>
      <c r="E95" s="4"/>
      <c r="F95" s="12">
        <f>IF(D$12=0,0,D95/D$12)</f>
        <v>7.5201589206330646E-2</v>
      </c>
      <c r="G95" s="4"/>
      <c r="H95" s="4">
        <v>4197</v>
      </c>
      <c r="I95" s="4"/>
      <c r="J95" s="12">
        <f>IF(H$12=0,0,H95/H$12)</f>
        <v>9.498053770254368E-2</v>
      </c>
      <c r="K95" s="4"/>
      <c r="L95" s="4">
        <f>+D95-H95</f>
        <v>-959.54</v>
      </c>
      <c r="M95" s="4"/>
      <c r="N95" s="12">
        <f>IF(H95=0,0,L95/H95)</f>
        <v>-0.22862520848224921</v>
      </c>
      <c r="O95" s="10"/>
      <c r="P95" s="4">
        <v>20678.14</v>
      </c>
      <c r="Q95" s="4"/>
      <c r="R95" s="12">
        <f>IF(P$12=0,0,P95/P$12)</f>
        <v>0.10066256824116987</v>
      </c>
      <c r="S95" s="4"/>
      <c r="T95" s="4">
        <v>27648</v>
      </c>
      <c r="U95" s="4"/>
      <c r="V95" s="12">
        <f>IF(T$12=0,0,T95/T$12)</f>
        <v>0.1204191674143503</v>
      </c>
      <c r="W95" s="4"/>
      <c r="X95" s="4">
        <f>+P95-T95</f>
        <v>-6969.8600000000006</v>
      </c>
      <c r="Y95" s="4"/>
      <c r="Z95" s="12">
        <f>IF(T95=0,0,X95/T95)</f>
        <v>-0.25209273726851855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9292.9899999999907</v>
      </c>
      <c r="E97" s="14"/>
      <c r="F97" s="33">
        <f>IF(D$12=0,0,D97/D$12)</f>
        <v>0.21586293467055589</v>
      </c>
      <c r="G97" s="14"/>
      <c r="H97" s="31">
        <f>+H93-H95</f>
        <v>5953.343993069233</v>
      </c>
      <c r="I97" s="14"/>
      <c r="J97" s="33">
        <f>IF(H$12=0,0,H97/H$12)</f>
        <v>0.13472761820107795</v>
      </c>
      <c r="K97" s="16"/>
      <c r="L97" s="31">
        <f>D97-H97</f>
        <v>3339.6460069307577</v>
      </c>
      <c r="M97" s="16"/>
      <c r="N97" s="33">
        <f>IF(H97=0,0,L97/H97)</f>
        <v>0.56096976939661281</v>
      </c>
      <c r="O97" s="29"/>
      <c r="P97" s="31">
        <f>+P93-P95</f>
        <v>48592.079999999987</v>
      </c>
      <c r="Q97" s="14"/>
      <c r="R97" s="33">
        <f>IF(P$12=0,0,P97/P$12)</f>
        <v>0.23654949473116946</v>
      </c>
      <c r="S97" s="14"/>
      <c r="T97" s="31">
        <f>+T93-T95</f>
        <v>42123.658000049239</v>
      </c>
      <c r="U97" s="14"/>
      <c r="V97" s="33">
        <f>IF(T$12=0,0,T97/T$12)</f>
        <v>0.18346700755254505</v>
      </c>
      <c r="W97" s="16"/>
      <c r="X97" s="31">
        <f>P97-T97</f>
        <v>6468.4219999507477</v>
      </c>
      <c r="Y97" s="16"/>
      <c r="Z97" s="33">
        <f>IF(T97=0,0,X97/T97)</f>
        <v>0.15355793649125121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2">
        <f>SUM(D97:D99)</f>
        <v>9292.9899999999907</v>
      </c>
      <c r="E100" s="14"/>
      <c r="F100" s="34">
        <f>IF(D$12=0,0,D100/D$12)</f>
        <v>0.21586293467055589</v>
      </c>
      <c r="G100" s="14"/>
      <c r="H100" s="32">
        <f>SUM(H97:H99)</f>
        <v>5953.343993069233</v>
      </c>
      <c r="I100" s="14"/>
      <c r="J100" s="34">
        <f>IF(H$12=0,0,H100/H$12)</f>
        <v>0.13472761820107795</v>
      </c>
      <c r="K100" s="16"/>
      <c r="L100" s="32">
        <f>+D100-H100</f>
        <v>3339.6460069307577</v>
      </c>
      <c r="M100" s="16"/>
      <c r="N100" s="34">
        <f>IF(H100=0,0,L100/H100)</f>
        <v>0.56096976939661281</v>
      </c>
      <c r="O100" s="29"/>
      <c r="P100" s="32">
        <f>SUM(P97:P99)</f>
        <v>48592.079999999987</v>
      </c>
      <c r="Q100" s="14"/>
      <c r="R100" s="34">
        <f>IF(P$12=0,0,P100/P$12)</f>
        <v>0.23654949473116946</v>
      </c>
      <c r="S100" s="14"/>
      <c r="T100" s="32">
        <f>SUM(T97:T99)</f>
        <v>42123.658000049239</v>
      </c>
      <c r="U100" s="14"/>
      <c r="V100" s="34">
        <f>IF(T$12=0,0,T100/T$12)</f>
        <v>0.18346700755254505</v>
      </c>
      <c r="W100" s="16"/>
      <c r="X100" s="32">
        <f>+P100-T100</f>
        <v>6468.4219999507477</v>
      </c>
      <c r="Y100" s="16"/>
      <c r="Z100" s="34">
        <f>IF(T100=0,0,X100/T100)</f>
        <v>0.15355793649125121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0">
        <v>43791.34819340278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4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5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42668.74</v>
      </c>
      <c r="E12" s="4"/>
      <c r="F12" s="12"/>
      <c r="G12" s="4"/>
      <c r="H12" s="4">
        <f>SUM(OSRRefH13x_0)</f>
        <v>51480</v>
      </c>
      <c r="I12" s="4"/>
      <c r="J12" s="12"/>
      <c r="K12" s="4"/>
      <c r="L12" s="4">
        <f t="shared" ref="L12:L39" si="0">+D12-H12</f>
        <v>-8811.260000000002</v>
      </c>
      <c r="M12" s="4"/>
      <c r="N12" s="12">
        <f t="shared" ref="N12:N39" si="1">IF(H12=0,0,L12/H12)</f>
        <v>-0.17115889665889669</v>
      </c>
      <c r="O12" s="10"/>
      <c r="P12" s="4">
        <f>SUM(OSRRefP13x_0)</f>
        <v>2862395.4400000004</v>
      </c>
      <c r="Q12" s="4"/>
      <c r="R12" s="12"/>
      <c r="S12" s="4"/>
      <c r="T12" s="4">
        <f>SUM(OSRRefT13x_0)</f>
        <v>3100509</v>
      </c>
      <c r="U12" s="4"/>
      <c r="V12" s="12"/>
      <c r="W12" s="4"/>
      <c r="X12" s="4">
        <f t="shared" ref="X12:X39" si="2">+P12-T12</f>
        <v>-238113.55999999959</v>
      </c>
      <c r="Y12" s="4"/>
      <c r="Z12" s="12">
        <f t="shared" ref="Z12:Z39" si="3">IF(T12=0,0,X12/T12)</f>
        <v>-7.6798216034850916E-2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--31204.32</f>
        <v>31204.32</v>
      </c>
      <c r="E13" s="2"/>
      <c r="F13" s="19"/>
      <c r="G13" s="2"/>
      <c r="H13" s="2"/>
      <c r="I13" s="2"/>
      <c r="J13" s="19"/>
      <c r="K13" s="2"/>
      <c r="L13" s="2">
        <f t="shared" si="0"/>
        <v>31204.32</v>
      </c>
      <c r="M13" s="2"/>
      <c r="N13" s="19">
        <f t="shared" si="1"/>
        <v>0</v>
      </c>
      <c r="O13" s="11"/>
      <c r="P13" s="2">
        <f>--1495159.74</f>
        <v>1495159.74</v>
      </c>
      <c r="Q13" s="2"/>
      <c r="R13" s="19"/>
      <c r="S13" s="2"/>
      <c r="T13" s="2"/>
      <c r="U13" s="2"/>
      <c r="V13" s="19"/>
      <c r="W13" s="2"/>
      <c r="X13" s="2">
        <f t="shared" si="2"/>
        <v>1495159.74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--8985.78</f>
        <v>8985.7800000000007</v>
      </c>
      <c r="E14" s="2"/>
      <c r="F14" s="19"/>
      <c r="G14" s="2"/>
      <c r="H14" s="2"/>
      <c r="I14" s="2"/>
      <c r="J14" s="19"/>
      <c r="K14" s="2"/>
      <c r="L14" s="2">
        <f t="shared" si="0"/>
        <v>8985.7800000000007</v>
      </c>
      <c r="M14" s="2"/>
      <c r="N14" s="19">
        <f t="shared" si="1"/>
        <v>0</v>
      </c>
      <c r="O14" s="11"/>
      <c r="P14" s="2">
        <f>--666296.36</f>
        <v>666296.36</v>
      </c>
      <c r="Q14" s="2"/>
      <c r="R14" s="19"/>
      <c r="S14" s="2"/>
      <c r="T14" s="2"/>
      <c r="U14" s="2"/>
      <c r="V14" s="19"/>
      <c r="W14" s="2"/>
      <c r="X14" s="2">
        <f t="shared" si="2"/>
        <v>666296.36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/>
      <c r="I15" s="2"/>
      <c r="J15" s="19"/>
      <c r="K15" s="2"/>
      <c r="L15" s="2">
        <f t="shared" si="0"/>
        <v>307.97000000000003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/>
      <c r="U15" s="2"/>
      <c r="V15" s="19"/>
      <c r="W15" s="2"/>
      <c r="X15" s="2">
        <f t="shared" si="2"/>
        <v>15844.66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/>
      <c r="I16" s="2"/>
      <c r="J16" s="19"/>
      <c r="K16" s="2"/>
      <c r="L16" s="2">
        <f t="shared" si="0"/>
        <v>460.04</v>
      </c>
      <c r="M16" s="2"/>
      <c r="N16" s="19">
        <f t="shared" si="1"/>
        <v>0</v>
      </c>
      <c r="O16" s="11"/>
      <c r="P16" s="2">
        <f>--30160.48</f>
        <v>30160.48</v>
      </c>
      <c r="Q16" s="2"/>
      <c r="R16" s="19"/>
      <c r="S16" s="2"/>
      <c r="T16" s="2"/>
      <c r="U16" s="2"/>
      <c r="V16" s="19"/>
      <c r="W16" s="2"/>
      <c r="X16" s="2">
        <f t="shared" si="2"/>
        <v>30160.48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/>
      <c r="I18" s="2"/>
      <c r="J18" s="19"/>
      <c r="K18" s="2"/>
      <c r="L18" s="2">
        <f t="shared" si="0"/>
        <v>686.63</v>
      </c>
      <c r="M18" s="2"/>
      <c r="N18" s="19">
        <f t="shared" si="1"/>
        <v>0</v>
      </c>
      <c r="O18" s="11"/>
      <c r="P18" s="2">
        <f>--827.39</f>
        <v>827.39</v>
      </c>
      <c r="Q18" s="2"/>
      <c r="R18" s="19"/>
      <c r="S18" s="2"/>
      <c r="T18" s="2"/>
      <c r="U18" s="2"/>
      <c r="V18" s="19"/>
      <c r="W18" s="2"/>
      <c r="X18" s="2">
        <f t="shared" si="2"/>
        <v>827.39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/>
      <c r="I19" s="2"/>
      <c r="J19" s="19"/>
      <c r="K19" s="2"/>
      <c r="L19" s="2">
        <f t="shared" si="0"/>
        <v>171.13</v>
      </c>
      <c r="M19" s="2"/>
      <c r="N19" s="19">
        <f t="shared" si="1"/>
        <v>0</v>
      </c>
      <c r="O19" s="11"/>
      <c r="P19" s="2">
        <f>--694.22</f>
        <v>694.22</v>
      </c>
      <c r="Q19" s="2"/>
      <c r="R19" s="19"/>
      <c r="S19" s="2"/>
      <c r="T19" s="2"/>
      <c r="U19" s="2"/>
      <c r="V19" s="19"/>
      <c r="W19" s="2"/>
      <c r="X19" s="2">
        <f t="shared" si="2"/>
        <v>694.22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--394.68</f>
        <v>394.68</v>
      </c>
      <c r="E20" s="2"/>
      <c r="F20" s="19"/>
      <c r="G20" s="2"/>
      <c r="H20" s="2"/>
      <c r="I20" s="2"/>
      <c r="J20" s="19"/>
      <c r="K20" s="2"/>
      <c r="L20" s="2">
        <f t="shared" si="0"/>
        <v>394.68</v>
      </c>
      <c r="M20" s="2"/>
      <c r="N20" s="19">
        <f t="shared" si="1"/>
        <v>0</v>
      </c>
      <c r="O20" s="11"/>
      <c r="P20" s="2">
        <f>--2454.83</f>
        <v>2454.83</v>
      </c>
      <c r="Q20" s="2"/>
      <c r="R20" s="19"/>
      <c r="S20" s="2"/>
      <c r="T20" s="2"/>
      <c r="U20" s="2"/>
      <c r="V20" s="19"/>
      <c r="W20" s="2"/>
      <c r="X20" s="2">
        <f t="shared" si="2"/>
        <v>2454.83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--3713.9</f>
        <v>3713.9</v>
      </c>
      <c r="E21" s="2"/>
      <c r="F21" s="19"/>
      <c r="G21" s="2"/>
      <c r="H21" s="2">
        <v>51480</v>
      </c>
      <c r="I21" s="2"/>
      <c r="J21" s="19"/>
      <c r="K21" s="2"/>
      <c r="L21" s="2">
        <f t="shared" si="0"/>
        <v>-47766.1</v>
      </c>
      <c r="M21" s="2"/>
      <c r="N21" s="19">
        <f t="shared" si="1"/>
        <v>-0.92785742035742036</v>
      </c>
      <c r="O21" s="11"/>
      <c r="P21" s="2">
        <f>--335381.67</f>
        <v>335381.67</v>
      </c>
      <c r="Q21" s="2"/>
      <c r="R21" s="19"/>
      <c r="S21" s="2"/>
      <c r="T21" s="2">
        <v>3100509</v>
      </c>
      <c r="U21" s="2"/>
      <c r="V21" s="19"/>
      <c r="W21" s="2"/>
      <c r="X21" s="2">
        <f t="shared" si="2"/>
        <v>-2765127.33</v>
      </c>
      <c r="Y21" s="2"/>
      <c r="Z21" s="19">
        <f t="shared" si="3"/>
        <v>-0.89183012531168271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--8438.54</f>
        <v>8438.5400000000009</v>
      </c>
      <c r="E22" s="2"/>
      <c r="F22" s="19"/>
      <c r="G22" s="2"/>
      <c r="H22" s="2"/>
      <c r="I22" s="2"/>
      <c r="J22" s="19"/>
      <c r="K22" s="2"/>
      <c r="L22" s="2">
        <f t="shared" si="0"/>
        <v>8438.5400000000009</v>
      </c>
      <c r="M22" s="2"/>
      <c r="N22" s="19">
        <f t="shared" si="1"/>
        <v>0</v>
      </c>
      <c r="O22" s="11"/>
      <c r="P22" s="2">
        <f>--92331.09</f>
        <v>92331.09</v>
      </c>
      <c r="Q22" s="2"/>
      <c r="R22" s="19"/>
      <c r="S22" s="2"/>
      <c r="T22" s="2"/>
      <c r="U22" s="2"/>
      <c r="V22" s="19"/>
      <c r="W22" s="2"/>
      <c r="X22" s="2">
        <f t="shared" si="2"/>
        <v>92331.09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--578.81</f>
        <v>578.80999999999995</v>
      </c>
      <c r="E23" s="2"/>
      <c r="F23" s="19"/>
      <c r="G23" s="2"/>
      <c r="H23" s="2"/>
      <c r="I23" s="2"/>
      <c r="J23" s="19"/>
      <c r="K23" s="2"/>
      <c r="L23" s="2">
        <f t="shared" si="0"/>
        <v>578.80999999999995</v>
      </c>
      <c r="M23" s="2"/>
      <c r="N23" s="19">
        <f t="shared" si="1"/>
        <v>0</v>
      </c>
      <c r="O23" s="11"/>
      <c r="P23" s="2">
        <f>--37022.32</f>
        <v>37022.32</v>
      </c>
      <c r="Q23" s="2"/>
      <c r="R23" s="19"/>
      <c r="S23" s="2"/>
      <c r="T23" s="2"/>
      <c r="U23" s="2"/>
      <c r="V23" s="19"/>
      <c r="W23" s="2"/>
      <c r="X23" s="2">
        <f t="shared" si="2"/>
        <v>37022.32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--1559.03</f>
        <v>1559.03</v>
      </c>
      <c r="E25" s="2"/>
      <c r="F25" s="19"/>
      <c r="G25" s="2"/>
      <c r="H25" s="2"/>
      <c r="I25" s="2"/>
      <c r="J25" s="19"/>
      <c r="K25" s="2"/>
      <c r="L25" s="2">
        <f t="shared" si="0"/>
        <v>1559.03</v>
      </c>
      <c r="M25" s="2"/>
      <c r="N25" s="19">
        <f t="shared" si="1"/>
        <v>0</v>
      </c>
      <c r="O25" s="11"/>
      <c r="P25" s="2">
        <f>--320492.85</f>
        <v>320492.84999999998</v>
      </c>
      <c r="Q25" s="2"/>
      <c r="R25" s="19"/>
      <c r="S25" s="2"/>
      <c r="T25" s="2"/>
      <c r="U25" s="2"/>
      <c r="V25" s="19"/>
      <c r="W25" s="2"/>
      <c r="X25" s="2">
        <f t="shared" si="2"/>
        <v>320492.84999999998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--757.3</f>
        <v>757.3</v>
      </c>
      <c r="E26" s="2"/>
      <c r="F26" s="19"/>
      <c r="G26" s="2"/>
      <c r="H26" s="2"/>
      <c r="I26" s="2"/>
      <c r="J26" s="19"/>
      <c r="K26" s="2"/>
      <c r="L26" s="2">
        <f t="shared" si="0"/>
        <v>757.3</v>
      </c>
      <c r="M26" s="2"/>
      <c r="N26" s="19">
        <f t="shared" si="1"/>
        <v>0</v>
      </c>
      <c r="O26" s="11"/>
      <c r="P26" s="2">
        <f>--7099.47</f>
        <v>7099.47</v>
      </c>
      <c r="Q26" s="2"/>
      <c r="R26" s="19"/>
      <c r="S26" s="2"/>
      <c r="T26" s="2"/>
      <c r="U26" s="2"/>
      <c r="V26" s="19"/>
      <c r="W26" s="2"/>
      <c r="X26" s="2">
        <f t="shared" si="2"/>
        <v>7099.47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/>
      <c r="U28" s="2"/>
      <c r="V28" s="19"/>
      <c r="W28" s="2"/>
      <c r="X28" s="2">
        <f t="shared" si="2"/>
        <v>20.92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-4543.92</f>
        <v>-4543.92</v>
      </c>
      <c r="E29" s="2"/>
      <c r="F29" s="19"/>
      <c r="G29" s="2"/>
      <c r="H29" s="2"/>
      <c r="I29" s="2"/>
      <c r="J29" s="19"/>
      <c r="K29" s="2"/>
      <c r="L29" s="2">
        <f t="shared" si="0"/>
        <v>-4543.92</v>
      </c>
      <c r="M29" s="2"/>
      <c r="N29" s="19">
        <f t="shared" si="1"/>
        <v>0</v>
      </c>
      <c r="O29" s="11"/>
      <c r="P29" s="2">
        <f>-77783.67</f>
        <v>-77783.67</v>
      </c>
      <c r="Q29" s="2"/>
      <c r="R29" s="19"/>
      <c r="S29" s="2"/>
      <c r="T29" s="2"/>
      <c r="U29" s="2"/>
      <c r="V29" s="19"/>
      <c r="W29" s="2"/>
      <c r="X29" s="2">
        <f t="shared" si="2"/>
        <v>-77783.67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-3577.9</f>
        <v>-3577.9</v>
      </c>
      <c r="E30" s="2"/>
      <c r="F30" s="19"/>
      <c r="G30" s="2"/>
      <c r="H30" s="2"/>
      <c r="I30" s="2"/>
      <c r="J30" s="19"/>
      <c r="K30" s="2"/>
      <c r="L30" s="2">
        <f t="shared" si="0"/>
        <v>-3577.9</v>
      </c>
      <c r="M30" s="2"/>
      <c r="N30" s="19">
        <f t="shared" si="1"/>
        <v>0</v>
      </c>
      <c r="O30" s="11"/>
      <c r="P30" s="2">
        <f>-26929</f>
        <v>-26929</v>
      </c>
      <c r="Q30" s="2"/>
      <c r="R30" s="19"/>
      <c r="S30" s="2"/>
      <c r="T30" s="2"/>
      <c r="U30" s="2"/>
      <c r="V30" s="19"/>
      <c r="W30" s="2"/>
      <c r="X30" s="2">
        <f t="shared" si="2"/>
        <v>-26929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-193.34</f>
        <v>-193.34</v>
      </c>
      <c r="E32" s="2"/>
      <c r="F32" s="19"/>
      <c r="G32" s="2"/>
      <c r="H32" s="2"/>
      <c r="I32" s="2"/>
      <c r="J32" s="19"/>
      <c r="K32" s="2"/>
      <c r="L32" s="2">
        <f t="shared" si="0"/>
        <v>-193.34</v>
      </c>
      <c r="M32" s="2"/>
      <c r="N32" s="19">
        <f t="shared" si="1"/>
        <v>0</v>
      </c>
      <c r="O32" s="11"/>
      <c r="P32" s="2">
        <f>-11250.06</f>
        <v>-11250.06</v>
      </c>
      <c r="Q32" s="2"/>
      <c r="R32" s="19"/>
      <c r="S32" s="2"/>
      <c r="T32" s="2"/>
      <c r="U32" s="2"/>
      <c r="V32" s="19"/>
      <c r="W32" s="2"/>
      <c r="X32" s="2">
        <f t="shared" si="2"/>
        <v>-11250.06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-35.37</f>
        <v>-35.369999999999997</v>
      </c>
      <c r="E33" s="2"/>
      <c r="F33" s="19"/>
      <c r="G33" s="2"/>
      <c r="H33" s="2"/>
      <c r="I33" s="2"/>
      <c r="J33" s="19"/>
      <c r="K33" s="2"/>
      <c r="L33" s="2">
        <f t="shared" si="0"/>
        <v>-35.369999999999997</v>
      </c>
      <c r="M33" s="2"/>
      <c r="N33" s="19">
        <f t="shared" si="1"/>
        <v>0</v>
      </c>
      <c r="O33" s="11"/>
      <c r="P33" s="2">
        <f>-35.37</f>
        <v>-35.369999999999997</v>
      </c>
      <c r="Q33" s="2"/>
      <c r="R33" s="19"/>
      <c r="S33" s="2"/>
      <c r="T33" s="2"/>
      <c r="U33" s="2"/>
      <c r="V33" s="19"/>
      <c r="W33" s="2"/>
      <c r="X33" s="2">
        <f t="shared" si="2"/>
        <v>-35.369999999999997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/>
      <c r="U34" s="2"/>
      <c r="V34" s="19"/>
      <c r="W34" s="2"/>
      <c r="X34" s="2">
        <f t="shared" si="2"/>
        <v>-32.75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-5585.76</f>
        <v>-5585.76</v>
      </c>
      <c r="E35" s="2"/>
      <c r="F35" s="19"/>
      <c r="G35" s="2"/>
      <c r="H35" s="2"/>
      <c r="I35" s="2"/>
      <c r="J35" s="19"/>
      <c r="K35" s="2"/>
      <c r="L35" s="2">
        <f t="shared" si="0"/>
        <v>-5585.76</v>
      </c>
      <c r="M35" s="2"/>
      <c r="N35" s="19">
        <f t="shared" si="1"/>
        <v>0</v>
      </c>
      <c r="O35" s="11"/>
      <c r="P35" s="2">
        <f>-12310.98</f>
        <v>-12310.98</v>
      </c>
      <c r="Q35" s="2"/>
      <c r="R35" s="19"/>
      <c r="S35" s="2"/>
      <c r="T35" s="2"/>
      <c r="U35" s="2"/>
      <c r="V35" s="19"/>
      <c r="W35" s="2"/>
      <c r="X35" s="2">
        <f t="shared" si="2"/>
        <v>-12310.98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-35.1</f>
        <v>-35.1</v>
      </c>
      <c r="E36" s="2"/>
      <c r="F36" s="19"/>
      <c r="G36" s="2"/>
      <c r="H36" s="2"/>
      <c r="I36" s="2"/>
      <c r="J36" s="19"/>
      <c r="K36" s="2"/>
      <c r="L36" s="2">
        <f t="shared" si="0"/>
        <v>-35.1</v>
      </c>
      <c r="M36" s="2"/>
      <c r="N36" s="19">
        <f t="shared" si="1"/>
        <v>0</v>
      </c>
      <c r="O36" s="11"/>
      <c r="P36" s="2">
        <f>-683.8</f>
        <v>-683.8</v>
      </c>
      <c r="Q36" s="2"/>
      <c r="R36" s="19"/>
      <c r="S36" s="2"/>
      <c r="T36" s="2"/>
      <c r="U36" s="2"/>
      <c r="V36" s="19"/>
      <c r="W36" s="2"/>
      <c r="X36" s="2">
        <f t="shared" si="2"/>
        <v>-683.8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/>
      <c r="U37" s="2"/>
      <c r="V37" s="19"/>
      <c r="W37" s="2"/>
      <c r="X37" s="2">
        <f t="shared" si="2"/>
        <v>-184.99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-617.98</f>
        <v>-617.98</v>
      </c>
      <c r="E38" s="2"/>
      <c r="F38" s="19"/>
      <c r="G38" s="2"/>
      <c r="H38" s="2"/>
      <c r="I38" s="2"/>
      <c r="J38" s="19"/>
      <c r="K38" s="2"/>
      <c r="L38" s="2">
        <f t="shared" si="0"/>
        <v>-617.98</v>
      </c>
      <c r="M38" s="2"/>
      <c r="N38" s="19">
        <f t="shared" si="1"/>
        <v>0</v>
      </c>
      <c r="O38" s="11"/>
      <c r="P38" s="2">
        <f>-13133.29</f>
        <v>-13133.29</v>
      </c>
      <c r="Q38" s="2"/>
      <c r="R38" s="19"/>
      <c r="S38" s="2"/>
      <c r="T38" s="2"/>
      <c r="U38" s="2"/>
      <c r="V38" s="19"/>
      <c r="W38" s="2"/>
      <c r="X38" s="2">
        <f t="shared" si="2"/>
        <v>-13133.29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-0.02</f>
        <v>-0.02</v>
      </c>
      <c r="E39" s="2"/>
      <c r="F39" s="19"/>
      <c r="G39" s="2"/>
      <c r="H39" s="2"/>
      <c r="I39" s="2"/>
      <c r="J39" s="19"/>
      <c r="K39" s="2"/>
      <c r="L39" s="2">
        <f t="shared" si="0"/>
        <v>-0.02</v>
      </c>
      <c r="M39" s="2"/>
      <c r="N39" s="19">
        <f t="shared" si="1"/>
        <v>0</v>
      </c>
      <c r="O39" s="11"/>
      <c r="P39" s="2">
        <f>-387.96</f>
        <v>-387.96</v>
      </c>
      <c r="Q39" s="2"/>
      <c r="R39" s="19"/>
      <c r="S39" s="2"/>
      <c r="T39" s="2"/>
      <c r="U39" s="2"/>
      <c r="V39" s="19"/>
      <c r="W39" s="2"/>
      <c r="X39" s="2">
        <f t="shared" si="2"/>
        <v>-387.96</v>
      </c>
      <c r="Y39" s="2"/>
      <c r="Z39" s="19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32914.55999999999</v>
      </c>
      <c r="E41" s="4"/>
      <c r="F41" s="12">
        <f t="shared" ref="F41:F55" si="5">IF(D$12=0,0,D41/D$12)</f>
        <v>0.77139751490201003</v>
      </c>
      <c r="G41" s="4"/>
      <c r="H41" s="4">
        <f>SUM(OSRRefH16x_0)</f>
        <v>37367.020000000004</v>
      </c>
      <c r="I41" s="4"/>
      <c r="J41" s="12">
        <f t="shared" ref="J41:J55" si="6">IF(H$12=0,0,H41/H$12)</f>
        <v>0.72585508935508947</v>
      </c>
      <c r="K41" s="4"/>
      <c r="L41" s="4">
        <f t="shared" ref="L41:L55" si="7">+D41-H41</f>
        <v>-4452.4600000000137</v>
      </c>
      <c r="M41" s="4"/>
      <c r="N41" s="12">
        <f t="shared" ref="N41:N55" si="8">IF(H41=0,0,L41/H41)</f>
        <v>-0.11915480549425705</v>
      </c>
      <c r="O41" s="10"/>
      <c r="P41" s="4">
        <f>SUM(OSRRefP16x_0)</f>
        <v>2101156.09</v>
      </c>
      <c r="Q41" s="4"/>
      <c r="R41" s="12">
        <f t="shared" ref="R41:R55" si="9">IF(P$12=0,0,P41/P$12)</f>
        <v>0.73405514159147756</v>
      </c>
      <c r="S41" s="4"/>
      <c r="T41" s="4">
        <f>SUM(OSRRefT16x_0)</f>
        <v>2240565.67</v>
      </c>
      <c r="U41" s="4"/>
      <c r="V41" s="12">
        <f t="shared" ref="V41:V55" si="10">IF(T$12=0,0,T41/T$12)</f>
        <v>0.72264446579577735</v>
      </c>
      <c r="W41" s="4"/>
      <c r="X41" s="4">
        <f t="shared" ref="X41:X55" si="11">+P41-T41</f>
        <v>-139409.58000000007</v>
      </c>
      <c r="Y41" s="4"/>
      <c r="Z41" s="12">
        <f t="shared" ref="Z41:Z55" si="12">IF(T41=0,0,X41/T41)</f>
        <v>-6.2220706969950176E-2</v>
      </c>
    </row>
    <row r="42" spans="1:26" s="24" customFormat="1" hidden="1" outlineLevel="1" x14ac:dyDescent="0.25">
      <c r="A42" s="44"/>
      <c r="B42" s="11" t="str">
        <f>CONCATENATE("          ", "5000", " - ", "PURCHASES @ COST")</f>
        <v xml:space="preserve">          5000 - PURCHASES @ COST</v>
      </c>
      <c r="C42" s="11"/>
      <c r="D42" s="2"/>
      <c r="E42" s="2"/>
      <c r="F42" s="19">
        <f t="shared" si="5"/>
        <v>0</v>
      </c>
      <c r="G42" s="2"/>
      <c r="H42" s="2">
        <v>37367.020000000004</v>
      </c>
      <c r="I42" s="2"/>
      <c r="J42" s="19">
        <f t="shared" si="6"/>
        <v>0.72585508935508947</v>
      </c>
      <c r="K42" s="2"/>
      <c r="L42" s="2">
        <f t="shared" si="7"/>
        <v>-37367.020000000004</v>
      </c>
      <c r="M42" s="2"/>
      <c r="N42" s="19">
        <f t="shared" si="8"/>
        <v>-1</v>
      </c>
      <c r="O42" s="11"/>
      <c r="P42" s="2"/>
      <c r="Q42" s="2"/>
      <c r="R42" s="19">
        <f t="shared" si="9"/>
        <v>0</v>
      </c>
      <c r="S42" s="2"/>
      <c r="T42" s="2">
        <v>2240565.67</v>
      </c>
      <c r="U42" s="2"/>
      <c r="V42" s="19">
        <f t="shared" si="10"/>
        <v>0.72264446579577735</v>
      </c>
      <c r="W42" s="2"/>
      <c r="X42" s="2">
        <f t="shared" si="11"/>
        <v>-2240565.67</v>
      </c>
      <c r="Y42" s="2"/>
      <c r="Z42" s="19">
        <f t="shared" si="12"/>
        <v>-1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-175502.53</v>
      </c>
      <c r="E43" s="2"/>
      <c r="F43" s="19">
        <f t="shared" si="5"/>
        <v>-4.1131406739453755</v>
      </c>
      <c r="G43" s="2"/>
      <c r="H43" s="2"/>
      <c r="I43" s="2"/>
      <c r="J43" s="19">
        <f t="shared" si="6"/>
        <v>0</v>
      </c>
      <c r="K43" s="2"/>
      <c r="L43" s="2">
        <f t="shared" si="7"/>
        <v>-175502.53</v>
      </c>
      <c r="M43" s="2"/>
      <c r="N43" s="19">
        <f t="shared" si="8"/>
        <v>0</v>
      </c>
      <c r="O43" s="11"/>
      <c r="P43" s="2">
        <v>1757148.42</v>
      </c>
      <c r="Q43" s="2"/>
      <c r="R43" s="19">
        <f t="shared" si="9"/>
        <v>0.61387339968652255</v>
      </c>
      <c r="S43" s="2"/>
      <c r="T43" s="2"/>
      <c r="U43" s="2"/>
      <c r="V43" s="19">
        <f t="shared" si="10"/>
        <v>0</v>
      </c>
      <c r="W43" s="2"/>
      <c r="X43" s="2">
        <f t="shared" si="11"/>
        <v>1757148.42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14221.93</v>
      </c>
      <c r="E44" s="2"/>
      <c r="F44" s="19">
        <f t="shared" si="5"/>
        <v>0.33331028757821302</v>
      </c>
      <c r="G44" s="2"/>
      <c r="H44" s="2"/>
      <c r="I44" s="2"/>
      <c r="J44" s="19">
        <f t="shared" si="6"/>
        <v>0</v>
      </c>
      <c r="K44" s="2"/>
      <c r="L44" s="2">
        <f t="shared" si="7"/>
        <v>14221.93</v>
      </c>
      <c r="M44" s="2"/>
      <c r="N44" s="19">
        <f t="shared" si="8"/>
        <v>0</v>
      </c>
      <c r="O44" s="11"/>
      <c r="P44" s="2">
        <v>368033.17</v>
      </c>
      <c r="Q44" s="2"/>
      <c r="R44" s="19">
        <f t="shared" si="9"/>
        <v>0.12857523627133779</v>
      </c>
      <c r="S44" s="2"/>
      <c r="T44" s="2"/>
      <c r="U44" s="2"/>
      <c r="V44" s="19">
        <f t="shared" si="10"/>
        <v>0</v>
      </c>
      <c r="W44" s="2"/>
      <c r="X44" s="2">
        <f t="shared" si="11"/>
        <v>368033.17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-78.400000000000006</v>
      </c>
      <c r="Q45" s="2"/>
      <c r="R45" s="19">
        <f t="shared" si="9"/>
        <v>-2.7389646763830783E-5</v>
      </c>
      <c r="S45" s="2"/>
      <c r="T45" s="2"/>
      <c r="U45" s="2"/>
      <c r="V45" s="19">
        <f t="shared" si="10"/>
        <v>0</v>
      </c>
      <c r="W45" s="2"/>
      <c r="X45" s="2">
        <f t="shared" si="11"/>
        <v>-78.400000000000006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-30949.360000000001</v>
      </c>
      <c r="E46" s="2"/>
      <c r="F46" s="19">
        <f t="shared" si="5"/>
        <v>-0.72534037799100703</v>
      </c>
      <c r="G46" s="2"/>
      <c r="H46" s="2"/>
      <c r="I46" s="2"/>
      <c r="J46" s="19">
        <f t="shared" si="6"/>
        <v>0</v>
      </c>
      <c r="K46" s="2"/>
      <c r="L46" s="2">
        <f t="shared" si="7"/>
        <v>-30949.360000000001</v>
      </c>
      <c r="M46" s="2"/>
      <c r="N46" s="19">
        <f t="shared" si="8"/>
        <v>0</v>
      </c>
      <c r="O46" s="11"/>
      <c r="P46" s="2">
        <v>322779.02999999997</v>
      </c>
      <c r="Q46" s="2"/>
      <c r="R46" s="19">
        <f t="shared" si="9"/>
        <v>0.11276535222540737</v>
      </c>
      <c r="S46" s="2"/>
      <c r="T46" s="2"/>
      <c r="U46" s="2"/>
      <c r="V46" s="19">
        <f t="shared" si="10"/>
        <v>0</v>
      </c>
      <c r="W46" s="2"/>
      <c r="X46" s="2">
        <f t="shared" si="11"/>
        <v>322779.02999999997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90</v>
      </c>
      <c r="E47" s="2"/>
      <c r="F47" s="19">
        <f t="shared" si="5"/>
        <v>2.1092725025393297E-3</v>
      </c>
      <c r="G47" s="2"/>
      <c r="H47" s="2"/>
      <c r="I47" s="2"/>
      <c r="J47" s="19">
        <f t="shared" si="6"/>
        <v>0</v>
      </c>
      <c r="K47" s="2"/>
      <c r="L47" s="2">
        <f t="shared" si="7"/>
        <v>90</v>
      </c>
      <c r="M47" s="2"/>
      <c r="N47" s="19">
        <f t="shared" si="8"/>
        <v>0</v>
      </c>
      <c r="O47" s="11"/>
      <c r="P47" s="2">
        <v>3675</v>
      </c>
      <c r="Q47" s="2"/>
      <c r="R47" s="19">
        <f t="shared" si="9"/>
        <v>1.283889692054568E-3</v>
      </c>
      <c r="S47" s="2"/>
      <c r="T47" s="2"/>
      <c r="U47" s="2"/>
      <c r="V47" s="19">
        <f t="shared" si="10"/>
        <v>0</v>
      </c>
      <c r="W47" s="2"/>
      <c r="X47" s="2">
        <f t="shared" si="11"/>
        <v>3675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212.56</v>
      </c>
      <c r="E48" s="2"/>
      <c r="F48" s="19">
        <f t="shared" si="5"/>
        <v>4.9816329237751108E-3</v>
      </c>
      <c r="G48" s="2"/>
      <c r="H48" s="2"/>
      <c r="I48" s="2"/>
      <c r="J48" s="19">
        <f t="shared" si="6"/>
        <v>0</v>
      </c>
      <c r="K48" s="2"/>
      <c r="L48" s="2">
        <f t="shared" si="7"/>
        <v>212.56</v>
      </c>
      <c r="M48" s="2"/>
      <c r="N48" s="19">
        <f t="shared" si="8"/>
        <v>0</v>
      </c>
      <c r="O48" s="11"/>
      <c r="P48" s="2">
        <v>687.35</v>
      </c>
      <c r="Q48" s="2"/>
      <c r="R48" s="19">
        <f t="shared" si="9"/>
        <v>2.4013104213162104E-4</v>
      </c>
      <c r="S48" s="2"/>
      <c r="T48" s="2"/>
      <c r="U48" s="2"/>
      <c r="V48" s="19">
        <f t="shared" si="10"/>
        <v>0</v>
      </c>
      <c r="W48" s="2"/>
      <c r="X48" s="2">
        <f t="shared" si="11"/>
        <v>687.35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37.54</v>
      </c>
      <c r="E49" s="2"/>
      <c r="F49" s="19">
        <f t="shared" si="5"/>
        <v>8.7980099717029374E-4</v>
      </c>
      <c r="G49" s="2"/>
      <c r="H49" s="2"/>
      <c r="I49" s="2"/>
      <c r="J49" s="19">
        <f t="shared" si="6"/>
        <v>0</v>
      </c>
      <c r="K49" s="2"/>
      <c r="L49" s="2">
        <f t="shared" si="7"/>
        <v>37.54</v>
      </c>
      <c r="M49" s="2"/>
      <c r="N49" s="19">
        <f t="shared" si="8"/>
        <v>0</v>
      </c>
      <c r="O49" s="11"/>
      <c r="P49" s="2">
        <v>327.51</v>
      </c>
      <c r="Q49" s="2"/>
      <c r="R49" s="19">
        <f t="shared" si="9"/>
        <v>1.1441815320946709E-4</v>
      </c>
      <c r="S49" s="2"/>
      <c r="T49" s="2"/>
      <c r="U49" s="2"/>
      <c r="V49" s="19">
        <f t="shared" si="10"/>
        <v>0</v>
      </c>
      <c r="W49" s="2"/>
      <c r="X49" s="2">
        <f t="shared" si="11"/>
        <v>327.51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298.16000000000003</v>
      </c>
      <c r="E50" s="2"/>
      <c r="F50" s="19">
        <f t="shared" si="5"/>
        <v>6.9877854373014067E-3</v>
      </c>
      <c r="G50" s="2"/>
      <c r="H50" s="2"/>
      <c r="I50" s="2"/>
      <c r="J50" s="19">
        <f t="shared" si="6"/>
        <v>0</v>
      </c>
      <c r="K50" s="2"/>
      <c r="L50" s="2">
        <f t="shared" si="7"/>
        <v>298.16000000000003</v>
      </c>
      <c r="M50" s="2"/>
      <c r="N50" s="19">
        <f t="shared" si="8"/>
        <v>0</v>
      </c>
      <c r="O50" s="11"/>
      <c r="P50" s="2">
        <v>802.09</v>
      </c>
      <c r="Q50" s="2"/>
      <c r="R50" s="19">
        <f t="shared" si="9"/>
        <v>2.8021634914287034E-4</v>
      </c>
      <c r="S50" s="2"/>
      <c r="T50" s="2"/>
      <c r="U50" s="2"/>
      <c r="V50" s="19">
        <f t="shared" si="10"/>
        <v>0</v>
      </c>
      <c r="W50" s="2"/>
      <c r="X50" s="2">
        <f t="shared" si="11"/>
        <v>802.09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191884</v>
      </c>
      <c r="E51" s="2"/>
      <c r="F51" s="19">
        <f t="shared" si="5"/>
        <v>4.4970627208584082</v>
      </c>
      <c r="G51" s="2"/>
      <c r="H51" s="2"/>
      <c r="I51" s="2"/>
      <c r="J51" s="19">
        <f t="shared" si="6"/>
        <v>0</v>
      </c>
      <c r="K51" s="2"/>
      <c r="L51" s="2">
        <f t="shared" si="7"/>
        <v>191884</v>
      </c>
      <c r="M51" s="2"/>
      <c r="N51" s="19">
        <f t="shared" si="8"/>
        <v>0</v>
      </c>
      <c r="O51" s="11"/>
      <c r="P51" s="2">
        <v>-1811575</v>
      </c>
      <c r="Q51" s="2"/>
      <c r="R51" s="19">
        <f t="shared" si="9"/>
        <v>-0.63288774663503511</v>
      </c>
      <c r="S51" s="2"/>
      <c r="T51" s="2"/>
      <c r="U51" s="2"/>
      <c r="V51" s="19">
        <f t="shared" si="10"/>
        <v>0</v>
      </c>
      <c r="W51" s="2"/>
      <c r="X51" s="2">
        <f t="shared" si="11"/>
        <v>-1811575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24503</v>
      </c>
      <c r="E52" s="2"/>
      <c r="F52" s="19">
        <f t="shared" si="5"/>
        <v>0.57426115699690217</v>
      </c>
      <c r="G52" s="2"/>
      <c r="H52" s="2"/>
      <c r="I52" s="2"/>
      <c r="J52" s="19">
        <f t="shared" si="6"/>
        <v>0</v>
      </c>
      <c r="K52" s="2"/>
      <c r="L52" s="2">
        <f t="shared" si="7"/>
        <v>24503</v>
      </c>
      <c r="M52" s="2"/>
      <c r="N52" s="19">
        <f t="shared" si="8"/>
        <v>0</v>
      </c>
      <c r="O52" s="11"/>
      <c r="P52" s="2">
        <v>1418386</v>
      </c>
      <c r="Q52" s="2"/>
      <c r="R52" s="19">
        <f t="shared" si="9"/>
        <v>0.49552412646381233</v>
      </c>
      <c r="S52" s="2"/>
      <c r="T52" s="2"/>
      <c r="U52" s="2"/>
      <c r="V52" s="19">
        <f t="shared" si="10"/>
        <v>0</v>
      </c>
      <c r="W52" s="2"/>
      <c r="X52" s="2">
        <f t="shared" si="11"/>
        <v>1418386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7434.02</v>
      </c>
      <c r="E53" s="2"/>
      <c r="F53" s="19">
        <f t="shared" si="5"/>
        <v>0.17422637743697145</v>
      </c>
      <c r="G53" s="2"/>
      <c r="H53" s="2"/>
      <c r="I53" s="2"/>
      <c r="J53" s="19">
        <f t="shared" si="6"/>
        <v>0</v>
      </c>
      <c r="K53" s="2"/>
      <c r="L53" s="2">
        <f t="shared" si="7"/>
        <v>7434.02</v>
      </c>
      <c r="M53" s="2"/>
      <c r="N53" s="19">
        <f t="shared" si="8"/>
        <v>0</v>
      </c>
      <c r="O53" s="11"/>
      <c r="P53" s="2">
        <v>34017.480000000003</v>
      </c>
      <c r="Q53" s="2"/>
      <c r="R53" s="19">
        <f t="shared" si="9"/>
        <v>1.1884269910659164E-2</v>
      </c>
      <c r="S53" s="2"/>
      <c r="T53" s="2"/>
      <c r="U53" s="2"/>
      <c r="V53" s="19">
        <f t="shared" si="10"/>
        <v>0</v>
      </c>
      <c r="W53" s="2"/>
      <c r="X53" s="2">
        <f t="shared" si="11"/>
        <v>34017.480000000003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591.29999999999995</v>
      </c>
      <c r="E54" s="2"/>
      <c r="F54" s="19">
        <f t="shared" si="5"/>
        <v>1.3857920341683396E-2</v>
      </c>
      <c r="G54" s="2"/>
      <c r="H54" s="2"/>
      <c r="I54" s="2"/>
      <c r="J54" s="19">
        <f t="shared" si="6"/>
        <v>0</v>
      </c>
      <c r="K54" s="2"/>
      <c r="L54" s="2">
        <f t="shared" si="7"/>
        <v>591.29999999999995</v>
      </c>
      <c r="M54" s="2"/>
      <c r="N54" s="19">
        <f t="shared" si="8"/>
        <v>0</v>
      </c>
      <c r="O54" s="11"/>
      <c r="P54" s="2">
        <v>6852.47</v>
      </c>
      <c r="Q54" s="2"/>
      <c r="R54" s="19">
        <f t="shared" si="9"/>
        <v>2.3939634280580042E-3</v>
      </c>
      <c r="S54" s="2"/>
      <c r="T54" s="2"/>
      <c r="U54" s="2"/>
      <c r="V54" s="19">
        <f t="shared" si="10"/>
        <v>0</v>
      </c>
      <c r="W54" s="2"/>
      <c r="X54" s="2">
        <f t="shared" si="11"/>
        <v>6852.47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93.94</v>
      </c>
      <c r="E55" s="2"/>
      <c r="F55" s="19">
        <f t="shared" si="5"/>
        <v>2.2016117654282737E-3</v>
      </c>
      <c r="G55" s="2"/>
      <c r="H55" s="2"/>
      <c r="I55" s="2"/>
      <c r="J55" s="19">
        <f t="shared" si="6"/>
        <v>0</v>
      </c>
      <c r="K55" s="2"/>
      <c r="L55" s="2">
        <f t="shared" si="7"/>
        <v>93.94</v>
      </c>
      <c r="M55" s="2"/>
      <c r="N55" s="19">
        <f t="shared" si="8"/>
        <v>0</v>
      </c>
      <c r="O55" s="11"/>
      <c r="P55" s="2">
        <v>100.97</v>
      </c>
      <c r="Q55" s="2"/>
      <c r="R55" s="19">
        <f t="shared" si="9"/>
        <v>3.5274650940612171E-5</v>
      </c>
      <c r="S55" s="2"/>
      <c r="T55" s="2"/>
      <c r="U55" s="2"/>
      <c r="V55" s="19">
        <f t="shared" si="10"/>
        <v>0</v>
      </c>
      <c r="W55" s="2"/>
      <c r="X55" s="2">
        <f t="shared" si="11"/>
        <v>100.97</v>
      </c>
      <c r="Y55" s="2"/>
      <c r="Z55" s="19">
        <f t="shared" si="12"/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8" t="s">
        <v>6</v>
      </c>
      <c r="C57" s="28"/>
      <c r="D57" s="22">
        <f>D12-D41</f>
        <v>9754.1800000000076</v>
      </c>
      <c r="E57" s="14"/>
      <c r="F57" s="20">
        <f>IF(D$12=0,0,D57/D$12)</f>
        <v>0.22860248509798997</v>
      </c>
      <c r="G57" s="14"/>
      <c r="H57" s="22">
        <f>H12-H41</f>
        <v>14112.979999999996</v>
      </c>
      <c r="I57" s="14"/>
      <c r="J57" s="20">
        <f>IF(H$12=0,0,H57/H$12)</f>
        <v>0.27414491064491059</v>
      </c>
      <c r="K57" s="16"/>
      <c r="L57" s="22">
        <f>+D57-H57</f>
        <v>-4358.7999999999884</v>
      </c>
      <c r="M57" s="16"/>
      <c r="N57" s="20">
        <f>IF(H57=0,0,L57/H57)</f>
        <v>-0.30885043413935181</v>
      </c>
      <c r="O57" s="29"/>
      <c r="P57" s="22">
        <f>P12-P41</f>
        <v>761239.35000000056</v>
      </c>
      <c r="Q57" s="14"/>
      <c r="R57" s="20">
        <f>IF(P$12=0,0,P57/P$12)</f>
        <v>0.2659448584085225</v>
      </c>
      <c r="S57" s="14"/>
      <c r="T57" s="22">
        <f>T12-T41</f>
        <v>859943.33000000007</v>
      </c>
      <c r="U57" s="14"/>
      <c r="V57" s="20">
        <f>IF(T$12=0,0,T57/T$12)</f>
        <v>0.2773555342042226</v>
      </c>
      <c r="W57" s="16"/>
      <c r="X57" s="22">
        <f>+P57-T57</f>
        <v>-98703.979999999516</v>
      </c>
      <c r="Y57" s="16"/>
      <c r="Z57" s="20">
        <f>IF(T57=0,0,X57/T57)</f>
        <v>-0.11477963321141116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9</v>
      </c>
      <c r="C59" s="10"/>
      <c r="D59" s="21">
        <f>SUM(OSRRefD22x_0)</f>
        <v>43533.96</v>
      </c>
      <c r="E59" s="21"/>
      <c r="F59" s="35">
        <f t="shared" ref="F59:F70" si="13">IF(D$12=0,0,D59/D$12)</f>
        <v>1.0202776083849676</v>
      </c>
      <c r="G59" s="21"/>
      <c r="H59" s="21">
        <f>SUM(OSRRefH22x_0)</f>
        <v>54428.66961037225</v>
      </c>
      <c r="I59" s="21"/>
      <c r="J59" s="35">
        <f t="shared" ref="J59:J70" si="14">IF(H$12=0,0,H59/H$12)</f>
        <v>1.0572779644594454</v>
      </c>
      <c r="K59" s="4"/>
      <c r="L59" s="21">
        <f t="shared" ref="L59:L70" si="15">+D59-H59</f>
        <v>-10894.709610372251</v>
      </c>
      <c r="M59" s="4"/>
      <c r="N59" s="35">
        <f t="shared" ref="N59:N70" si="16">IF(H59=0,0,L59/H59)</f>
        <v>-0.20016490736154408</v>
      </c>
      <c r="O59" s="10"/>
      <c r="P59" s="21">
        <f>SUM(OSRRefP22x_0)</f>
        <v>160525.72999999995</v>
      </c>
      <c r="Q59" s="21"/>
      <c r="R59" s="35">
        <f t="shared" ref="R59:R70" si="17">IF(P$12=0,0,P59/P$12)</f>
        <v>5.6080906137832558E-2</v>
      </c>
      <c r="S59" s="21"/>
      <c r="T59" s="21">
        <f>SUM(OSRRefT22x_0)</f>
        <v>218857.16767034025</v>
      </c>
      <c r="U59" s="21"/>
      <c r="V59" s="35">
        <f t="shared" ref="V59:V70" si="18">IF(T$12=0,0,T59/T$12)</f>
        <v>7.0587496333776242E-2</v>
      </c>
      <c r="W59" s="4"/>
      <c r="X59" s="21">
        <f t="shared" ref="X59:X70" si="19">+P59-T59</f>
        <v>-58331.437670340296</v>
      </c>
      <c r="Y59" s="4"/>
      <c r="Z59" s="35">
        <f t="shared" ref="Z59:Z70" si="20">IF(T59=0,0,X59/T59)</f>
        <v>-0.26652742650039069</v>
      </c>
    </row>
    <row r="60" spans="1:26" s="26" customFormat="1" outlineLevel="1" collapsed="1" x14ac:dyDescent="0.25">
      <c r="A60" s="25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12250.08</v>
      </c>
      <c r="E60" s="1"/>
      <c r="F60" s="5">
        <f t="shared" si="13"/>
        <v>0.28709729886563323</v>
      </c>
      <c r="G60" s="1"/>
      <c r="H60" s="1">
        <f>SUM(OSRRefH22_0x_0)</f>
        <v>13886.235590718454</v>
      </c>
      <c r="I60" s="1"/>
      <c r="J60" s="5">
        <f t="shared" si="14"/>
        <v>0.26974039609010203</v>
      </c>
      <c r="K60" s="1"/>
      <c r="L60" s="1">
        <f t="shared" si="15"/>
        <v>-1636.1555907184538</v>
      </c>
      <c r="M60" s="1"/>
      <c r="N60" s="5">
        <f t="shared" si="16"/>
        <v>-0.11782571165738097</v>
      </c>
      <c r="O60" s="13"/>
      <c r="P60" s="1">
        <f>SUM(OSRRefP22_0x_0)</f>
        <v>42583.29</v>
      </c>
      <c r="Q60" s="1"/>
      <c r="R60" s="5">
        <f t="shared" si="17"/>
        <v>1.487680192782867E-2</v>
      </c>
      <c r="S60" s="1"/>
      <c r="T60" s="1">
        <f>SUM(OSRRefT22_0x_0)</f>
        <v>52660.625199586451</v>
      </c>
      <c r="U60" s="1"/>
      <c r="V60" s="5">
        <f t="shared" si="18"/>
        <v>1.6984509704563493E-2</v>
      </c>
      <c r="W60" s="1"/>
      <c r="X60" s="1">
        <f t="shared" si="19"/>
        <v>-10077.33519958645</v>
      </c>
      <c r="Y60" s="1"/>
      <c r="Z60" s="5">
        <f t="shared" si="20"/>
        <v>-0.19136375919185988</v>
      </c>
    </row>
    <row r="61" spans="1:26" s="24" customFormat="1" hidden="1" outlineLevel="2" x14ac:dyDescent="0.25">
      <c r="A61" s="27"/>
      <c r="B61" s="11" t="str">
        <f>CONCATENATE("          ", "6111", " - ", "F.I.C.A.")</f>
        <v xml:space="preserve">          6111 - F.I.C.A.</v>
      </c>
      <c r="C61" s="11"/>
      <c r="D61" s="6">
        <v>2806.9</v>
      </c>
      <c r="E61" s="2"/>
      <c r="F61" s="7">
        <f t="shared" si="13"/>
        <v>6.5783522081973828E-2</v>
      </c>
      <c r="G61" s="2"/>
      <c r="H61" s="6">
        <v>2003.69738081077</v>
      </c>
      <c r="I61" s="2"/>
      <c r="J61" s="7">
        <f t="shared" si="14"/>
        <v>3.8921860544109753E-2</v>
      </c>
      <c r="K61" s="2"/>
      <c r="L61" s="6">
        <f t="shared" si="15"/>
        <v>803.20261918923006</v>
      </c>
      <c r="M61" s="2"/>
      <c r="N61" s="7">
        <f t="shared" si="16"/>
        <v>0.40086024310927859</v>
      </c>
      <c r="O61" s="11"/>
      <c r="P61" s="6">
        <v>7603.05</v>
      </c>
      <c r="Q61" s="2"/>
      <c r="R61" s="7">
        <f t="shared" si="17"/>
        <v>2.6561843600477505E-3</v>
      </c>
      <c r="S61" s="2"/>
      <c r="T61" s="6">
        <v>7828.0377959187808</v>
      </c>
      <c r="U61" s="2"/>
      <c r="V61" s="7">
        <f t="shared" si="18"/>
        <v>2.5247589334263442E-3</v>
      </c>
      <c r="W61" s="2"/>
      <c r="X61" s="6">
        <f t="shared" si="19"/>
        <v>-224.98779591878065</v>
      </c>
      <c r="Y61" s="2"/>
      <c r="Z61" s="7">
        <f t="shared" si="20"/>
        <v>-2.8741276138968069E-2</v>
      </c>
    </row>
    <row r="62" spans="1:26" s="24" customFormat="1" hidden="1" outlineLevel="2" x14ac:dyDescent="0.25">
      <c r="A62" s="27"/>
      <c r="B62" s="11" t="str">
        <f>CONCATENATE("          ", "6112", " - ", "COMPENSATION INSURANCE")</f>
        <v xml:space="preserve">          6112 - COMPENSATION INSURANCE</v>
      </c>
      <c r="C62" s="11"/>
      <c r="D62" s="6">
        <v>-62.53</v>
      </c>
      <c r="E62" s="2"/>
      <c r="F62" s="7">
        <f t="shared" si="13"/>
        <v>-1.4654756620420476E-3</v>
      </c>
      <c r="G62" s="2"/>
      <c r="H62" s="6">
        <v>647.34149938461496</v>
      </c>
      <c r="I62" s="2"/>
      <c r="J62" s="7">
        <f t="shared" si="14"/>
        <v>1.2574621200167346E-2</v>
      </c>
      <c r="K62" s="2"/>
      <c r="L62" s="6">
        <f t="shared" si="15"/>
        <v>-709.87149938461494</v>
      </c>
      <c r="M62" s="2"/>
      <c r="N62" s="7">
        <f t="shared" si="16"/>
        <v>-1.0965950739438814</v>
      </c>
      <c r="O62" s="11"/>
      <c r="P62" s="6">
        <v>193.58</v>
      </c>
      <c r="Q62" s="2"/>
      <c r="R62" s="7">
        <f t="shared" si="17"/>
        <v>6.762867118038728E-5</v>
      </c>
      <c r="S62" s="2"/>
      <c r="T62" s="6">
        <v>2562.1872177846139</v>
      </c>
      <c r="U62" s="2"/>
      <c r="V62" s="7">
        <f t="shared" si="18"/>
        <v>8.2637632007667575E-4</v>
      </c>
      <c r="W62" s="2"/>
      <c r="X62" s="6">
        <f t="shared" si="19"/>
        <v>-2368.607217784614</v>
      </c>
      <c r="Y62" s="2"/>
      <c r="Z62" s="7">
        <f t="shared" si="20"/>
        <v>-0.92444736330884592</v>
      </c>
    </row>
    <row r="63" spans="1:26" s="24" customFormat="1" hidden="1" outlineLevel="2" x14ac:dyDescent="0.25">
      <c r="A63" s="27"/>
      <c r="B63" s="11" t="str">
        <f>CONCATENATE("          ", "6113", " - ", "GROUP INSURANCE")</f>
        <v xml:space="preserve">          6113 - GROUP INSURANCE</v>
      </c>
      <c r="C63" s="11"/>
      <c r="D63" s="6">
        <v>4168.57</v>
      </c>
      <c r="E63" s="2"/>
      <c r="F63" s="7">
        <f t="shared" si="13"/>
        <v>9.7696111954559711E-2</v>
      </c>
      <c r="G63" s="2"/>
      <c r="H63" s="6">
        <v>5783.4615384615399</v>
      </c>
      <c r="I63" s="2"/>
      <c r="J63" s="7">
        <f t="shared" si="14"/>
        <v>0.11234385272846814</v>
      </c>
      <c r="K63" s="2"/>
      <c r="L63" s="6">
        <f t="shared" si="15"/>
        <v>-1614.8915384615402</v>
      </c>
      <c r="M63" s="2"/>
      <c r="N63" s="7">
        <f t="shared" si="16"/>
        <v>-0.27922577641816876</v>
      </c>
      <c r="O63" s="11"/>
      <c r="P63" s="6">
        <v>16674.28</v>
      </c>
      <c r="Q63" s="2"/>
      <c r="R63" s="7">
        <f t="shared" si="17"/>
        <v>5.8252887658317388E-3</v>
      </c>
      <c r="S63" s="2"/>
      <c r="T63" s="6">
        <v>22190.461538461539</v>
      </c>
      <c r="U63" s="2"/>
      <c r="V63" s="7">
        <f t="shared" si="18"/>
        <v>7.1570382599958713E-3</v>
      </c>
      <c r="W63" s="2"/>
      <c r="X63" s="6">
        <f t="shared" si="19"/>
        <v>-5516.1815384615402</v>
      </c>
      <c r="Y63" s="2"/>
      <c r="Z63" s="7">
        <f t="shared" si="20"/>
        <v>-0.24858345234958895</v>
      </c>
    </row>
    <row r="64" spans="1:26" s="24" customFormat="1" hidden="1" outlineLevel="2" x14ac:dyDescent="0.25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75.959999999999994</v>
      </c>
      <c r="E64" s="2"/>
      <c r="F64" s="7">
        <f t="shared" si="13"/>
        <v>1.7802259921431943E-3</v>
      </c>
      <c r="G64" s="2"/>
      <c r="H64" s="6">
        <v>88.583573599999994</v>
      </c>
      <c r="I64" s="2"/>
      <c r="J64" s="7">
        <f t="shared" si="14"/>
        <v>1.7207376379176377E-3</v>
      </c>
      <c r="K64" s="2"/>
      <c r="L64" s="6">
        <f t="shared" si="15"/>
        <v>-12.6235736</v>
      </c>
      <c r="M64" s="2"/>
      <c r="N64" s="7">
        <f t="shared" si="16"/>
        <v>-0.14250467763924124</v>
      </c>
      <c r="O64" s="11"/>
      <c r="P64" s="6">
        <v>246.49</v>
      </c>
      <c r="Q64" s="2"/>
      <c r="R64" s="7">
        <f t="shared" si="17"/>
        <v>8.611318916857972E-5</v>
      </c>
      <c r="S64" s="2"/>
      <c r="T64" s="6">
        <v>350.61509296000003</v>
      </c>
      <c r="U64" s="2"/>
      <c r="V64" s="7">
        <f t="shared" si="18"/>
        <v>1.130830753789136E-4</v>
      </c>
      <c r="W64" s="2"/>
      <c r="X64" s="6">
        <f t="shared" si="19"/>
        <v>-104.12509296000002</v>
      </c>
      <c r="Y64" s="2"/>
      <c r="Z64" s="7">
        <f t="shared" si="20"/>
        <v>-0.29697835333026906</v>
      </c>
    </row>
    <row r="65" spans="1:26" s="24" customFormat="1" hidden="1" outlineLevel="2" x14ac:dyDescent="0.25">
      <c r="A65" s="27"/>
      <c r="B65" s="11" t="str">
        <f>CONCATENATE("          ", "6115", " - ", "P.E.R.S.")</f>
        <v xml:space="preserve">          6115 - P.E.R.S.</v>
      </c>
      <c r="C65" s="11"/>
      <c r="D65" s="6">
        <v>1803.1</v>
      </c>
      <c r="E65" s="2"/>
      <c r="F65" s="7">
        <f t="shared" si="13"/>
        <v>4.2258102770318502E-2</v>
      </c>
      <c r="G65" s="2"/>
      <c r="H65" s="6">
        <v>1544.9483098461499</v>
      </c>
      <c r="I65" s="2"/>
      <c r="J65" s="7">
        <f t="shared" si="14"/>
        <v>3.0010650929412391E-2</v>
      </c>
      <c r="K65" s="2"/>
      <c r="L65" s="6">
        <f t="shared" si="15"/>
        <v>258.15169015385004</v>
      </c>
      <c r="M65" s="2"/>
      <c r="N65" s="7">
        <f t="shared" si="16"/>
        <v>0.16709406295901089</v>
      </c>
      <c r="O65" s="11"/>
      <c r="P65" s="6">
        <v>5780.68</v>
      </c>
      <c r="Q65" s="2"/>
      <c r="R65" s="7">
        <f t="shared" si="17"/>
        <v>2.0195252966165988E-3</v>
      </c>
      <c r="S65" s="2"/>
      <c r="T65" s="6">
        <v>5561.8139154461405</v>
      </c>
      <c r="U65" s="2"/>
      <c r="V65" s="7">
        <f t="shared" si="18"/>
        <v>1.7938389843235871E-3</v>
      </c>
      <c r="W65" s="2"/>
      <c r="X65" s="6">
        <f t="shared" si="19"/>
        <v>218.86608455385976</v>
      </c>
      <c r="Y65" s="2"/>
      <c r="Z65" s="7">
        <f t="shared" si="20"/>
        <v>3.9351565493054332E-2</v>
      </c>
    </row>
    <row r="66" spans="1:26" s="24" customFormat="1" hidden="1" outlineLevel="2" x14ac:dyDescent="0.25">
      <c r="A66" s="27"/>
      <c r="B66" s="11" t="str">
        <f>CONCATENATE("          ", "6116", " - ", "EDUCATIONAL BENEFITS")</f>
        <v xml:space="preserve">          6116 - EDUCATIONAL BENEFITS</v>
      </c>
      <c r="C66" s="11"/>
      <c r="D66" s="6"/>
      <c r="E66" s="2"/>
      <c r="F66" s="7">
        <f t="shared" si="13"/>
        <v>0</v>
      </c>
      <c r="G66" s="2"/>
      <c r="H66" s="6">
        <v>0</v>
      </c>
      <c r="I66" s="2"/>
      <c r="J66" s="7">
        <f t="shared" si="14"/>
        <v>0</v>
      </c>
      <c r="K66" s="2"/>
      <c r="L66" s="6">
        <f t="shared" si="15"/>
        <v>0</v>
      </c>
      <c r="M66" s="2"/>
      <c r="N66" s="7">
        <f t="shared" si="16"/>
        <v>0</v>
      </c>
      <c r="O66" s="11"/>
      <c r="P66" s="6"/>
      <c r="Q66" s="2"/>
      <c r="R66" s="7">
        <f t="shared" si="17"/>
        <v>0</v>
      </c>
      <c r="S66" s="2"/>
      <c r="T66" s="6">
        <v>0</v>
      </c>
      <c r="U66" s="2"/>
      <c r="V66" s="7">
        <f t="shared" si="18"/>
        <v>0</v>
      </c>
      <c r="W66" s="2"/>
      <c r="X66" s="6">
        <f t="shared" si="19"/>
        <v>0</v>
      </c>
      <c r="Y66" s="2"/>
      <c r="Z66" s="7">
        <f t="shared" si="20"/>
        <v>0</v>
      </c>
    </row>
    <row r="67" spans="1:26" s="24" customFormat="1" hidden="1" outlineLevel="2" x14ac:dyDescent="0.25">
      <c r="A67" s="27"/>
      <c r="B67" s="11" t="str">
        <f>CONCATENATE("          ", "6117", " - ", "RETIREMENT STAFF HOURLY")</f>
        <v xml:space="preserve">          6117 - RETIREMENT STAFF HOURLY</v>
      </c>
      <c r="C67" s="11"/>
      <c r="D67" s="6">
        <v>91.29</v>
      </c>
      <c r="E67" s="2"/>
      <c r="F67" s="7">
        <f t="shared" si="13"/>
        <v>2.1395054084090604E-3</v>
      </c>
      <c r="G67" s="2"/>
      <c r="H67" s="6"/>
      <c r="I67" s="2"/>
      <c r="J67" s="7">
        <f t="shared" si="14"/>
        <v>0</v>
      </c>
      <c r="K67" s="2"/>
      <c r="L67" s="6">
        <f t="shared" si="15"/>
        <v>91.29</v>
      </c>
      <c r="M67" s="2"/>
      <c r="N67" s="7">
        <f t="shared" si="16"/>
        <v>0</v>
      </c>
      <c r="O67" s="11"/>
      <c r="P67" s="6">
        <v>552.63</v>
      </c>
      <c r="Q67" s="2"/>
      <c r="R67" s="7">
        <f t="shared" si="17"/>
        <v>1.9306556748846691E-4</v>
      </c>
      <c r="S67" s="2"/>
      <c r="T67" s="6"/>
      <c r="U67" s="2"/>
      <c r="V67" s="7">
        <f t="shared" si="18"/>
        <v>0</v>
      </c>
      <c r="W67" s="2"/>
      <c r="X67" s="6">
        <f t="shared" si="19"/>
        <v>552.63</v>
      </c>
      <c r="Y67" s="2"/>
      <c r="Z67" s="7">
        <f t="shared" si="20"/>
        <v>0</v>
      </c>
    </row>
    <row r="68" spans="1:26" s="24" customFormat="1" hidden="1" outlineLevel="2" x14ac:dyDescent="0.25">
      <c r="A68" s="27"/>
      <c r="B68" s="11" t="str">
        <f>CONCATENATE("          ", "6118", " - ", "VACATION")</f>
        <v xml:space="preserve">          6118 - VACATION</v>
      </c>
      <c r="C68" s="11"/>
      <c r="D68" s="6">
        <v>1542.87</v>
      </c>
      <c r="E68" s="2"/>
      <c r="F68" s="7">
        <f t="shared" si="13"/>
        <v>3.615925851103173E-2</v>
      </c>
      <c r="G68" s="2"/>
      <c r="H68" s="6">
        <v>1784.9504480000001</v>
      </c>
      <c r="I68" s="2"/>
      <c r="J68" s="7">
        <f t="shared" si="14"/>
        <v>3.4672697125097129E-2</v>
      </c>
      <c r="K68" s="2"/>
      <c r="L68" s="6">
        <f t="shared" si="15"/>
        <v>-242.08044800000016</v>
      </c>
      <c r="M68" s="2"/>
      <c r="N68" s="7">
        <f t="shared" si="16"/>
        <v>-0.13562306352607506</v>
      </c>
      <c r="O68" s="11"/>
      <c r="P68" s="6">
        <v>4637.22</v>
      </c>
      <c r="Q68" s="2"/>
      <c r="R68" s="7">
        <f t="shared" si="17"/>
        <v>1.620048695997084E-3</v>
      </c>
      <c r="S68" s="2"/>
      <c r="T68" s="6">
        <v>6425.8216128000004</v>
      </c>
      <c r="U68" s="2"/>
      <c r="V68" s="7">
        <f t="shared" si="18"/>
        <v>2.0725053895344282E-3</v>
      </c>
      <c r="W68" s="2"/>
      <c r="X68" s="6">
        <f t="shared" si="19"/>
        <v>-1788.6016128000001</v>
      </c>
      <c r="Y68" s="2"/>
      <c r="Z68" s="7">
        <f t="shared" si="20"/>
        <v>-0.27834597979457931</v>
      </c>
    </row>
    <row r="69" spans="1:26" s="24" customFormat="1" hidden="1" outlineLevel="2" x14ac:dyDescent="0.25">
      <c r="A69" s="27"/>
      <c r="B69" s="11" t="str">
        <f>CONCATENATE("          ", "6119", " - ", "SICK LEAVE")</f>
        <v xml:space="preserve">          6119 - SICK LEAVE</v>
      </c>
      <c r="C69" s="11"/>
      <c r="D69" s="6">
        <v>1202.6099999999999</v>
      </c>
      <c r="E69" s="2"/>
      <c r="F69" s="7">
        <f t="shared" si="13"/>
        <v>2.8184802269764702E-2</v>
      </c>
      <c r="G69" s="2"/>
      <c r="H69" s="6">
        <v>1283.2528406153799</v>
      </c>
      <c r="I69" s="2"/>
      <c r="J69" s="7">
        <f t="shared" si="14"/>
        <v>2.4927211356165112E-2</v>
      </c>
      <c r="K69" s="2"/>
      <c r="L69" s="6">
        <f t="shared" si="15"/>
        <v>-80.64284061538001</v>
      </c>
      <c r="M69" s="2"/>
      <c r="N69" s="7">
        <f t="shared" si="16"/>
        <v>-6.2842518686113319E-2</v>
      </c>
      <c r="O69" s="11"/>
      <c r="P69" s="6">
        <v>4516.63</v>
      </c>
      <c r="Q69" s="2"/>
      <c r="R69" s="7">
        <f t="shared" si="17"/>
        <v>1.5779196462107274E-3</v>
      </c>
      <c r="S69" s="2"/>
      <c r="T69" s="6">
        <v>4741.68802621538</v>
      </c>
      <c r="U69" s="2"/>
      <c r="V69" s="7">
        <f t="shared" si="18"/>
        <v>1.5293256772405369E-3</v>
      </c>
      <c r="W69" s="2"/>
      <c r="X69" s="6">
        <f t="shared" si="19"/>
        <v>-225.05802621537987</v>
      </c>
      <c r="Y69" s="2"/>
      <c r="Z69" s="7">
        <f t="shared" si="20"/>
        <v>-4.7463693303123514E-2</v>
      </c>
    </row>
    <row r="70" spans="1:26" s="24" customFormat="1" hidden="1" outlineLevel="2" x14ac:dyDescent="0.25">
      <c r="A70" s="27"/>
      <c r="B70" s="11" t="str">
        <f>CONCATENATE("          ", "6156", " - ", "EMPLOYEE MEALS")</f>
        <v xml:space="preserve">          6156 - EMPLOYEE MEALS</v>
      </c>
      <c r="C70" s="11"/>
      <c r="D70" s="6">
        <v>621.30999999999995</v>
      </c>
      <c r="E70" s="2"/>
      <c r="F70" s="7">
        <f t="shared" si="13"/>
        <v>1.4561245539474566E-2</v>
      </c>
      <c r="G70" s="2"/>
      <c r="H70" s="6">
        <v>750</v>
      </c>
      <c r="I70" s="2"/>
      <c r="J70" s="7">
        <f t="shared" si="14"/>
        <v>1.4568764568764568E-2</v>
      </c>
      <c r="K70" s="2"/>
      <c r="L70" s="6">
        <f t="shared" si="15"/>
        <v>-128.69000000000005</v>
      </c>
      <c r="M70" s="2"/>
      <c r="N70" s="7">
        <f t="shared" si="16"/>
        <v>-0.17158666666666675</v>
      </c>
      <c r="O70" s="11"/>
      <c r="P70" s="6">
        <v>2378.73</v>
      </c>
      <c r="Q70" s="2"/>
      <c r="R70" s="7">
        <f t="shared" si="17"/>
        <v>8.3102773528733668E-4</v>
      </c>
      <c r="S70" s="2"/>
      <c r="T70" s="6">
        <v>3000</v>
      </c>
      <c r="U70" s="2"/>
      <c r="V70" s="7">
        <f t="shared" si="18"/>
        <v>9.6758306458713712E-4</v>
      </c>
      <c r="W70" s="2"/>
      <c r="X70" s="6">
        <f t="shared" si="19"/>
        <v>-621.27</v>
      </c>
      <c r="Y70" s="2"/>
      <c r="Z70" s="7">
        <f t="shared" si="20"/>
        <v>-0.20709</v>
      </c>
    </row>
    <row r="71" spans="1:26" s="26" customFormat="1" outlineLevel="1" collapsed="1" x14ac:dyDescent="0.25">
      <c r="A71" s="25"/>
      <c r="B71" s="13" t="str">
        <f>CONCATENATE("     ","*Payroll                                          ")</f>
        <v xml:space="preserve">     *Payroll                                          </v>
      </c>
      <c r="C71" s="13"/>
      <c r="D71" s="1">
        <f>SUM(OSRRefD22_1x_0)</f>
        <v>26399.489999999998</v>
      </c>
      <c r="E71" s="1"/>
      <c r="F71" s="5">
        <f t="shared" ref="F71:F81" si="21">IF(D$12=0,0,D71/D$12)</f>
        <v>0.61870798153402229</v>
      </c>
      <c r="G71" s="1"/>
      <c r="H71" s="1">
        <f>SUM(OSRRefH22_1x_0)</f>
        <v>31177.4340196538</v>
      </c>
      <c r="I71" s="1"/>
      <c r="J71" s="5">
        <f t="shared" ref="J71:J81" si="22">IF(H$12=0,0,H71/H$12)</f>
        <v>0.60562226145403653</v>
      </c>
      <c r="K71" s="1"/>
      <c r="L71" s="1">
        <f t="shared" ref="L71:L81" si="23">+D71-H71</f>
        <v>-4777.9440196538017</v>
      </c>
      <c r="M71" s="1"/>
      <c r="N71" s="5">
        <f t="shared" ref="N71:N81" si="24">IF(H71=0,0,L71/H71)</f>
        <v>-0.15325007236457802</v>
      </c>
      <c r="O71" s="13"/>
      <c r="P71" s="1">
        <f>SUM(OSRRefP22_1x_0)</f>
        <v>96461.27</v>
      </c>
      <c r="Q71" s="1"/>
      <c r="R71" s="5">
        <f t="shared" ref="R71:R81" si="25">IF(P$12=0,0,P71/P$12)</f>
        <v>3.3699491220542187E-2</v>
      </c>
      <c r="S71" s="1"/>
      <c r="T71" s="1">
        <f>SUM(OSRRefT22_1x_0)</f>
        <v>124436.5424707538</v>
      </c>
      <c r="U71" s="1"/>
      <c r="V71" s="5">
        <f t="shared" ref="V71:V81" si="26">IF(T$12=0,0,T71/T$12)</f>
        <v>4.0134230370159805E-2</v>
      </c>
      <c r="W71" s="1"/>
      <c r="X71" s="1">
        <f t="shared" ref="X71:X81" si="27">+P71-T71</f>
        <v>-27975.2724707538</v>
      </c>
      <c r="Y71" s="1"/>
      <c r="Z71" s="5">
        <f t="shared" ref="Z71:Z81" si="28">IF(T71=0,0,X71/T71)</f>
        <v>-0.22481557197982097</v>
      </c>
    </row>
    <row r="72" spans="1:26" s="24" customFormat="1" hidden="1" outlineLevel="2" x14ac:dyDescent="0.25">
      <c r="A72" s="27"/>
      <c r="B72" s="11" t="str">
        <f>CONCATENATE("          ", "6001", " - ", "ADMINISTRATIVE SALARIES")</f>
        <v xml:space="preserve">          6001 - ADMINISTRATIVE SALARIES</v>
      </c>
      <c r="C72" s="11"/>
      <c r="D72" s="6"/>
      <c r="E72" s="2"/>
      <c r="F72" s="7">
        <f t="shared" si="21"/>
        <v>0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0</v>
      </c>
      <c r="M72" s="2"/>
      <c r="N72" s="7">
        <f t="shared" si="24"/>
        <v>0</v>
      </c>
      <c r="O72" s="11"/>
      <c r="P72" s="6"/>
      <c r="Q72" s="2"/>
      <c r="R72" s="7">
        <f t="shared" si="25"/>
        <v>0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0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"6002", " - ", "STAFF SALARIES")</f>
        <v xml:space="preserve">          6002 - STAFF SALARIES</v>
      </c>
      <c r="C73" s="11"/>
      <c r="D73" s="6">
        <v>16310.289999999999</v>
      </c>
      <c r="E73" s="2"/>
      <c r="F73" s="7">
        <f t="shared" si="21"/>
        <v>0.38225384672713558</v>
      </c>
      <c r="G73" s="2"/>
      <c r="H73" s="6">
        <v>15956.265429653798</v>
      </c>
      <c r="I73" s="2"/>
      <c r="J73" s="7">
        <f t="shared" si="22"/>
        <v>0.30995076592179094</v>
      </c>
      <c r="K73" s="2"/>
      <c r="L73" s="6">
        <f t="shared" si="23"/>
        <v>354.02457034620056</v>
      </c>
      <c r="M73" s="2"/>
      <c r="N73" s="7">
        <f t="shared" si="24"/>
        <v>2.2187182327029126E-2</v>
      </c>
      <c r="O73" s="11"/>
      <c r="P73" s="6">
        <v>60889.53</v>
      </c>
      <c r="Q73" s="2"/>
      <c r="R73" s="7">
        <f t="shared" si="25"/>
        <v>2.1272228549944865E-2</v>
      </c>
      <c r="S73" s="2"/>
      <c r="T73" s="6">
        <v>57442.5555467538</v>
      </c>
      <c r="U73" s="2"/>
      <c r="V73" s="7">
        <f t="shared" si="26"/>
        <v>1.8526814644548299E-2</v>
      </c>
      <c r="W73" s="2"/>
      <c r="X73" s="6">
        <f t="shared" si="27"/>
        <v>3446.9744532461991</v>
      </c>
      <c r="Y73" s="2"/>
      <c r="Z73" s="7">
        <f t="shared" si="28"/>
        <v>6.0007331157831731E-2</v>
      </c>
    </row>
    <row r="74" spans="1:26" s="24" customFormat="1" hidden="1" outlineLevel="2" x14ac:dyDescent="0.25">
      <c r="A74" s="27"/>
      <c r="B74" s="11" t="str">
        <f>CONCATENATE("          ", "6003", " - ", "STAFF HOURLY-9 MONTH")</f>
        <v xml:space="preserve">          6003 - STAFF HOURLY-9 MONTH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7"/>
      <c r="B75" s="11" t="str">
        <f>CONCATENATE("          ", "6004", " - ", "STAFF HOURLY")</f>
        <v xml:space="preserve">          6004 - STAFF HOURLY</v>
      </c>
      <c r="C75" s="11"/>
      <c r="D75" s="6">
        <v>4439.95</v>
      </c>
      <c r="E75" s="2"/>
      <c r="F75" s="7">
        <f t="shared" si="21"/>
        <v>0.10405627164054997</v>
      </c>
      <c r="G75" s="2"/>
      <c r="H75" s="6">
        <v>7332.4185900000002</v>
      </c>
      <c r="I75" s="2"/>
      <c r="J75" s="7">
        <f t="shared" si="22"/>
        <v>0.14243237354312355</v>
      </c>
      <c r="K75" s="2"/>
      <c r="L75" s="6">
        <f t="shared" si="23"/>
        <v>-2892.4685900000004</v>
      </c>
      <c r="M75" s="2"/>
      <c r="N75" s="7">
        <f t="shared" si="24"/>
        <v>-0.39447674113215081</v>
      </c>
      <c r="O75" s="11"/>
      <c r="P75" s="6">
        <v>12189.17</v>
      </c>
      <c r="Q75" s="2"/>
      <c r="R75" s="7">
        <f t="shared" si="25"/>
        <v>4.2583808755648376E-3</v>
      </c>
      <c r="S75" s="2"/>
      <c r="T75" s="6">
        <v>26396.706923999998</v>
      </c>
      <c r="U75" s="2"/>
      <c r="V75" s="7">
        <f t="shared" si="26"/>
        <v>8.5136688601774729E-3</v>
      </c>
      <c r="W75" s="2"/>
      <c r="X75" s="6">
        <f t="shared" si="27"/>
        <v>-14207.536923999998</v>
      </c>
      <c r="Y75" s="2"/>
      <c r="Z75" s="7">
        <f t="shared" si="28"/>
        <v>-0.53823141518771966</v>
      </c>
    </row>
    <row r="76" spans="1:26" s="24" customFormat="1" hidden="1" outlineLevel="2" x14ac:dyDescent="0.25">
      <c r="A76" s="27"/>
      <c r="B76" s="11" t="str">
        <f>CONCATENATE("          ", "6005", " - ", "TEMPORARY WAGES-HOURLY")</f>
        <v xml:space="preserve">          6005 - TEMPORARY WAGES-HOURLY</v>
      </c>
      <c r="C76" s="11"/>
      <c r="D76" s="6">
        <v>3432.62</v>
      </c>
      <c r="E76" s="2"/>
      <c r="F76" s="7">
        <f t="shared" si="21"/>
        <v>8.044812197407282E-2</v>
      </c>
      <c r="G76" s="2"/>
      <c r="H76" s="6">
        <v>3490</v>
      </c>
      <c r="I76" s="2"/>
      <c r="J76" s="7">
        <f t="shared" si="22"/>
        <v>6.7793317793317792E-2</v>
      </c>
      <c r="K76" s="2"/>
      <c r="L76" s="6">
        <f t="shared" si="23"/>
        <v>-57.380000000000109</v>
      </c>
      <c r="M76" s="2"/>
      <c r="N76" s="7">
        <f t="shared" si="24"/>
        <v>-1.6441260744985704E-2</v>
      </c>
      <c r="O76" s="11"/>
      <c r="P76" s="6">
        <v>7694.1</v>
      </c>
      <c r="Q76" s="2"/>
      <c r="R76" s="7">
        <f t="shared" si="25"/>
        <v>2.6879933822141636E-3</v>
      </c>
      <c r="S76" s="2"/>
      <c r="T76" s="6">
        <v>13513.28</v>
      </c>
      <c r="U76" s="2"/>
      <c r="V76" s="7">
        <f t="shared" si="26"/>
        <v>4.3584069583413564E-3</v>
      </c>
      <c r="W76" s="2"/>
      <c r="X76" s="6">
        <f t="shared" si="27"/>
        <v>-5819.18</v>
      </c>
      <c r="Y76" s="2"/>
      <c r="Z76" s="7">
        <f t="shared" si="28"/>
        <v>-0.43062676123043409</v>
      </c>
    </row>
    <row r="77" spans="1:26" s="24" customFormat="1" hidden="1" outlineLevel="2" x14ac:dyDescent="0.25">
      <c r="A77" s="27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4" customFormat="1" hidden="1" outlineLevel="2" x14ac:dyDescent="0.25">
      <c r="A78" s="27"/>
      <c r="B78" s="11" t="str">
        <f>CONCATENATE("          ", "6007", " - ", "STUDENT HOURLY")</f>
        <v xml:space="preserve">          6007 - STUDENT HOURLY</v>
      </c>
      <c r="C78" s="11"/>
      <c r="D78" s="6">
        <v>2216.63</v>
      </c>
      <c r="E78" s="2"/>
      <c r="F78" s="7">
        <f t="shared" si="21"/>
        <v>5.1949741192263942E-2</v>
      </c>
      <c r="G78" s="2"/>
      <c r="H78" s="6">
        <v>0</v>
      </c>
      <c r="I78" s="2"/>
      <c r="J78" s="7">
        <f t="shared" si="22"/>
        <v>0</v>
      </c>
      <c r="K78" s="2"/>
      <c r="L78" s="6">
        <f t="shared" si="23"/>
        <v>2216.63</v>
      </c>
      <c r="M78" s="2"/>
      <c r="N78" s="7">
        <f t="shared" si="24"/>
        <v>0</v>
      </c>
      <c r="O78" s="11"/>
      <c r="P78" s="6">
        <v>15688.470000000001</v>
      </c>
      <c r="Q78" s="2"/>
      <c r="R78" s="7">
        <f t="shared" si="25"/>
        <v>5.4808884128183209E-3</v>
      </c>
      <c r="S78" s="2"/>
      <c r="T78" s="6">
        <v>8032.5</v>
      </c>
      <c r="U78" s="2"/>
      <c r="V78" s="7">
        <f t="shared" si="26"/>
        <v>2.5907036554320595E-3</v>
      </c>
      <c r="W78" s="2"/>
      <c r="X78" s="6">
        <f t="shared" si="27"/>
        <v>7655.9700000000012</v>
      </c>
      <c r="Y78" s="2"/>
      <c r="Z78" s="7">
        <f t="shared" si="28"/>
        <v>0.95312418300653612</v>
      </c>
    </row>
    <row r="79" spans="1:26" s="24" customFormat="1" hidden="1" outlineLevel="2" x14ac:dyDescent="0.25">
      <c r="A79" s="27"/>
      <c r="B79" s="11" t="str">
        <f>CONCATENATE("          ", "6008", " - ", "STUDENT HOURLY-FICA EXEMPT")</f>
        <v xml:space="preserve">          6008 - STUDENT HOURLY-FICA EXEMPT</v>
      </c>
      <c r="C79" s="11"/>
      <c r="D79" s="6"/>
      <c r="E79" s="2"/>
      <c r="F79" s="7">
        <f t="shared" si="21"/>
        <v>0</v>
      </c>
      <c r="G79" s="2"/>
      <c r="H79" s="6">
        <v>4398.75</v>
      </c>
      <c r="I79" s="2"/>
      <c r="J79" s="7">
        <f t="shared" si="22"/>
        <v>8.5445804195804193E-2</v>
      </c>
      <c r="K79" s="2"/>
      <c r="L79" s="6">
        <f t="shared" si="23"/>
        <v>-4398.75</v>
      </c>
      <c r="M79" s="2"/>
      <c r="N79" s="7">
        <f t="shared" si="24"/>
        <v>-1</v>
      </c>
      <c r="O79" s="11"/>
      <c r="P79" s="6"/>
      <c r="Q79" s="2"/>
      <c r="R79" s="7">
        <f t="shared" si="25"/>
        <v>0</v>
      </c>
      <c r="S79" s="2"/>
      <c r="T79" s="6">
        <v>19051.5</v>
      </c>
      <c r="U79" s="2"/>
      <c r="V79" s="7">
        <f t="shared" si="26"/>
        <v>6.1446362516606144E-3</v>
      </c>
      <c r="W79" s="2"/>
      <c r="X79" s="6">
        <f t="shared" si="27"/>
        <v>-19051.5</v>
      </c>
      <c r="Y79" s="2"/>
      <c r="Z79" s="7">
        <f t="shared" si="28"/>
        <v>-1</v>
      </c>
    </row>
    <row r="80" spans="1:26" s="24" customFormat="1" hidden="1" outlineLevel="2" x14ac:dyDescent="0.25">
      <c r="A80" s="27"/>
      <c r="B80" s="11" t="str">
        <f>CONCATENATE("          ", "6009", " - ", "TEMPORARY-SEASONAL")</f>
        <v xml:space="preserve">          6009 - TEMPORARY-SEASONAL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4" customFormat="1" hidden="1" outlineLevel="2" x14ac:dyDescent="0.25">
      <c r="A81" s="27"/>
      <c r="B81" s="11" t="str">
        <f>CONCATENATE("          ", "6010", " - ", "GRATUITY")</f>
        <v xml:space="preserve">          6010 - GRATUITY</v>
      </c>
      <c r="C81" s="11"/>
      <c r="D81" s="6"/>
      <c r="E81" s="2"/>
      <c r="F81" s="7">
        <f t="shared" si="21"/>
        <v>0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0</v>
      </c>
      <c r="M81" s="2"/>
      <c r="N81" s="7">
        <f t="shared" si="24"/>
        <v>0</v>
      </c>
      <c r="O81" s="11"/>
      <c r="P81" s="6"/>
      <c r="Q81" s="2"/>
      <c r="R81" s="7">
        <f t="shared" si="25"/>
        <v>0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0</v>
      </c>
      <c r="Y81" s="2"/>
      <c r="Z81" s="7">
        <f t="shared" si="28"/>
        <v>0</v>
      </c>
    </row>
    <row r="82" spans="1:26" s="26" customFormat="1" outlineLevel="1" collapsed="1" x14ac:dyDescent="0.25">
      <c r="A82" s="25"/>
      <c r="B82" s="13" t="str">
        <f>CONCATENATE("     ","Advertising/Promo                                 ")</f>
        <v xml:space="preserve">     Advertising/Promo                                 </v>
      </c>
      <c r="C82" s="13"/>
      <c r="D82" s="1">
        <f>SUM(OSRRefD22_2x_0)</f>
        <v>81</v>
      </c>
      <c r="E82" s="1"/>
      <c r="F82" s="5">
        <f t="shared" ref="F82:F86" si="29">IF(D$12=0,0,D82/D$12)</f>
        <v>1.8983452522853969E-3</v>
      </c>
      <c r="G82" s="1"/>
      <c r="H82" s="1">
        <f>SUM(OSRRefH22_2x_0)</f>
        <v>200</v>
      </c>
      <c r="I82" s="1"/>
      <c r="J82" s="5">
        <f t="shared" ref="J82:J86" si="30">IF(H$12=0,0,H82/H$12)</f>
        <v>3.885003885003885E-3</v>
      </c>
      <c r="K82" s="1"/>
      <c r="L82" s="1">
        <f t="shared" ref="L82:L86" si="31">+D82-H82</f>
        <v>-119</v>
      </c>
      <c r="M82" s="1"/>
      <c r="N82" s="5">
        <f t="shared" ref="N82:N86" si="32">IF(H82=0,0,L82/H82)</f>
        <v>-0.59499999999999997</v>
      </c>
      <c r="O82" s="13"/>
      <c r="P82" s="1">
        <f>SUM(OSRRefP22_2x_0)</f>
        <v>3136.02</v>
      </c>
      <c r="Q82" s="1"/>
      <c r="R82" s="5">
        <f t="shared" ref="R82:R86" si="33">IF(P$12=0,0,P82/P$12)</f>
        <v>1.0955928577080179E-3</v>
      </c>
      <c r="S82" s="1"/>
      <c r="T82" s="1">
        <f>SUM(OSRRefT22_2x_0)</f>
        <v>2200</v>
      </c>
      <c r="U82" s="1"/>
      <c r="V82" s="5">
        <f t="shared" ref="V82:V86" si="34">IF(T$12=0,0,T82/T$12)</f>
        <v>7.0956091403056719E-4</v>
      </c>
      <c r="W82" s="1"/>
      <c r="X82" s="1">
        <f t="shared" ref="X82:X86" si="35">+P82-T82</f>
        <v>936.02</v>
      </c>
      <c r="Y82" s="1"/>
      <c r="Z82" s="5">
        <f t="shared" ref="Z82:Z86" si="36">IF(T82=0,0,X82/T82)</f>
        <v>0.42546363636363638</v>
      </c>
    </row>
    <row r="83" spans="1:26" s="24" customFormat="1" hidden="1" outlineLevel="2" x14ac:dyDescent="0.25">
      <c r="A83" s="27"/>
      <c r="B83" s="11" t="str">
        <f>CONCATENATE("          ", "6362", " - ", "ADVERTISING EXPENSE")</f>
        <v xml:space="preserve">          6362 - ADVERTISING EXPENSE</v>
      </c>
      <c r="C83" s="11"/>
      <c r="D83" s="6">
        <v>81</v>
      </c>
      <c r="E83" s="2"/>
      <c r="F83" s="7">
        <f t="shared" si="29"/>
        <v>1.8983452522853969E-3</v>
      </c>
      <c r="G83" s="2"/>
      <c r="H83" s="6">
        <v>200</v>
      </c>
      <c r="I83" s="2"/>
      <c r="J83" s="7">
        <f t="shared" si="30"/>
        <v>3.885003885003885E-3</v>
      </c>
      <c r="K83" s="2"/>
      <c r="L83" s="6">
        <f t="shared" si="31"/>
        <v>-119</v>
      </c>
      <c r="M83" s="2"/>
      <c r="N83" s="7">
        <f t="shared" si="32"/>
        <v>-0.59499999999999997</v>
      </c>
      <c r="O83" s="11"/>
      <c r="P83" s="6">
        <v>3136.02</v>
      </c>
      <c r="Q83" s="2"/>
      <c r="R83" s="7">
        <f t="shared" si="33"/>
        <v>1.0955928577080179E-3</v>
      </c>
      <c r="S83" s="2"/>
      <c r="T83" s="6">
        <v>2200</v>
      </c>
      <c r="U83" s="2"/>
      <c r="V83" s="7">
        <f t="shared" si="34"/>
        <v>7.0956091403056719E-4</v>
      </c>
      <c r="W83" s="2"/>
      <c r="X83" s="6">
        <f t="shared" si="35"/>
        <v>936.02</v>
      </c>
      <c r="Y83" s="2"/>
      <c r="Z83" s="7">
        <f t="shared" si="36"/>
        <v>0.42546363636363638</v>
      </c>
    </row>
    <row r="84" spans="1:26" s="26" customFormat="1" outlineLevel="1" collapsed="1" x14ac:dyDescent="0.25">
      <c r="A84" s="25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SUM(OSRRefD22_3x_0)</f>
        <v>441.38</v>
      </c>
      <c r="E84" s="1"/>
      <c r="F84" s="5">
        <f t="shared" si="29"/>
        <v>1.034434107967566E-2</v>
      </c>
      <c r="G84" s="1"/>
      <c r="H84" s="1">
        <f>SUM(OSRRefH22_3x_0)</f>
        <v>1425</v>
      </c>
      <c r="I84" s="1"/>
      <c r="J84" s="5">
        <f t="shared" si="30"/>
        <v>2.768065268065268E-2</v>
      </c>
      <c r="K84" s="1"/>
      <c r="L84" s="1">
        <f t="shared" si="31"/>
        <v>-983.62</v>
      </c>
      <c r="M84" s="1"/>
      <c r="N84" s="5">
        <f t="shared" si="32"/>
        <v>-0.69025964912280702</v>
      </c>
      <c r="O84" s="13"/>
      <c r="P84" s="1">
        <f>SUM(OSRRefP22_3x_0)</f>
        <v>-2756.05</v>
      </c>
      <c r="Q84" s="1"/>
      <c r="R84" s="5">
        <f t="shared" si="33"/>
        <v>-9.6284739749305905E-4</v>
      </c>
      <c r="S84" s="1"/>
      <c r="T84" s="1">
        <f>SUM(OSRRefT22_3x_0)</f>
        <v>11300</v>
      </c>
      <c r="U84" s="1"/>
      <c r="V84" s="5">
        <f t="shared" si="34"/>
        <v>3.6445628766115499E-3</v>
      </c>
      <c r="W84" s="1"/>
      <c r="X84" s="1">
        <f t="shared" si="35"/>
        <v>-14056.05</v>
      </c>
      <c r="Y84" s="1"/>
      <c r="Z84" s="5">
        <f t="shared" si="36"/>
        <v>-1.2438982300884955</v>
      </c>
    </row>
    <row r="85" spans="1:26" s="24" customFormat="1" hidden="1" outlineLevel="2" x14ac:dyDescent="0.25">
      <c r="A85" s="27"/>
      <c r="B85" s="11" t="str">
        <f>CONCATENATE("          ", "6382", " - ", "DISCOUNTS/MARK DOWNS")</f>
        <v xml:space="preserve">          6382 - DISCOUNTS/MARK DOWNS</v>
      </c>
      <c r="C85" s="11"/>
      <c r="D85" s="6">
        <v>434.52</v>
      </c>
      <c r="E85" s="2"/>
      <c r="F85" s="7">
        <f t="shared" si="29"/>
        <v>1.0183567642259883E-2</v>
      </c>
      <c r="G85" s="2"/>
      <c r="H85" s="6">
        <v>1425</v>
      </c>
      <c r="I85" s="2"/>
      <c r="J85" s="7">
        <f t="shared" si="30"/>
        <v>2.768065268065268E-2</v>
      </c>
      <c r="K85" s="2"/>
      <c r="L85" s="6">
        <f t="shared" si="31"/>
        <v>-990.48</v>
      </c>
      <c r="M85" s="2"/>
      <c r="N85" s="7">
        <f t="shared" si="32"/>
        <v>-0.69507368421052629</v>
      </c>
      <c r="O85" s="11"/>
      <c r="P85" s="6">
        <v>-2322.42</v>
      </c>
      <c r="Q85" s="2"/>
      <c r="R85" s="7">
        <f t="shared" si="33"/>
        <v>-8.113554009854067E-4</v>
      </c>
      <c r="S85" s="2"/>
      <c r="T85" s="6">
        <v>11300</v>
      </c>
      <c r="U85" s="2"/>
      <c r="V85" s="7">
        <f t="shared" si="34"/>
        <v>3.6445628766115499E-3</v>
      </c>
      <c r="W85" s="2"/>
      <c r="X85" s="6">
        <f t="shared" si="35"/>
        <v>-13622.42</v>
      </c>
      <c r="Y85" s="2"/>
      <c r="Z85" s="7">
        <f t="shared" si="36"/>
        <v>-1.2055238938053097</v>
      </c>
    </row>
    <row r="86" spans="1:26" s="24" customFormat="1" hidden="1" outlineLevel="2" x14ac:dyDescent="0.25">
      <c r="A86" s="27"/>
      <c r="B86" s="11" t="str">
        <f>CONCATENATE("          ", "9175", " - ", "EARNED DISCOUNTS")</f>
        <v xml:space="preserve">          9175 - EARNED DISCOUNTS</v>
      </c>
      <c r="C86" s="11"/>
      <c r="D86" s="6">
        <v>6.86</v>
      </c>
      <c r="E86" s="2"/>
      <c r="F86" s="7">
        <f t="shared" si="29"/>
        <v>1.607734374157756E-4</v>
      </c>
      <c r="G86" s="2"/>
      <c r="H86" s="6"/>
      <c r="I86" s="2"/>
      <c r="J86" s="7">
        <f t="shared" si="30"/>
        <v>0</v>
      </c>
      <c r="K86" s="2"/>
      <c r="L86" s="6">
        <f t="shared" si="31"/>
        <v>6.86</v>
      </c>
      <c r="M86" s="2"/>
      <c r="N86" s="7">
        <f t="shared" si="32"/>
        <v>0</v>
      </c>
      <c r="O86" s="11"/>
      <c r="P86" s="6">
        <v>-433.63</v>
      </c>
      <c r="Q86" s="2"/>
      <c r="R86" s="7">
        <f t="shared" si="33"/>
        <v>-1.5149199650765232E-4</v>
      </c>
      <c r="S86" s="2"/>
      <c r="T86" s="6"/>
      <c r="U86" s="2"/>
      <c r="V86" s="7">
        <f t="shared" si="34"/>
        <v>0</v>
      </c>
      <c r="W86" s="2"/>
      <c r="X86" s="6">
        <f t="shared" si="35"/>
        <v>-433.63</v>
      </c>
      <c r="Y86" s="2"/>
      <c r="Z86" s="7">
        <f t="shared" si="36"/>
        <v>0</v>
      </c>
    </row>
    <row r="87" spans="1:26" s="26" customFormat="1" outlineLevel="1" collapsed="1" x14ac:dyDescent="0.25">
      <c r="A87" s="25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SUM(OSRRefD22_4x_0)</f>
        <v>0</v>
      </c>
      <c r="E87" s="1"/>
      <c r="F87" s="5">
        <f t="shared" ref="F87:F93" si="37">IF(D$12=0,0,D87/D$12)</f>
        <v>0</v>
      </c>
      <c r="G87" s="1"/>
      <c r="H87" s="1">
        <f>SUM(OSRRefH22_4x_0)</f>
        <v>100</v>
      </c>
      <c r="I87" s="1"/>
      <c r="J87" s="5">
        <f t="shared" ref="J87:J93" si="38">IF(H$12=0,0,H87/H$12)</f>
        <v>1.9425019425019425E-3</v>
      </c>
      <c r="K87" s="1"/>
      <c r="L87" s="1">
        <f t="shared" ref="L87:L93" si="39">+D87-H87</f>
        <v>-100</v>
      </c>
      <c r="M87" s="1"/>
      <c r="N87" s="5">
        <f t="shared" ref="N87:N93" si="40">IF(H87=0,0,L87/H87)</f>
        <v>-1</v>
      </c>
      <c r="O87" s="13"/>
      <c r="P87" s="1">
        <f>SUM(OSRRefP22_4x_0)</f>
        <v>0</v>
      </c>
      <c r="Q87" s="1"/>
      <c r="R87" s="5">
        <f t="shared" ref="R87:R93" si="41">IF(P$12=0,0,P87/P$12)</f>
        <v>0</v>
      </c>
      <c r="S87" s="1"/>
      <c r="T87" s="1">
        <f>SUM(OSRRefT22_4x_0)</f>
        <v>400</v>
      </c>
      <c r="U87" s="1"/>
      <c r="V87" s="5">
        <f t="shared" ref="V87:V93" si="42">IF(T$12=0,0,T87/T$12)</f>
        <v>1.2901107527828496E-4</v>
      </c>
      <c r="W87" s="1"/>
      <c r="X87" s="1">
        <f t="shared" ref="X87:X93" si="43">+P87-T87</f>
        <v>-400</v>
      </c>
      <c r="Y87" s="1"/>
      <c r="Z87" s="5">
        <f t="shared" ref="Z87:Z93" si="44">IF(T87=0,0,X87/T87)</f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7"/>
        <v>0</v>
      </c>
      <c r="G88" s="2"/>
      <c r="H88" s="6">
        <v>100</v>
      </c>
      <c r="I88" s="2"/>
      <c r="J88" s="7">
        <f t="shared" si="38"/>
        <v>1.9425019425019425E-3</v>
      </c>
      <c r="K88" s="2"/>
      <c r="L88" s="6">
        <f t="shared" si="39"/>
        <v>-100</v>
      </c>
      <c r="M88" s="2"/>
      <c r="N88" s="7">
        <f t="shared" si="40"/>
        <v>-1</v>
      </c>
      <c r="O88" s="11"/>
      <c r="P88" s="6"/>
      <c r="Q88" s="2"/>
      <c r="R88" s="7">
        <f t="shared" si="41"/>
        <v>0</v>
      </c>
      <c r="S88" s="2"/>
      <c r="T88" s="6">
        <v>400</v>
      </c>
      <c r="U88" s="2"/>
      <c r="V88" s="7">
        <f t="shared" si="42"/>
        <v>1.2901107527828496E-4</v>
      </c>
      <c r="W88" s="2"/>
      <c r="X88" s="6">
        <f t="shared" si="43"/>
        <v>-400</v>
      </c>
      <c r="Y88" s="2"/>
      <c r="Z88" s="7">
        <f t="shared" si="44"/>
        <v>-1</v>
      </c>
    </row>
    <row r="89" spans="1:26" s="26" customFormat="1" outlineLevel="1" collapsed="1" x14ac:dyDescent="0.25">
      <c r="A89" s="25"/>
      <c r="B89" s="13" t="str">
        <f>CONCATENATE("     ","Equipment Rental                                  ")</f>
        <v xml:space="preserve">     Equipment Rental                                  </v>
      </c>
      <c r="C89" s="13"/>
      <c r="D89" s="1">
        <f>SUM(OSRRefD22_5x_0)</f>
        <v>182.52</v>
      </c>
      <c r="E89" s="1"/>
      <c r="F89" s="5">
        <f t="shared" si="37"/>
        <v>4.2776046351497609E-3</v>
      </c>
      <c r="G89" s="1"/>
      <c r="H89" s="1">
        <f>SUM(OSRRefH22_5x_0)</f>
        <v>100</v>
      </c>
      <c r="I89" s="1"/>
      <c r="J89" s="5">
        <f t="shared" si="38"/>
        <v>1.9425019425019425E-3</v>
      </c>
      <c r="K89" s="1"/>
      <c r="L89" s="1">
        <f t="shared" si="39"/>
        <v>82.52000000000001</v>
      </c>
      <c r="M89" s="1"/>
      <c r="N89" s="5">
        <f t="shared" si="40"/>
        <v>0.82520000000000016</v>
      </c>
      <c r="O89" s="13"/>
      <c r="P89" s="1">
        <f>SUM(OSRRefP22_5x_0)</f>
        <v>456.3</v>
      </c>
      <c r="Q89" s="1"/>
      <c r="R89" s="5">
        <f t="shared" si="41"/>
        <v>1.5941193645836719E-4</v>
      </c>
      <c r="S89" s="1"/>
      <c r="T89" s="1">
        <f>SUM(OSRRefT22_5x_0)</f>
        <v>400</v>
      </c>
      <c r="U89" s="1"/>
      <c r="V89" s="5">
        <f t="shared" si="42"/>
        <v>1.2901107527828496E-4</v>
      </c>
      <c r="W89" s="1"/>
      <c r="X89" s="1">
        <f t="shared" si="43"/>
        <v>56.300000000000011</v>
      </c>
      <c r="Y89" s="1"/>
      <c r="Z89" s="5">
        <f t="shared" si="44"/>
        <v>0.14075000000000004</v>
      </c>
    </row>
    <row r="90" spans="1:26" s="24" customFormat="1" hidden="1" outlineLevel="2" x14ac:dyDescent="0.25">
      <c r="A90" s="27"/>
      <c r="B90" s="11" t="str">
        <f>CONCATENATE("          ", "6351", " - ", "EQUIPMENT RENTAL")</f>
        <v xml:space="preserve">          6351 - EQUIPMENT RENTAL</v>
      </c>
      <c r="C90" s="11"/>
      <c r="D90" s="6">
        <v>182.52</v>
      </c>
      <c r="E90" s="2"/>
      <c r="F90" s="7">
        <f t="shared" si="37"/>
        <v>4.2776046351497609E-3</v>
      </c>
      <c r="G90" s="2"/>
      <c r="H90" s="6">
        <v>100</v>
      </c>
      <c r="I90" s="2"/>
      <c r="J90" s="7">
        <f t="shared" si="38"/>
        <v>1.9425019425019425E-3</v>
      </c>
      <c r="K90" s="2"/>
      <c r="L90" s="6">
        <f t="shared" si="39"/>
        <v>82.52000000000001</v>
      </c>
      <c r="M90" s="2"/>
      <c r="N90" s="7">
        <f t="shared" si="40"/>
        <v>0.82520000000000016</v>
      </c>
      <c r="O90" s="11"/>
      <c r="P90" s="6">
        <v>456.3</v>
      </c>
      <c r="Q90" s="2"/>
      <c r="R90" s="7">
        <f t="shared" si="41"/>
        <v>1.5941193645836719E-4</v>
      </c>
      <c r="S90" s="2"/>
      <c r="T90" s="6">
        <v>400</v>
      </c>
      <c r="U90" s="2"/>
      <c r="V90" s="7">
        <f t="shared" si="42"/>
        <v>1.2901107527828496E-4</v>
      </c>
      <c r="W90" s="2"/>
      <c r="X90" s="6">
        <f t="shared" si="43"/>
        <v>56.300000000000011</v>
      </c>
      <c r="Y90" s="2"/>
      <c r="Z90" s="7">
        <f t="shared" si="44"/>
        <v>0.14075000000000004</v>
      </c>
    </row>
    <row r="91" spans="1:26" s="26" customFormat="1" outlineLevel="1" collapsed="1" x14ac:dyDescent="0.25">
      <c r="A91" s="25"/>
      <c r="B91" s="13" t="str">
        <f>CONCATENATE("     ","Freight out/Postage                               ")</f>
        <v xml:space="preserve">     Freight out/Postage                               </v>
      </c>
      <c r="C91" s="13"/>
      <c r="D91" s="1">
        <f>SUM(OSRRefD22_6x_0)</f>
        <v>1312.76</v>
      </c>
      <c r="E91" s="1"/>
      <c r="F91" s="5">
        <f t="shared" si="37"/>
        <v>3.0766317449261452E-2</v>
      </c>
      <c r="G91" s="1"/>
      <c r="H91" s="1">
        <f>SUM(OSRRefH22_6x_0)</f>
        <v>3600</v>
      </c>
      <c r="I91" s="1"/>
      <c r="J91" s="5">
        <f t="shared" si="38"/>
        <v>6.9930069930069935E-2</v>
      </c>
      <c r="K91" s="1"/>
      <c r="L91" s="1">
        <f t="shared" si="39"/>
        <v>-2287.2399999999998</v>
      </c>
      <c r="M91" s="1"/>
      <c r="N91" s="5">
        <f t="shared" si="40"/>
        <v>-0.63534444444444438</v>
      </c>
      <c r="O91" s="13"/>
      <c r="P91" s="1">
        <f>SUM(OSRRefP22_6x_0)</f>
        <v>4115.17</v>
      </c>
      <c r="Q91" s="1"/>
      <c r="R91" s="5">
        <f t="shared" si="41"/>
        <v>1.4376664881774685E-3</v>
      </c>
      <c r="S91" s="1"/>
      <c r="T91" s="1">
        <f>SUM(OSRRefT22_6x_0)</f>
        <v>9300</v>
      </c>
      <c r="U91" s="1"/>
      <c r="V91" s="5">
        <f t="shared" si="42"/>
        <v>2.9995075002201251E-3</v>
      </c>
      <c r="W91" s="1"/>
      <c r="X91" s="1">
        <f t="shared" si="43"/>
        <v>-5184.83</v>
      </c>
      <c r="Y91" s="1"/>
      <c r="Z91" s="5">
        <f t="shared" si="44"/>
        <v>-0.55750860215053766</v>
      </c>
    </row>
    <row r="92" spans="1:26" s="24" customFormat="1" hidden="1" outlineLevel="2" x14ac:dyDescent="0.25">
      <c r="A92" s="27"/>
      <c r="B92" s="11" t="str">
        <f>CONCATENATE("          ", "6305", " - ", "FREIGHT OUT")</f>
        <v xml:space="preserve">          6305 - FREIGHT OUT</v>
      </c>
      <c r="C92" s="11"/>
      <c r="D92" s="6">
        <v>1312.76</v>
      </c>
      <c r="E92" s="2"/>
      <c r="F92" s="7">
        <f t="shared" si="37"/>
        <v>3.0766317449261452E-2</v>
      </c>
      <c r="G92" s="2"/>
      <c r="H92" s="6">
        <v>3600</v>
      </c>
      <c r="I92" s="2"/>
      <c r="J92" s="7">
        <f t="shared" si="38"/>
        <v>6.9930069930069935E-2</v>
      </c>
      <c r="K92" s="2"/>
      <c r="L92" s="6">
        <f t="shared" si="39"/>
        <v>-2287.2399999999998</v>
      </c>
      <c r="M92" s="2"/>
      <c r="N92" s="7">
        <f t="shared" si="40"/>
        <v>-0.63534444444444438</v>
      </c>
      <c r="O92" s="11"/>
      <c r="P92" s="6">
        <v>4114.67</v>
      </c>
      <c r="Q92" s="2"/>
      <c r="R92" s="7">
        <f t="shared" si="41"/>
        <v>1.4374918093078011E-3</v>
      </c>
      <c r="S92" s="2"/>
      <c r="T92" s="6">
        <v>9300</v>
      </c>
      <c r="U92" s="2"/>
      <c r="V92" s="7">
        <f t="shared" si="42"/>
        <v>2.9995075002201251E-3</v>
      </c>
      <c r="W92" s="2"/>
      <c r="X92" s="6">
        <f t="shared" si="43"/>
        <v>-5185.33</v>
      </c>
      <c r="Y92" s="2"/>
      <c r="Z92" s="7">
        <f t="shared" si="44"/>
        <v>-0.55756236559139782</v>
      </c>
    </row>
    <row r="93" spans="1:26" s="24" customFormat="1" hidden="1" outlineLevel="2" x14ac:dyDescent="0.25">
      <c r="A93" s="27"/>
      <c r="B93" s="11" t="str">
        <f>CONCATENATE("          ", "6307", " - ", "POSTAGE")</f>
        <v xml:space="preserve">          6307 - POSTAGE</v>
      </c>
      <c r="C93" s="11"/>
      <c r="D93" s="6"/>
      <c r="E93" s="2"/>
      <c r="F93" s="7">
        <f t="shared" si="37"/>
        <v>0</v>
      </c>
      <c r="G93" s="2"/>
      <c r="H93" s="6"/>
      <c r="I93" s="2"/>
      <c r="J93" s="7">
        <f t="shared" si="38"/>
        <v>0</v>
      </c>
      <c r="K93" s="2"/>
      <c r="L93" s="6">
        <f t="shared" si="39"/>
        <v>0</v>
      </c>
      <c r="M93" s="2"/>
      <c r="N93" s="7">
        <f t="shared" si="40"/>
        <v>0</v>
      </c>
      <c r="O93" s="11"/>
      <c r="P93" s="6">
        <v>0.5</v>
      </c>
      <c r="Q93" s="2"/>
      <c r="R93" s="7">
        <f t="shared" si="41"/>
        <v>1.7467886966728816E-7</v>
      </c>
      <c r="S93" s="2"/>
      <c r="T93" s="6"/>
      <c r="U93" s="2"/>
      <c r="V93" s="7">
        <f t="shared" si="42"/>
        <v>0</v>
      </c>
      <c r="W93" s="2"/>
      <c r="X93" s="6">
        <f t="shared" si="43"/>
        <v>0.5</v>
      </c>
      <c r="Y93" s="2"/>
      <c r="Z93" s="7">
        <f t="shared" si="44"/>
        <v>0</v>
      </c>
    </row>
    <row r="94" spans="1:26" s="26" customFormat="1" outlineLevel="1" collapsed="1" x14ac:dyDescent="0.25">
      <c r="A94" s="25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SUM(OSRRefD22_7x_0)</f>
        <v>0</v>
      </c>
      <c r="E94" s="1"/>
      <c r="F94" s="5">
        <f t="shared" ref="F94:F100" si="45">IF(D$12=0,0,D94/D$12)</f>
        <v>0</v>
      </c>
      <c r="G94" s="1"/>
      <c r="H94" s="1">
        <f>SUM(OSRRefH22_7x_0)</f>
        <v>0</v>
      </c>
      <c r="I94" s="1"/>
      <c r="J94" s="5">
        <f t="shared" ref="J94:J100" si="46">IF(H$12=0,0,H94/H$12)</f>
        <v>0</v>
      </c>
      <c r="K94" s="1"/>
      <c r="L94" s="1">
        <f t="shared" ref="L94:L100" si="47">+D94-H94</f>
        <v>0</v>
      </c>
      <c r="M94" s="1"/>
      <c r="N94" s="5">
        <f t="shared" ref="N94:N100" si="48">IF(H94=0,0,L94/H94)</f>
        <v>0</v>
      </c>
      <c r="O94" s="13"/>
      <c r="P94" s="1">
        <f>SUM(OSRRefP22_7x_0)</f>
        <v>-1492.16</v>
      </c>
      <c r="Q94" s="1"/>
      <c r="R94" s="5">
        <f t="shared" ref="R94:R100" si="49">IF(P$12=0,0,P94/P$12)</f>
        <v>-5.2129764432548142E-4</v>
      </c>
      <c r="S94" s="1"/>
      <c r="T94" s="1">
        <f>SUM(OSRRefT22_7x_0)</f>
        <v>0</v>
      </c>
      <c r="U94" s="1"/>
      <c r="V94" s="5">
        <f t="shared" ref="V94:V100" si="50">IF(T$12=0,0,T94/T$12)</f>
        <v>0</v>
      </c>
      <c r="W94" s="1"/>
      <c r="X94" s="1">
        <f t="shared" ref="X94:X100" si="51">+P94-T94</f>
        <v>-1492.16</v>
      </c>
      <c r="Y94" s="1"/>
      <c r="Z94" s="5">
        <f t="shared" ref="Z94:Z100" si="52">IF(T94=0,0,X94/T94)</f>
        <v>0</v>
      </c>
    </row>
    <row r="95" spans="1:26" s="24" customFormat="1" hidden="1" outlineLevel="2" x14ac:dyDescent="0.25">
      <c r="A95" s="27"/>
      <c r="B95" s="11" t="str">
        <f>CONCATENATE("          ", "6279", " - ", "GENERAL EXPENSE")</f>
        <v xml:space="preserve">          6279 - GENERAL EXPENSE</v>
      </c>
      <c r="C95" s="11"/>
      <c r="D95" s="6"/>
      <c r="E95" s="2"/>
      <c r="F95" s="7">
        <f t="shared" si="45"/>
        <v>0</v>
      </c>
      <c r="G95" s="2"/>
      <c r="H95" s="6"/>
      <c r="I95" s="2"/>
      <c r="J95" s="7">
        <f t="shared" si="46"/>
        <v>0</v>
      </c>
      <c r="K95" s="2"/>
      <c r="L95" s="6">
        <f t="shared" si="47"/>
        <v>0</v>
      </c>
      <c r="M95" s="2"/>
      <c r="N95" s="7">
        <f t="shared" si="48"/>
        <v>0</v>
      </c>
      <c r="O95" s="11"/>
      <c r="P95" s="6">
        <v>-1492.16</v>
      </c>
      <c r="Q95" s="2"/>
      <c r="R95" s="7">
        <f t="shared" si="49"/>
        <v>-5.2129764432548142E-4</v>
      </c>
      <c r="S95" s="2"/>
      <c r="T95" s="6"/>
      <c r="U95" s="2"/>
      <c r="V95" s="7">
        <f t="shared" si="50"/>
        <v>0</v>
      </c>
      <c r="W95" s="2"/>
      <c r="X95" s="6">
        <f t="shared" si="51"/>
        <v>-1492.16</v>
      </c>
      <c r="Y95" s="2"/>
      <c r="Z95" s="7">
        <f t="shared" si="52"/>
        <v>0</v>
      </c>
    </row>
    <row r="96" spans="1:26" s="26" customFormat="1" outlineLevel="1" collapsed="1" x14ac:dyDescent="0.25">
      <c r="A96" s="25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SUM(OSRRefD22_8x_0)</f>
        <v>1000</v>
      </c>
      <c r="E96" s="1"/>
      <c r="F96" s="5">
        <f t="shared" si="45"/>
        <v>2.3436361139325887E-2</v>
      </c>
      <c r="G96" s="1"/>
      <c r="H96" s="1">
        <f>SUM(OSRRefH22_8x_0)</f>
        <v>1000</v>
      </c>
      <c r="I96" s="1"/>
      <c r="J96" s="5">
        <f t="shared" si="46"/>
        <v>1.9425019425019424E-2</v>
      </c>
      <c r="K96" s="1"/>
      <c r="L96" s="1">
        <f t="shared" si="47"/>
        <v>0</v>
      </c>
      <c r="M96" s="1"/>
      <c r="N96" s="5">
        <f t="shared" si="48"/>
        <v>0</v>
      </c>
      <c r="O96" s="13"/>
      <c r="P96" s="1">
        <f>SUM(OSRRefP22_8x_0)</f>
        <v>4000</v>
      </c>
      <c r="Q96" s="1"/>
      <c r="R96" s="5">
        <f t="shared" si="49"/>
        <v>1.3974309573383053E-3</v>
      </c>
      <c r="S96" s="1"/>
      <c r="T96" s="1">
        <f>SUM(OSRRefT22_8x_0)</f>
        <v>4000</v>
      </c>
      <c r="U96" s="1"/>
      <c r="V96" s="5">
        <f t="shared" si="50"/>
        <v>1.2901107527828494E-3</v>
      </c>
      <c r="W96" s="1"/>
      <c r="X96" s="1">
        <f t="shared" si="51"/>
        <v>0</v>
      </c>
      <c r="Y96" s="1"/>
      <c r="Z96" s="5">
        <f t="shared" si="52"/>
        <v>0</v>
      </c>
    </row>
    <row r="97" spans="1:26" s="24" customFormat="1" hidden="1" outlineLevel="2" x14ac:dyDescent="0.25">
      <c r="A97" s="27"/>
      <c r="B97" s="11" t="str">
        <f>CONCATENATE("          ", "6408", " - ", "INVENTORY ADJUSTMENT")</f>
        <v xml:space="preserve">          6408 - INVENTORY ADJUSTMENT</v>
      </c>
      <c r="C97" s="11"/>
      <c r="D97" s="6">
        <v>1000</v>
      </c>
      <c r="E97" s="2"/>
      <c r="F97" s="7">
        <f t="shared" si="45"/>
        <v>2.3436361139325887E-2</v>
      </c>
      <c r="G97" s="2"/>
      <c r="H97" s="6">
        <v>1000</v>
      </c>
      <c r="I97" s="2"/>
      <c r="J97" s="7">
        <f t="shared" si="46"/>
        <v>1.9425019425019424E-2</v>
      </c>
      <c r="K97" s="2"/>
      <c r="L97" s="6">
        <f t="shared" si="47"/>
        <v>0</v>
      </c>
      <c r="M97" s="2"/>
      <c r="N97" s="7">
        <f t="shared" si="48"/>
        <v>0</v>
      </c>
      <c r="O97" s="11"/>
      <c r="P97" s="6">
        <v>4000</v>
      </c>
      <c r="Q97" s="2"/>
      <c r="R97" s="7">
        <f t="shared" si="49"/>
        <v>1.3974309573383053E-3</v>
      </c>
      <c r="S97" s="2"/>
      <c r="T97" s="6">
        <v>4000</v>
      </c>
      <c r="U97" s="2"/>
      <c r="V97" s="7">
        <f t="shared" si="50"/>
        <v>1.2901107527828494E-3</v>
      </c>
      <c r="W97" s="2"/>
      <c r="X97" s="6">
        <f t="shared" si="51"/>
        <v>0</v>
      </c>
      <c r="Y97" s="2"/>
      <c r="Z97" s="7">
        <f t="shared" si="52"/>
        <v>0</v>
      </c>
    </row>
    <row r="98" spans="1:26" s="26" customFormat="1" outlineLevel="1" collapsed="1" x14ac:dyDescent="0.25">
      <c r="A98" s="25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SUM(OSRRefD22_9x_0)</f>
        <v>27.74</v>
      </c>
      <c r="E98" s="1"/>
      <c r="F98" s="5">
        <f t="shared" si="45"/>
        <v>6.501246580049001E-4</v>
      </c>
      <c r="G98" s="1"/>
      <c r="H98" s="1">
        <f>SUM(OSRRefH22_9x_0)</f>
        <v>140</v>
      </c>
      <c r="I98" s="1"/>
      <c r="J98" s="5">
        <f t="shared" si="46"/>
        <v>2.7195027195027195E-3</v>
      </c>
      <c r="K98" s="1"/>
      <c r="L98" s="1">
        <f t="shared" si="47"/>
        <v>-112.26</v>
      </c>
      <c r="M98" s="1"/>
      <c r="N98" s="5">
        <f t="shared" si="48"/>
        <v>-0.80185714285714293</v>
      </c>
      <c r="O98" s="13"/>
      <c r="P98" s="1">
        <f>SUM(OSRRefP22_9x_0)</f>
        <v>97.94</v>
      </c>
      <c r="Q98" s="1"/>
      <c r="R98" s="5">
        <f t="shared" si="49"/>
        <v>3.4216096990428403E-5</v>
      </c>
      <c r="S98" s="1"/>
      <c r="T98" s="1">
        <f>SUM(OSRRefT22_9x_0)</f>
        <v>560</v>
      </c>
      <c r="U98" s="1"/>
      <c r="V98" s="5">
        <f t="shared" si="50"/>
        <v>1.8061550538959892E-4</v>
      </c>
      <c r="W98" s="1"/>
      <c r="X98" s="1">
        <f t="shared" si="51"/>
        <v>-462.06</v>
      </c>
      <c r="Y98" s="1"/>
      <c r="Z98" s="5">
        <f t="shared" si="52"/>
        <v>-0.82510714285714282</v>
      </c>
    </row>
    <row r="99" spans="1:26" s="24" customFormat="1" hidden="1" outlineLevel="2" x14ac:dyDescent="0.25">
      <c r="A99" s="27"/>
      <c r="B99" s="11" t="str">
        <f>CONCATENATE("          ", "6373", " - ", "MAINTENANCE CONTRACTS")</f>
        <v xml:space="preserve">          6373 - MAINTENANCE CONTRACTS</v>
      </c>
      <c r="C99" s="11"/>
      <c r="D99" s="6">
        <v>27.74</v>
      </c>
      <c r="E99" s="2"/>
      <c r="F99" s="7">
        <f t="shared" si="45"/>
        <v>6.501246580049001E-4</v>
      </c>
      <c r="G99" s="2"/>
      <c r="H99" s="6">
        <v>40</v>
      </c>
      <c r="I99" s="2"/>
      <c r="J99" s="7">
        <f t="shared" si="46"/>
        <v>7.77000777000777E-4</v>
      </c>
      <c r="K99" s="2"/>
      <c r="L99" s="6">
        <f t="shared" si="47"/>
        <v>-12.260000000000002</v>
      </c>
      <c r="M99" s="2"/>
      <c r="N99" s="7">
        <f t="shared" si="48"/>
        <v>-0.30650000000000005</v>
      </c>
      <c r="O99" s="11"/>
      <c r="P99" s="6">
        <v>97.94</v>
      </c>
      <c r="Q99" s="2"/>
      <c r="R99" s="7">
        <f t="shared" si="49"/>
        <v>3.4216096990428403E-5</v>
      </c>
      <c r="S99" s="2"/>
      <c r="T99" s="6">
        <v>160</v>
      </c>
      <c r="U99" s="2"/>
      <c r="V99" s="7">
        <f t="shared" si="50"/>
        <v>5.1604430111313979E-5</v>
      </c>
      <c r="W99" s="2"/>
      <c r="X99" s="6">
        <f t="shared" si="51"/>
        <v>-62.06</v>
      </c>
      <c r="Y99" s="2"/>
      <c r="Z99" s="7">
        <f t="shared" si="52"/>
        <v>-0.38787500000000003</v>
      </c>
    </row>
    <row r="100" spans="1:26" s="24" customFormat="1" hidden="1" outlineLevel="2" x14ac:dyDescent="0.25">
      <c r="A100" s="27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45"/>
        <v>0</v>
      </c>
      <c r="G100" s="2"/>
      <c r="H100" s="6">
        <v>100</v>
      </c>
      <c r="I100" s="2"/>
      <c r="J100" s="7">
        <f t="shared" si="46"/>
        <v>1.9425019425019425E-3</v>
      </c>
      <c r="K100" s="2"/>
      <c r="L100" s="6">
        <f t="shared" si="47"/>
        <v>-100</v>
      </c>
      <c r="M100" s="2"/>
      <c r="N100" s="7">
        <f t="shared" si="48"/>
        <v>-1</v>
      </c>
      <c r="O100" s="11"/>
      <c r="P100" s="6"/>
      <c r="Q100" s="2"/>
      <c r="R100" s="7">
        <f t="shared" si="49"/>
        <v>0</v>
      </c>
      <c r="S100" s="2"/>
      <c r="T100" s="6">
        <v>400</v>
      </c>
      <c r="U100" s="2"/>
      <c r="V100" s="7">
        <f t="shared" si="50"/>
        <v>1.2901107527828496E-4</v>
      </c>
      <c r="W100" s="2"/>
      <c r="X100" s="6">
        <f t="shared" si="51"/>
        <v>-400</v>
      </c>
      <c r="Y100" s="2"/>
      <c r="Z100" s="7">
        <f t="shared" si="52"/>
        <v>-1</v>
      </c>
    </row>
    <row r="101" spans="1:26" s="26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268.55</v>
      </c>
      <c r="E101" s="1"/>
      <c r="F101" s="5">
        <f t="shared" ref="F101:F106" si="53">IF(D$12=0,0,D101/D$12)</f>
        <v>6.2938347839659676E-3</v>
      </c>
      <c r="G101" s="1"/>
      <c r="H101" s="1">
        <f>SUM(OSRRefH22_10x_0)</f>
        <v>600</v>
      </c>
      <c r="I101" s="1"/>
      <c r="J101" s="5">
        <f t="shared" ref="J101:J106" si="54">IF(H$12=0,0,H101/H$12)</f>
        <v>1.1655011655011656E-2</v>
      </c>
      <c r="K101" s="1"/>
      <c r="L101" s="1">
        <f t="shared" ref="L101:L106" si="55">+D101-H101</f>
        <v>-331.45</v>
      </c>
      <c r="M101" s="1"/>
      <c r="N101" s="5">
        <f t="shared" ref="N101:N106" si="56">IF(H101=0,0,L101/H101)</f>
        <v>-0.55241666666666667</v>
      </c>
      <c r="O101" s="13"/>
      <c r="P101" s="1">
        <f>SUM(OSRRefP22_10x_0)</f>
        <v>1057.4000000000001</v>
      </c>
      <c r="Q101" s="1"/>
      <c r="R101" s="5">
        <f t="shared" ref="R101:R106" si="57">IF(P$12=0,0,P101/P$12)</f>
        <v>3.6941087357238102E-4</v>
      </c>
      <c r="S101" s="1"/>
      <c r="T101" s="1">
        <f>SUM(OSRRefT22_10x_0)</f>
        <v>1500</v>
      </c>
      <c r="U101" s="1"/>
      <c r="V101" s="5">
        <f t="shared" ref="V101:V106" si="58">IF(T$12=0,0,T101/T$12)</f>
        <v>4.8379153229356856E-4</v>
      </c>
      <c r="W101" s="1"/>
      <c r="X101" s="1">
        <f t="shared" ref="X101:X106" si="59">+P101-T101</f>
        <v>-442.59999999999991</v>
      </c>
      <c r="Y101" s="1"/>
      <c r="Z101" s="5">
        <f t="shared" ref="Z101:Z106" si="60">IF(T101=0,0,X101/T101)</f>
        <v>-0.29506666666666659</v>
      </c>
    </row>
    <row r="102" spans="1:26" s="24" customFormat="1" hidden="1" outlineLevel="2" x14ac:dyDescent="0.25">
      <c r="A102" s="27"/>
      <c r="B102" s="11" t="str">
        <f>CONCATENATE("          ", "6258", " - ", "MEMBERSHIP DUES")</f>
        <v xml:space="preserve">          6258 - MEMBERSHIP DUES</v>
      </c>
      <c r="C102" s="11"/>
      <c r="D102" s="6">
        <v>268.55</v>
      </c>
      <c r="E102" s="2"/>
      <c r="F102" s="7">
        <f t="shared" si="53"/>
        <v>6.2938347839659676E-3</v>
      </c>
      <c r="G102" s="2"/>
      <c r="H102" s="6">
        <v>600</v>
      </c>
      <c r="I102" s="2"/>
      <c r="J102" s="7">
        <f t="shared" si="54"/>
        <v>1.1655011655011656E-2</v>
      </c>
      <c r="K102" s="2"/>
      <c r="L102" s="6">
        <f t="shared" si="55"/>
        <v>-331.45</v>
      </c>
      <c r="M102" s="2"/>
      <c r="N102" s="7">
        <f t="shared" si="56"/>
        <v>-0.55241666666666667</v>
      </c>
      <c r="O102" s="11"/>
      <c r="P102" s="6">
        <v>1057.4000000000001</v>
      </c>
      <c r="Q102" s="2"/>
      <c r="R102" s="7">
        <f t="shared" si="57"/>
        <v>3.6941087357238102E-4</v>
      </c>
      <c r="S102" s="2"/>
      <c r="T102" s="6">
        <v>1500</v>
      </c>
      <c r="U102" s="2"/>
      <c r="V102" s="7">
        <f t="shared" si="58"/>
        <v>4.8379153229356856E-4</v>
      </c>
      <c r="W102" s="2"/>
      <c r="X102" s="6">
        <f t="shared" si="59"/>
        <v>-442.59999999999991</v>
      </c>
      <c r="Y102" s="2"/>
      <c r="Z102" s="7">
        <f t="shared" si="60"/>
        <v>-0.29506666666666659</v>
      </c>
    </row>
    <row r="103" spans="1:26" s="26" customFormat="1" outlineLevel="1" collapsed="1" x14ac:dyDescent="0.25">
      <c r="A103" s="25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1787.4099999999999</v>
      </c>
      <c r="E103" s="1"/>
      <c r="F103" s="5">
        <f t="shared" si="53"/>
        <v>4.1890386264042477E-2</v>
      </c>
      <c r="G103" s="1"/>
      <c r="H103" s="1">
        <f>SUM(OSRRefH22_11x_0)</f>
        <v>1100</v>
      </c>
      <c r="I103" s="1"/>
      <c r="J103" s="5">
        <f t="shared" si="54"/>
        <v>2.1367521367521368E-2</v>
      </c>
      <c r="K103" s="1"/>
      <c r="L103" s="1">
        <f t="shared" si="55"/>
        <v>687.40999999999985</v>
      </c>
      <c r="M103" s="1"/>
      <c r="N103" s="5">
        <f t="shared" si="56"/>
        <v>0.62491818181818171</v>
      </c>
      <c r="O103" s="13"/>
      <c r="P103" s="1">
        <f>SUM(OSRRefP22_11x_0)</f>
        <v>9136.5499999999993</v>
      </c>
      <c r="Q103" s="1"/>
      <c r="R103" s="5">
        <f t="shared" si="57"/>
        <v>3.191924453317323E-3</v>
      </c>
      <c r="S103" s="1"/>
      <c r="T103" s="1">
        <f>SUM(OSRRefT22_11x_0)</f>
        <v>6950</v>
      </c>
      <c r="U103" s="1"/>
      <c r="V103" s="5">
        <f t="shared" si="58"/>
        <v>2.241567432960201E-3</v>
      </c>
      <c r="W103" s="1"/>
      <c r="X103" s="1">
        <f t="shared" si="59"/>
        <v>2186.5499999999993</v>
      </c>
      <c r="Y103" s="1"/>
      <c r="Z103" s="5">
        <f t="shared" si="60"/>
        <v>0.31461151079136679</v>
      </c>
    </row>
    <row r="104" spans="1:26" s="24" customFormat="1" hidden="1" outlineLevel="2" x14ac:dyDescent="0.25">
      <c r="A104" s="27"/>
      <c r="B104" s="11" t="str">
        <f>CONCATENATE("          ", "6241", " - ", "OFFICE EXPENSE")</f>
        <v xml:space="preserve">          6241 - OFFICE EXPENSE</v>
      </c>
      <c r="C104" s="11"/>
      <c r="D104" s="6">
        <v>959.61</v>
      </c>
      <c r="E104" s="2"/>
      <c r="F104" s="7">
        <f t="shared" si="53"/>
        <v>2.2489766512908516E-2</v>
      </c>
      <c r="G104" s="2"/>
      <c r="H104" s="6">
        <v>800</v>
      </c>
      <c r="I104" s="2"/>
      <c r="J104" s="7">
        <f t="shared" si="54"/>
        <v>1.554001554001554E-2</v>
      </c>
      <c r="K104" s="2"/>
      <c r="L104" s="6">
        <f t="shared" si="55"/>
        <v>159.61000000000001</v>
      </c>
      <c r="M104" s="2"/>
      <c r="N104" s="7">
        <f t="shared" si="56"/>
        <v>0.19951250000000001</v>
      </c>
      <c r="O104" s="11"/>
      <c r="P104" s="6">
        <v>3297.43</v>
      </c>
      <c r="Q104" s="2"/>
      <c r="R104" s="7">
        <f t="shared" si="57"/>
        <v>1.1519826904140119E-3</v>
      </c>
      <c r="S104" s="2"/>
      <c r="T104" s="6">
        <v>1350</v>
      </c>
      <c r="U104" s="2"/>
      <c r="V104" s="7">
        <f t="shared" si="58"/>
        <v>4.354123790642117E-4</v>
      </c>
      <c r="W104" s="2"/>
      <c r="X104" s="6">
        <f t="shared" si="59"/>
        <v>1947.4299999999998</v>
      </c>
      <c r="Y104" s="2"/>
      <c r="Z104" s="7">
        <f t="shared" si="60"/>
        <v>1.4425407407407407</v>
      </c>
    </row>
    <row r="105" spans="1:26" s="24" customFormat="1" hidden="1" outlineLevel="2" x14ac:dyDescent="0.25">
      <c r="A105" s="27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53"/>
        <v>0</v>
      </c>
      <c r="G105" s="2"/>
      <c r="H105" s="6">
        <v>100</v>
      </c>
      <c r="I105" s="2"/>
      <c r="J105" s="7">
        <f t="shared" si="54"/>
        <v>1.9425019425019425E-3</v>
      </c>
      <c r="K105" s="2"/>
      <c r="L105" s="6">
        <f t="shared" si="55"/>
        <v>-100</v>
      </c>
      <c r="M105" s="2"/>
      <c r="N105" s="7">
        <f t="shared" si="56"/>
        <v>-1</v>
      </c>
      <c r="O105" s="11"/>
      <c r="P105" s="6">
        <v>4978.08</v>
      </c>
      <c r="Q105" s="2"/>
      <c r="R105" s="7">
        <f t="shared" si="57"/>
        <v>1.7391307750266676E-3</v>
      </c>
      <c r="S105" s="2"/>
      <c r="T105" s="6">
        <v>800</v>
      </c>
      <c r="U105" s="2"/>
      <c r="V105" s="7">
        <f t="shared" si="58"/>
        <v>2.5802215055656993E-4</v>
      </c>
      <c r="W105" s="2"/>
      <c r="X105" s="6">
        <f t="shared" si="59"/>
        <v>4178.08</v>
      </c>
      <c r="Y105" s="2"/>
      <c r="Z105" s="7">
        <f t="shared" si="60"/>
        <v>5.2225999999999999</v>
      </c>
    </row>
    <row r="106" spans="1:26" s="24" customFormat="1" hidden="1" outlineLevel="2" x14ac:dyDescent="0.25">
      <c r="A106" s="27"/>
      <c r="B106" s="11" t="str">
        <f>CONCATENATE("          ", "6247", " - ", "STORE SUPPLIES")</f>
        <v xml:space="preserve">          6247 - STORE SUPPLIES</v>
      </c>
      <c r="C106" s="11"/>
      <c r="D106" s="6">
        <v>827.8</v>
      </c>
      <c r="E106" s="2"/>
      <c r="F106" s="7">
        <f t="shared" si="53"/>
        <v>1.9400619751133968E-2</v>
      </c>
      <c r="G106" s="2"/>
      <c r="H106" s="6">
        <v>200</v>
      </c>
      <c r="I106" s="2"/>
      <c r="J106" s="7">
        <f t="shared" si="54"/>
        <v>3.885003885003885E-3</v>
      </c>
      <c r="K106" s="2"/>
      <c r="L106" s="6">
        <f t="shared" si="55"/>
        <v>627.79999999999995</v>
      </c>
      <c r="M106" s="2"/>
      <c r="N106" s="7">
        <f t="shared" si="56"/>
        <v>3.1389999999999998</v>
      </c>
      <c r="O106" s="11"/>
      <c r="P106" s="6">
        <v>861.04</v>
      </c>
      <c r="Q106" s="2"/>
      <c r="R106" s="7">
        <f t="shared" si="57"/>
        <v>3.0081098787664359E-4</v>
      </c>
      <c r="S106" s="2"/>
      <c r="T106" s="6">
        <v>4800</v>
      </c>
      <c r="U106" s="2"/>
      <c r="V106" s="7">
        <f t="shared" si="58"/>
        <v>1.5481329033394193E-3</v>
      </c>
      <c r="W106" s="2"/>
      <c r="X106" s="6">
        <f t="shared" si="59"/>
        <v>-3938.96</v>
      </c>
      <c r="Y106" s="2"/>
      <c r="Z106" s="7">
        <f t="shared" si="60"/>
        <v>-0.82061666666666666</v>
      </c>
    </row>
    <row r="107" spans="1:26" s="26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-300.89999999999998</v>
      </c>
      <c r="E107" s="1"/>
      <c r="F107" s="5">
        <f t="shared" ref="F107:F109" si="61">IF(D$12=0,0,D107/D$12)</f>
        <v>-7.0520010668231586E-3</v>
      </c>
      <c r="G107" s="1"/>
      <c r="H107" s="1">
        <f>SUM(OSRRefH22_12x_0)</f>
        <v>600</v>
      </c>
      <c r="I107" s="1"/>
      <c r="J107" s="5">
        <f t="shared" ref="J107:J109" si="62">IF(H$12=0,0,H107/H$12)</f>
        <v>1.1655011655011656E-2</v>
      </c>
      <c r="K107" s="1"/>
      <c r="L107" s="1">
        <f t="shared" ref="L107:L109" si="63">+D107-H107</f>
        <v>-900.9</v>
      </c>
      <c r="M107" s="1"/>
      <c r="N107" s="5">
        <f t="shared" ref="N107:N109" si="64">IF(H107=0,0,L107/H107)</f>
        <v>-1.5015000000000001</v>
      </c>
      <c r="O107" s="13"/>
      <c r="P107" s="1">
        <f>SUM(OSRRefP22_12x_0)</f>
        <v>3098.6</v>
      </c>
      <c r="Q107" s="1"/>
      <c r="R107" s="5">
        <f t="shared" ref="R107:R109" si="65">IF(P$12=0,0,P107/P$12)</f>
        <v>1.0825198911021182E-3</v>
      </c>
      <c r="S107" s="1"/>
      <c r="T107" s="1">
        <f>SUM(OSRRefT22_12x_0)</f>
        <v>3900</v>
      </c>
      <c r="U107" s="1"/>
      <c r="V107" s="5">
        <f t="shared" ref="V107:V109" si="66">IF(T$12=0,0,T107/T$12)</f>
        <v>1.2578579839632783E-3</v>
      </c>
      <c r="W107" s="1"/>
      <c r="X107" s="1">
        <f t="shared" ref="X107:X109" si="67">+P107-T107</f>
        <v>-801.40000000000009</v>
      </c>
      <c r="Y107" s="1"/>
      <c r="Z107" s="5">
        <f t="shared" ref="Z107:Z109" si="68">IF(T107=0,0,X107/T107)</f>
        <v>-0.20548717948717951</v>
      </c>
    </row>
    <row r="108" spans="1:26" s="24" customFormat="1" hidden="1" outlineLevel="2" x14ac:dyDescent="0.25">
      <c r="A108" s="27"/>
      <c r="B108" s="11" t="str">
        <f>CONCATENATE("          ", "6303", " - ", "DATA PHONE LINES")</f>
        <v xml:space="preserve">          6303 - DATA PHONE LINES</v>
      </c>
      <c r="C108" s="11"/>
      <c r="D108" s="6">
        <v>295</v>
      </c>
      <c r="E108" s="2"/>
      <c r="F108" s="7">
        <f t="shared" si="61"/>
        <v>6.9137265361011368E-3</v>
      </c>
      <c r="G108" s="2"/>
      <c r="H108" s="6">
        <v>300</v>
      </c>
      <c r="I108" s="2"/>
      <c r="J108" s="7">
        <f t="shared" si="62"/>
        <v>5.8275058275058279E-3</v>
      </c>
      <c r="K108" s="2"/>
      <c r="L108" s="6">
        <f t="shared" si="63"/>
        <v>-5</v>
      </c>
      <c r="M108" s="2"/>
      <c r="N108" s="7">
        <f t="shared" si="64"/>
        <v>-1.6666666666666666E-2</v>
      </c>
      <c r="O108" s="11"/>
      <c r="P108" s="6">
        <v>1180</v>
      </c>
      <c r="Q108" s="2"/>
      <c r="R108" s="7">
        <f t="shared" si="65"/>
        <v>4.1224213241480005E-4</v>
      </c>
      <c r="S108" s="2"/>
      <c r="T108" s="6">
        <v>1200</v>
      </c>
      <c r="U108" s="2"/>
      <c r="V108" s="7">
        <f t="shared" si="66"/>
        <v>3.8703322583485484E-4</v>
      </c>
      <c r="W108" s="2"/>
      <c r="X108" s="6">
        <f t="shared" si="67"/>
        <v>-20</v>
      </c>
      <c r="Y108" s="2"/>
      <c r="Z108" s="7">
        <f t="shared" si="68"/>
        <v>-1.6666666666666666E-2</v>
      </c>
    </row>
    <row r="109" spans="1:26" s="24" customFormat="1" hidden="1" outlineLevel="2" x14ac:dyDescent="0.25">
      <c r="A109" s="27"/>
      <c r="B109" s="11" t="str">
        <f>CONCATENATE("          ", "6309", " - ", "TELEPHONE")</f>
        <v xml:space="preserve">          6309 - TELEPHONE</v>
      </c>
      <c r="C109" s="11"/>
      <c r="D109" s="6">
        <v>-595.9</v>
      </c>
      <c r="E109" s="2"/>
      <c r="F109" s="7">
        <f t="shared" si="61"/>
        <v>-1.3965727602924296E-2</v>
      </c>
      <c r="G109" s="2"/>
      <c r="H109" s="6">
        <v>300</v>
      </c>
      <c r="I109" s="2"/>
      <c r="J109" s="7">
        <f t="shared" si="62"/>
        <v>5.8275058275058279E-3</v>
      </c>
      <c r="K109" s="2"/>
      <c r="L109" s="6">
        <f t="shared" si="63"/>
        <v>-895.9</v>
      </c>
      <c r="M109" s="2"/>
      <c r="N109" s="7">
        <f t="shared" si="64"/>
        <v>-2.9863333333333331</v>
      </c>
      <c r="O109" s="11"/>
      <c r="P109" s="6">
        <v>1918.6</v>
      </c>
      <c r="Q109" s="2"/>
      <c r="R109" s="7">
        <f t="shared" si="65"/>
        <v>6.702777586873181E-4</v>
      </c>
      <c r="S109" s="2"/>
      <c r="T109" s="6">
        <v>2700</v>
      </c>
      <c r="U109" s="2"/>
      <c r="V109" s="7">
        <f t="shared" si="66"/>
        <v>8.708247581284234E-4</v>
      </c>
      <c r="W109" s="2"/>
      <c r="X109" s="6">
        <f t="shared" si="67"/>
        <v>-781.40000000000009</v>
      </c>
      <c r="Y109" s="2"/>
      <c r="Z109" s="7">
        <f t="shared" si="68"/>
        <v>-0.28940740740740745</v>
      </c>
    </row>
    <row r="110" spans="1:26" s="26" customFormat="1" outlineLevel="1" collapsed="1" x14ac:dyDescent="0.25">
      <c r="A110" s="25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4" si="69">IF(D$12=0,0,D110/D$12)</f>
        <v>0</v>
      </c>
      <c r="G110" s="1"/>
      <c r="H110" s="1">
        <f>SUM(OSRRefH22_13x_0)</f>
        <v>500</v>
      </c>
      <c r="I110" s="1"/>
      <c r="J110" s="5">
        <f t="shared" ref="J110:J114" si="70">IF(H$12=0,0,H110/H$12)</f>
        <v>9.7125097125097121E-3</v>
      </c>
      <c r="K110" s="1"/>
      <c r="L110" s="1">
        <f t="shared" ref="L110:L114" si="71">+D110-H110</f>
        <v>-500</v>
      </c>
      <c r="M110" s="1"/>
      <c r="N110" s="5">
        <f t="shared" ref="N110:N114" si="72">IF(H110=0,0,L110/H110)</f>
        <v>-1</v>
      </c>
      <c r="O110" s="13"/>
      <c r="P110" s="1">
        <f>SUM(OSRRefP22_13x_0)</f>
        <v>547.47</v>
      </c>
      <c r="Q110" s="1"/>
      <c r="R110" s="5">
        <f t="shared" ref="R110:R114" si="73">IF(P$12=0,0,P110/P$12)</f>
        <v>1.9126288155350051E-4</v>
      </c>
      <c r="S110" s="1"/>
      <c r="T110" s="1">
        <f>SUM(OSRRefT22_13x_0)</f>
        <v>800</v>
      </c>
      <c r="U110" s="1"/>
      <c r="V110" s="5">
        <f t="shared" ref="V110:V114" si="74">IF(T$12=0,0,T110/T$12)</f>
        <v>2.5802215055656993E-4</v>
      </c>
      <c r="W110" s="1"/>
      <c r="X110" s="1">
        <f t="shared" ref="X110:X114" si="75">+P110-T110</f>
        <v>-252.52999999999997</v>
      </c>
      <c r="Y110" s="1"/>
      <c r="Z110" s="5">
        <f t="shared" ref="Z110:Z114" si="76">IF(T110=0,0,X110/T110)</f>
        <v>-0.31566249999999996</v>
      </c>
    </row>
    <row r="111" spans="1:26" s="24" customFormat="1" hidden="1" outlineLevel="2" x14ac:dyDescent="0.25">
      <c r="A111" s="27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69"/>
        <v>0</v>
      </c>
      <c r="G111" s="2"/>
      <c r="H111" s="6">
        <v>500</v>
      </c>
      <c r="I111" s="2"/>
      <c r="J111" s="7">
        <f t="shared" si="70"/>
        <v>9.7125097125097121E-3</v>
      </c>
      <c r="K111" s="2"/>
      <c r="L111" s="6">
        <f t="shared" si="71"/>
        <v>-500</v>
      </c>
      <c r="M111" s="2"/>
      <c r="N111" s="7">
        <f t="shared" si="72"/>
        <v>-1</v>
      </c>
      <c r="O111" s="11"/>
      <c r="P111" s="6">
        <v>547.47</v>
      </c>
      <c r="Q111" s="2"/>
      <c r="R111" s="7">
        <f t="shared" si="73"/>
        <v>1.9126288155350051E-4</v>
      </c>
      <c r="S111" s="2"/>
      <c r="T111" s="6">
        <v>800</v>
      </c>
      <c r="U111" s="2"/>
      <c r="V111" s="7">
        <f t="shared" si="74"/>
        <v>2.5802215055656993E-4</v>
      </c>
      <c r="W111" s="2"/>
      <c r="X111" s="6">
        <f t="shared" si="75"/>
        <v>-252.52999999999997</v>
      </c>
      <c r="Y111" s="2"/>
      <c r="Z111" s="7">
        <f t="shared" si="76"/>
        <v>-0.31566249999999996</v>
      </c>
    </row>
    <row r="112" spans="1:26" s="26" customFormat="1" outlineLevel="1" collapsed="1" x14ac:dyDescent="0.25">
      <c r="A112" s="25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83.93</v>
      </c>
      <c r="E112" s="1"/>
      <c r="F112" s="5">
        <f t="shared" si="69"/>
        <v>1.967013790423622E-3</v>
      </c>
      <c r="G112" s="1"/>
      <c r="H112" s="1">
        <f>SUM(OSRRefH22_14x_0)</f>
        <v>0</v>
      </c>
      <c r="I112" s="1"/>
      <c r="J112" s="5">
        <f t="shared" si="70"/>
        <v>0</v>
      </c>
      <c r="K112" s="1"/>
      <c r="L112" s="1">
        <f t="shared" si="71"/>
        <v>83.93</v>
      </c>
      <c r="M112" s="1"/>
      <c r="N112" s="5">
        <f t="shared" si="72"/>
        <v>0</v>
      </c>
      <c r="O112" s="13"/>
      <c r="P112" s="1">
        <f>SUM(OSRRefP22_14x_0)</f>
        <v>83.93</v>
      </c>
      <c r="Q112" s="1"/>
      <c r="R112" s="5">
        <f t="shared" si="73"/>
        <v>2.9321595062350993E-5</v>
      </c>
      <c r="S112" s="1"/>
      <c r="T112" s="1">
        <f>SUM(OSRRefT22_14x_0)</f>
        <v>450</v>
      </c>
      <c r="U112" s="1"/>
      <c r="V112" s="5">
        <f t="shared" si="74"/>
        <v>1.4513745968807058E-4</v>
      </c>
      <c r="W112" s="1"/>
      <c r="X112" s="1">
        <f t="shared" si="75"/>
        <v>-366.07</v>
      </c>
      <c r="Y112" s="1"/>
      <c r="Z112" s="5">
        <f t="shared" si="76"/>
        <v>-0.81348888888888893</v>
      </c>
    </row>
    <row r="113" spans="1:26" s="24" customFormat="1" hidden="1" outlineLevel="2" x14ac:dyDescent="0.25">
      <c r="A113" s="27"/>
      <c r="B113" s="11" t="str">
        <f>CONCATENATE("          ", "6292", " - ", "TRAVEL/CONFERENCE")</f>
        <v xml:space="preserve">          6292 - TRAVEL/CONFERENCE</v>
      </c>
      <c r="C113" s="11"/>
      <c r="D113" s="6">
        <v>83.93</v>
      </c>
      <c r="E113" s="2"/>
      <c r="F113" s="7">
        <f t="shared" si="69"/>
        <v>1.967013790423622E-3</v>
      </c>
      <c r="G113" s="2"/>
      <c r="H113" s="6"/>
      <c r="I113" s="2"/>
      <c r="J113" s="7">
        <f t="shared" si="70"/>
        <v>0</v>
      </c>
      <c r="K113" s="2"/>
      <c r="L113" s="6">
        <f t="shared" si="71"/>
        <v>83.93</v>
      </c>
      <c r="M113" s="2"/>
      <c r="N113" s="7">
        <f t="shared" si="72"/>
        <v>0</v>
      </c>
      <c r="O113" s="11"/>
      <c r="P113" s="6">
        <v>83.93</v>
      </c>
      <c r="Q113" s="2"/>
      <c r="R113" s="7">
        <f t="shared" si="73"/>
        <v>2.9321595062350993E-5</v>
      </c>
      <c r="S113" s="2"/>
      <c r="T113" s="6"/>
      <c r="U113" s="2"/>
      <c r="V113" s="7">
        <f t="shared" si="74"/>
        <v>0</v>
      </c>
      <c r="W113" s="2"/>
      <c r="X113" s="6">
        <f t="shared" si="75"/>
        <v>83.93</v>
      </c>
      <c r="Y113" s="2"/>
      <c r="Z113" s="7">
        <f t="shared" si="76"/>
        <v>0</v>
      </c>
    </row>
    <row r="114" spans="1:26" s="24" customFormat="1" hidden="1" outlineLevel="2" x14ac:dyDescent="0.25">
      <c r="A114" s="27"/>
      <c r="B114" s="11" t="str">
        <f>CONCATENATE("          ", "6298", " - ", "VEHICLE MILEAGE")</f>
        <v xml:space="preserve">          6298 - VEHICLE MILEAGE</v>
      </c>
      <c r="C114" s="11"/>
      <c r="D114" s="6"/>
      <c r="E114" s="2"/>
      <c r="F114" s="7">
        <f t="shared" si="69"/>
        <v>0</v>
      </c>
      <c r="G114" s="2"/>
      <c r="H114" s="6"/>
      <c r="I114" s="2"/>
      <c r="J114" s="7">
        <f t="shared" si="70"/>
        <v>0</v>
      </c>
      <c r="K114" s="2"/>
      <c r="L114" s="6">
        <f t="shared" si="71"/>
        <v>0</v>
      </c>
      <c r="M114" s="2"/>
      <c r="N114" s="7">
        <f t="shared" si="72"/>
        <v>0</v>
      </c>
      <c r="O114" s="11"/>
      <c r="P114" s="6"/>
      <c r="Q114" s="2"/>
      <c r="R114" s="7">
        <f t="shared" si="73"/>
        <v>0</v>
      </c>
      <c r="S114" s="2"/>
      <c r="T114" s="6">
        <v>450</v>
      </c>
      <c r="U114" s="2"/>
      <c r="V114" s="7">
        <f t="shared" si="74"/>
        <v>1.4513745968807058E-4</v>
      </c>
      <c r="W114" s="2"/>
      <c r="X114" s="6">
        <f t="shared" si="75"/>
        <v>-450</v>
      </c>
      <c r="Y114" s="2"/>
      <c r="Z114" s="7">
        <f t="shared" si="76"/>
        <v>-1</v>
      </c>
    </row>
    <row r="115" spans="1:26" s="61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0</v>
      </c>
      <c r="C116" s="10"/>
      <c r="D116" s="4">
        <f>SUM(OSRRefD25x_0)</f>
        <v>44861.23</v>
      </c>
      <c r="E116" s="4"/>
      <c r="F116" s="12">
        <f t="shared" ref="F116:F120" si="77">IF(D$12=0,0,D116/D$12)</f>
        <v>1.0513839874343607</v>
      </c>
      <c r="G116" s="4"/>
      <c r="H116" s="4">
        <f>SUM(OSRRefH25x_0)</f>
        <v>1300</v>
      </c>
      <c r="I116" s="4"/>
      <c r="J116" s="12">
        <f t="shared" ref="J116:J120" si="78">IF(H$12=0,0,H116/H$12)</f>
        <v>2.5252525252525252E-2</v>
      </c>
      <c r="K116" s="4"/>
      <c r="L116" s="4">
        <f t="shared" ref="L116:L120" si="79">+D116-H116</f>
        <v>43561.23</v>
      </c>
      <c r="M116" s="4"/>
      <c r="N116" s="12">
        <f t="shared" ref="N116:N120" si="80">IF(H116=0,0,L116/H116)</f>
        <v>33.508638461538467</v>
      </c>
      <c r="O116" s="10"/>
      <c r="P116" s="4">
        <f>SUM(OSRRefP25x_0)</f>
        <v>142244.4</v>
      </c>
      <c r="Q116" s="4"/>
      <c r="R116" s="12">
        <f t="shared" ref="R116:R120" si="81">IF(P$12=0,0,P116/P$12)</f>
        <v>4.9694182017003201E-2</v>
      </c>
      <c r="S116" s="4"/>
      <c r="T116" s="4">
        <f>SUM(OSRRefT25x_0)</f>
        <v>83600</v>
      </c>
      <c r="U116" s="4"/>
      <c r="V116" s="12">
        <f t="shared" ref="V116:V120" si="82">IF(T$12=0,0,T116/T$12)</f>
        <v>2.6963314733161554E-2</v>
      </c>
      <c r="W116" s="4"/>
      <c r="X116" s="4">
        <f t="shared" ref="X116:X120" si="83">+P116-T116</f>
        <v>58644.399999999994</v>
      </c>
      <c r="Y116" s="4"/>
      <c r="Z116" s="12">
        <f t="shared" ref="Z116:Z120" si="84">IF(T116=0,0,X116/T116)</f>
        <v>0.70148803827751194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--44808.15</f>
        <v>44808.15</v>
      </c>
      <c r="E117" s="2"/>
      <c r="F117" s="19">
        <f t="shared" si="77"/>
        <v>1.0501399853850852</v>
      </c>
      <c r="G117" s="2"/>
      <c r="H117" s="2"/>
      <c r="I117" s="2"/>
      <c r="J117" s="19">
        <f t="shared" si="78"/>
        <v>0</v>
      </c>
      <c r="K117" s="2"/>
      <c r="L117" s="2">
        <f t="shared" si="79"/>
        <v>44808.15</v>
      </c>
      <c r="M117" s="2"/>
      <c r="N117" s="19">
        <f t="shared" si="80"/>
        <v>0</v>
      </c>
      <c r="O117" s="11"/>
      <c r="P117" s="2">
        <f>--53874.1</f>
        <v>53874.1</v>
      </c>
      <c r="Q117" s="2"/>
      <c r="R117" s="19">
        <f t="shared" si="81"/>
        <v>1.8821333784684896E-2</v>
      </c>
      <c r="S117" s="2"/>
      <c r="T117" s="2"/>
      <c r="U117" s="2"/>
      <c r="V117" s="19">
        <f t="shared" si="82"/>
        <v>0</v>
      </c>
      <c r="W117" s="2"/>
      <c r="X117" s="2">
        <f t="shared" si="83"/>
        <v>53874.1</v>
      </c>
      <c r="Y117" s="2"/>
      <c r="Z117" s="19">
        <f t="shared" si="84"/>
        <v>0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0</f>
        <v>0</v>
      </c>
      <c r="E118" s="2"/>
      <c r="F118" s="19">
        <f t="shared" si="77"/>
        <v>0</v>
      </c>
      <c r="G118" s="2"/>
      <c r="H118" s="2"/>
      <c r="I118" s="2"/>
      <c r="J118" s="19">
        <f t="shared" si="78"/>
        <v>0</v>
      </c>
      <c r="K118" s="2"/>
      <c r="L118" s="2">
        <f t="shared" si="79"/>
        <v>0</v>
      </c>
      <c r="M118" s="2"/>
      <c r="N118" s="19">
        <f t="shared" si="80"/>
        <v>0</v>
      </c>
      <c r="O118" s="11"/>
      <c r="P118" s="2">
        <f>--87676.2</f>
        <v>87676.2</v>
      </c>
      <c r="Q118" s="2"/>
      <c r="R118" s="19">
        <f t="shared" si="81"/>
        <v>3.0630359025446179E-2</v>
      </c>
      <c r="S118" s="2"/>
      <c r="T118" s="2"/>
      <c r="U118" s="2"/>
      <c r="V118" s="19">
        <f t="shared" si="82"/>
        <v>0</v>
      </c>
      <c r="W118" s="2"/>
      <c r="X118" s="2">
        <f t="shared" si="83"/>
        <v>87676.2</v>
      </c>
      <c r="Y118" s="2"/>
      <c r="Z118" s="19">
        <f t="shared" si="84"/>
        <v>0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--53.08</f>
        <v>53.08</v>
      </c>
      <c r="E119" s="2"/>
      <c r="F119" s="19">
        <f t="shared" si="77"/>
        <v>1.2440020492754181E-3</v>
      </c>
      <c r="G119" s="2"/>
      <c r="H119" s="2"/>
      <c r="I119" s="2"/>
      <c r="J119" s="19">
        <f t="shared" si="78"/>
        <v>0</v>
      </c>
      <c r="K119" s="2"/>
      <c r="L119" s="2">
        <f t="shared" si="79"/>
        <v>53.08</v>
      </c>
      <c r="M119" s="2"/>
      <c r="N119" s="19">
        <f t="shared" si="80"/>
        <v>0</v>
      </c>
      <c r="O119" s="11"/>
      <c r="P119" s="2">
        <f>--694.1</f>
        <v>694.1</v>
      </c>
      <c r="Q119" s="2"/>
      <c r="R119" s="19">
        <f t="shared" si="81"/>
        <v>2.4248920687212943E-4</v>
      </c>
      <c r="S119" s="2"/>
      <c r="T119" s="2"/>
      <c r="U119" s="2"/>
      <c r="V119" s="19">
        <f t="shared" si="82"/>
        <v>0</v>
      </c>
      <c r="W119" s="2"/>
      <c r="X119" s="2">
        <f t="shared" si="83"/>
        <v>694.1</v>
      </c>
      <c r="Y119" s="2"/>
      <c r="Z119" s="19">
        <f t="shared" si="84"/>
        <v>0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>0</f>
        <v>0</v>
      </c>
      <c r="E120" s="2"/>
      <c r="F120" s="19">
        <f t="shared" si="77"/>
        <v>0</v>
      </c>
      <c r="G120" s="2"/>
      <c r="H120" s="2">
        <v>1300</v>
      </c>
      <c r="I120" s="2"/>
      <c r="J120" s="19">
        <f t="shared" si="78"/>
        <v>2.5252525252525252E-2</v>
      </c>
      <c r="K120" s="2"/>
      <c r="L120" s="2">
        <f t="shared" si="79"/>
        <v>-1300</v>
      </c>
      <c r="M120" s="2"/>
      <c r="N120" s="19">
        <f t="shared" si="80"/>
        <v>-1</v>
      </c>
      <c r="O120" s="11"/>
      <c r="P120" s="2">
        <f>0</f>
        <v>0</v>
      </c>
      <c r="Q120" s="2"/>
      <c r="R120" s="19">
        <f t="shared" si="81"/>
        <v>0</v>
      </c>
      <c r="S120" s="2"/>
      <c r="T120" s="2">
        <v>83600</v>
      </c>
      <c r="U120" s="2"/>
      <c r="V120" s="19">
        <f t="shared" si="82"/>
        <v>2.6963314733161554E-2</v>
      </c>
      <c r="W120" s="2"/>
      <c r="X120" s="2">
        <f t="shared" si="83"/>
        <v>-83600</v>
      </c>
      <c r="Y120" s="2"/>
      <c r="Z120" s="19">
        <f t="shared" si="84"/>
        <v>-1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2">
        <f>+D57-D59+D116</f>
        <v>11081.450000000012</v>
      </c>
      <c r="E122" s="14"/>
      <c r="F122" s="20">
        <f>IF(D$12=0,0,D122/D$12)</f>
        <v>0.25970886414738314</v>
      </c>
      <c r="G122" s="14"/>
      <c r="H122" s="22">
        <f>+H57-H59+H116</f>
        <v>-39015.689610372254</v>
      </c>
      <c r="I122" s="14"/>
      <c r="J122" s="20">
        <f>IF(H$12=0,0,H122/H$12)</f>
        <v>-0.7578805285620096</v>
      </c>
      <c r="K122" s="16"/>
      <c r="L122" s="22">
        <f>+D122-H122</f>
        <v>50097.139610372265</v>
      </c>
      <c r="M122" s="16"/>
      <c r="N122" s="20">
        <f>IF(H122=0,0,L122/H122)</f>
        <v>-1.2840254807915539</v>
      </c>
      <c r="O122" s="29"/>
      <c r="P122" s="22">
        <f>+P57-P59+P116</f>
        <v>742958.0200000006</v>
      </c>
      <c r="Q122" s="14"/>
      <c r="R122" s="20">
        <f>IF(P$12=0,0,P122/P$12)</f>
        <v>0.25955813428769314</v>
      </c>
      <c r="S122" s="14"/>
      <c r="T122" s="22">
        <f>+T57-T59+T116</f>
        <v>724686.1623296598</v>
      </c>
      <c r="U122" s="14"/>
      <c r="V122" s="20">
        <f>IF(T$12=0,0,T122/T$12)</f>
        <v>0.23373135260360792</v>
      </c>
      <c r="W122" s="16"/>
      <c r="X122" s="22">
        <f>+P122-T122</f>
        <v>18271.857670340803</v>
      </c>
      <c r="Y122" s="16"/>
      <c r="Z122" s="20">
        <f>IF(T122=0,0,X122/T122)</f>
        <v>2.521347670224857E-2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14</v>
      </c>
      <c r="C124" s="10"/>
      <c r="D124" s="4">
        <v>-14739.98</v>
      </c>
      <c r="E124" s="4"/>
      <c r="F124" s="12">
        <f>IF(D$12=0,0,D124/D$12)</f>
        <v>-0.3454514944664408</v>
      </c>
      <c r="G124" s="4"/>
      <c r="H124" s="4">
        <v>-12282</v>
      </c>
      <c r="I124" s="4"/>
      <c r="J124" s="12">
        <f>IF(H$12=0,0,H124/H$12)</f>
        <v>-0.23857808857808857</v>
      </c>
      <c r="K124" s="4"/>
      <c r="L124" s="4">
        <f>+D124-H124</f>
        <v>-2457.9799999999996</v>
      </c>
      <c r="M124" s="4"/>
      <c r="N124" s="12">
        <f>IF(H124=0,0,L124/H124)</f>
        <v>0.20012864354339679</v>
      </c>
      <c r="O124" s="10"/>
      <c r="P124" s="4">
        <v>288136.03000000003</v>
      </c>
      <c r="Q124" s="4"/>
      <c r="R124" s="12">
        <f>IF(P$12=0,0,P124/P$12)</f>
        <v>0.10066255206163967</v>
      </c>
      <c r="S124" s="4"/>
      <c r="T124" s="4">
        <v>373374</v>
      </c>
      <c r="U124" s="4"/>
      <c r="V124" s="12">
        <f>IF(T$12=0,0,T124/T$12)</f>
        <v>0.12042345305238591</v>
      </c>
      <c r="W124" s="4"/>
      <c r="X124" s="4">
        <f>+P124-T124</f>
        <v>-85237.969999999972</v>
      </c>
      <c r="Y124" s="4"/>
      <c r="Z124" s="12">
        <f>IF(T124=0,0,X124/T124)</f>
        <v>-0.22829112364545998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1">
        <f>+D122-D124</f>
        <v>25821.430000000011</v>
      </c>
      <c r="E126" s="14"/>
      <c r="F126" s="33">
        <f>IF(D$12=0,0,D126/D$12)</f>
        <v>0.60516035861382389</v>
      </c>
      <c r="G126" s="14"/>
      <c r="H126" s="31">
        <f>+H122-H124</f>
        <v>-26733.689610372254</v>
      </c>
      <c r="I126" s="14"/>
      <c r="J126" s="33">
        <f>IF(H$12=0,0,H126/H$12)</f>
        <v>-0.519302439983921</v>
      </c>
      <c r="K126" s="16"/>
      <c r="L126" s="31">
        <f>D126-H126</f>
        <v>52555.119610372261</v>
      </c>
      <c r="M126" s="16"/>
      <c r="N126" s="33">
        <f>IF(H126=0,0,L126/H126)</f>
        <v>-1.9658760304444358</v>
      </c>
      <c r="O126" s="29"/>
      <c r="P126" s="31">
        <f>+P122-P124</f>
        <v>454821.99000000057</v>
      </c>
      <c r="Q126" s="14"/>
      <c r="R126" s="33">
        <f>IF(P$12=0,0,P126/P$12)</f>
        <v>0.15889558222605346</v>
      </c>
      <c r="S126" s="14"/>
      <c r="T126" s="31">
        <f>+T122-T124</f>
        <v>351312.1623296598</v>
      </c>
      <c r="U126" s="14"/>
      <c r="V126" s="33">
        <f>IF(T$12=0,0,T126/T$12)</f>
        <v>0.113307899551222</v>
      </c>
      <c r="W126" s="16"/>
      <c r="X126" s="31">
        <f>P126-T126</f>
        <v>103509.82767034078</v>
      </c>
      <c r="Y126" s="16"/>
      <c r="Z126" s="33">
        <f>IF(T126=0,0,X126/T126)</f>
        <v>0.29463775744037735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2">
        <f>SUM(D126:D128)</f>
        <v>25821.430000000011</v>
      </c>
      <c r="E129" s="14"/>
      <c r="F129" s="34">
        <f>IF(D$12=0,0,D129/D$12)</f>
        <v>0.60516035861382389</v>
      </c>
      <c r="G129" s="14"/>
      <c r="H129" s="32">
        <f>SUM(H126:H128)</f>
        <v>-26733.689610372254</v>
      </c>
      <c r="I129" s="14"/>
      <c r="J129" s="34">
        <f>IF(H$12=0,0,H129/H$12)</f>
        <v>-0.519302439983921</v>
      </c>
      <c r="K129" s="16"/>
      <c r="L129" s="32">
        <f>+D129-H129</f>
        <v>52555.119610372261</v>
      </c>
      <c r="M129" s="16"/>
      <c r="N129" s="34">
        <f>IF(H129=0,0,L129/H129)</f>
        <v>-1.9658760304444358</v>
      </c>
      <c r="O129" s="29"/>
      <c r="P129" s="32">
        <f>SUM(P126:P128)</f>
        <v>454821.99000000057</v>
      </c>
      <c r="Q129" s="14"/>
      <c r="R129" s="34">
        <f>IF(P$12=0,0,P129/P$12)</f>
        <v>0.15889558222605346</v>
      </c>
      <c r="S129" s="14"/>
      <c r="T129" s="32">
        <f>SUM(T126:T128)</f>
        <v>351312.1623296598</v>
      </c>
      <c r="U129" s="14"/>
      <c r="V129" s="34">
        <f>IF(T$12=0,0,T129/T$12)</f>
        <v>0.113307899551222</v>
      </c>
      <c r="W129" s="16"/>
      <c r="X129" s="32">
        <f>+P129-T129</f>
        <v>103509.82767034078</v>
      </c>
      <c r="Y129" s="16"/>
      <c r="Z129" s="34">
        <f>IF(T129=0,0,X129/T129)</f>
        <v>0.29463775744037735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60">
        <v>43791.347723611114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54" t="s">
        <v>314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5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31429.559999999998</v>
      </c>
      <c r="E12" s="4"/>
      <c r="F12" s="12"/>
      <c r="G12" s="4"/>
      <c r="H12" s="4">
        <f>SUM(OSRRefH13x_0)</f>
        <v>36980</v>
      </c>
      <c r="I12" s="4"/>
      <c r="J12" s="12"/>
      <c r="K12" s="4"/>
      <c r="L12" s="4">
        <f t="shared" ref="L12:L39" si="0">+D12-H12</f>
        <v>-5550.4400000000023</v>
      </c>
      <c r="M12" s="4"/>
      <c r="N12" s="12">
        <f t="shared" ref="N12:N39" si="1">IF(H12=0,0,L12/H12)</f>
        <v>-0.15009302325581403</v>
      </c>
      <c r="O12" s="10"/>
      <c r="P12" s="4">
        <f>SUM(OSRRefP13x_0)</f>
        <v>1961109.7500000002</v>
      </c>
      <c r="Q12" s="4"/>
      <c r="R12" s="12"/>
      <c r="S12" s="4"/>
      <c r="T12" s="4">
        <f>SUM(OSRRefT13x_0)</f>
        <v>2043509</v>
      </c>
      <c r="U12" s="4"/>
      <c r="V12" s="12"/>
      <c r="W12" s="4"/>
      <c r="X12" s="4">
        <f t="shared" ref="X12:X39" si="2">+P12-T12</f>
        <v>-82399.249999999767</v>
      </c>
      <c r="Y12" s="4"/>
      <c r="Z12" s="12">
        <f t="shared" ref="Z12:Z39" si="3">IF(T12=0,0,X12/T12)</f>
        <v>-4.0322430681734099E-2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--26539.62</f>
        <v>26539.62</v>
      </c>
      <c r="E13" s="2"/>
      <c r="F13" s="19"/>
      <c r="G13" s="2"/>
      <c r="H13" s="2"/>
      <c r="I13" s="2"/>
      <c r="J13" s="19"/>
      <c r="K13" s="2"/>
      <c r="L13" s="2">
        <f t="shared" si="0"/>
        <v>26539.62</v>
      </c>
      <c r="M13" s="2"/>
      <c r="N13" s="19">
        <f t="shared" si="1"/>
        <v>0</v>
      </c>
      <c r="O13" s="11"/>
      <c r="P13" s="2">
        <f>--1238789.43</f>
        <v>1238789.43</v>
      </c>
      <c r="Q13" s="2"/>
      <c r="R13" s="19"/>
      <c r="S13" s="2"/>
      <c r="T13" s="2"/>
      <c r="U13" s="2"/>
      <c r="V13" s="19"/>
      <c r="W13" s="2"/>
      <c r="X13" s="2">
        <f t="shared" si="2"/>
        <v>1238789.43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--6125.2</f>
        <v>6125.2</v>
      </c>
      <c r="E14" s="2"/>
      <c r="F14" s="19"/>
      <c r="G14" s="2"/>
      <c r="H14" s="2"/>
      <c r="I14" s="2"/>
      <c r="J14" s="19"/>
      <c r="K14" s="2"/>
      <c r="L14" s="2">
        <f t="shared" si="0"/>
        <v>6125.2</v>
      </c>
      <c r="M14" s="2"/>
      <c r="N14" s="19">
        <f t="shared" si="1"/>
        <v>0</v>
      </c>
      <c r="O14" s="11"/>
      <c r="P14" s="2">
        <f>--356762.65</f>
        <v>356762.65</v>
      </c>
      <c r="Q14" s="2"/>
      <c r="R14" s="19"/>
      <c r="S14" s="2"/>
      <c r="T14" s="2"/>
      <c r="U14" s="2"/>
      <c r="V14" s="19"/>
      <c r="W14" s="2"/>
      <c r="X14" s="2">
        <f t="shared" si="2"/>
        <v>356762.65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--307.97</f>
        <v>307.97000000000003</v>
      </c>
      <c r="E15" s="2"/>
      <c r="F15" s="19"/>
      <c r="G15" s="2"/>
      <c r="H15" s="2"/>
      <c r="I15" s="2"/>
      <c r="J15" s="19"/>
      <c r="K15" s="2"/>
      <c r="L15" s="2">
        <f t="shared" si="0"/>
        <v>307.97000000000003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/>
      <c r="U15" s="2"/>
      <c r="V15" s="19"/>
      <c r="W15" s="2"/>
      <c r="X15" s="2">
        <f t="shared" si="2"/>
        <v>15844.66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--460.04</f>
        <v>460.04</v>
      </c>
      <c r="E16" s="2"/>
      <c r="F16" s="19"/>
      <c r="G16" s="2"/>
      <c r="H16" s="2"/>
      <c r="I16" s="2"/>
      <c r="J16" s="19"/>
      <c r="K16" s="2"/>
      <c r="L16" s="2">
        <f t="shared" si="0"/>
        <v>460.04</v>
      </c>
      <c r="M16" s="2"/>
      <c r="N16" s="19">
        <f t="shared" si="1"/>
        <v>0</v>
      </c>
      <c r="O16" s="11"/>
      <c r="P16" s="2">
        <f>--30160.48</f>
        <v>30160.48</v>
      </c>
      <c r="Q16" s="2"/>
      <c r="R16" s="19"/>
      <c r="S16" s="2"/>
      <c r="T16" s="2"/>
      <c r="U16" s="2"/>
      <c r="V16" s="19"/>
      <c r="W16" s="2"/>
      <c r="X16" s="2">
        <f t="shared" si="2"/>
        <v>30160.48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--686.63</f>
        <v>686.63</v>
      </c>
      <c r="E18" s="2"/>
      <c r="F18" s="19"/>
      <c r="G18" s="2"/>
      <c r="H18" s="2"/>
      <c r="I18" s="2"/>
      <c r="J18" s="19"/>
      <c r="K18" s="2"/>
      <c r="L18" s="2">
        <f t="shared" si="0"/>
        <v>686.63</v>
      </c>
      <c r="M18" s="2"/>
      <c r="N18" s="19">
        <f t="shared" si="1"/>
        <v>0</v>
      </c>
      <c r="O18" s="11"/>
      <c r="P18" s="2">
        <f>--827.39</f>
        <v>827.39</v>
      </c>
      <c r="Q18" s="2"/>
      <c r="R18" s="19"/>
      <c r="S18" s="2"/>
      <c r="T18" s="2"/>
      <c r="U18" s="2"/>
      <c r="V18" s="19"/>
      <c r="W18" s="2"/>
      <c r="X18" s="2">
        <f t="shared" si="2"/>
        <v>827.39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--171.13</f>
        <v>171.13</v>
      </c>
      <c r="E19" s="2"/>
      <c r="F19" s="19"/>
      <c r="G19" s="2"/>
      <c r="H19" s="2"/>
      <c r="I19" s="2"/>
      <c r="J19" s="19"/>
      <c r="K19" s="2"/>
      <c r="L19" s="2">
        <f t="shared" si="0"/>
        <v>171.13</v>
      </c>
      <c r="M19" s="2"/>
      <c r="N19" s="19">
        <f t="shared" si="1"/>
        <v>0</v>
      </c>
      <c r="O19" s="11"/>
      <c r="P19" s="2">
        <f>--694.22</f>
        <v>694.22</v>
      </c>
      <c r="Q19" s="2"/>
      <c r="R19" s="19"/>
      <c r="S19" s="2"/>
      <c r="T19" s="2"/>
      <c r="U19" s="2"/>
      <c r="V19" s="19"/>
      <c r="W19" s="2"/>
      <c r="X19" s="2">
        <f t="shared" si="2"/>
        <v>694.22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--394.68</f>
        <v>394.68</v>
      </c>
      <c r="E20" s="2"/>
      <c r="F20" s="19"/>
      <c r="G20" s="2"/>
      <c r="H20" s="2"/>
      <c r="I20" s="2"/>
      <c r="J20" s="19"/>
      <c r="K20" s="2"/>
      <c r="L20" s="2">
        <f t="shared" si="0"/>
        <v>394.68</v>
      </c>
      <c r="M20" s="2"/>
      <c r="N20" s="19">
        <f t="shared" si="1"/>
        <v>0</v>
      </c>
      <c r="O20" s="11"/>
      <c r="P20" s="2">
        <f>--2454.83</f>
        <v>2454.83</v>
      </c>
      <c r="Q20" s="2"/>
      <c r="R20" s="19"/>
      <c r="S20" s="2"/>
      <c r="T20" s="2"/>
      <c r="U20" s="2"/>
      <c r="V20" s="19"/>
      <c r="W20" s="2"/>
      <c r="X20" s="2">
        <f t="shared" si="2"/>
        <v>2454.83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36980</v>
      </c>
      <c r="I21" s="2"/>
      <c r="J21" s="19"/>
      <c r="K21" s="2"/>
      <c r="L21" s="2">
        <f t="shared" si="0"/>
        <v>-36980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2043509</v>
      </c>
      <c r="U21" s="2"/>
      <c r="V21" s="19"/>
      <c r="W21" s="2"/>
      <c r="X21" s="2">
        <f t="shared" si="2"/>
        <v>-2043509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--8438.54</f>
        <v>8438.5400000000009</v>
      </c>
      <c r="E22" s="2"/>
      <c r="F22" s="19"/>
      <c r="G22" s="2"/>
      <c r="H22" s="2"/>
      <c r="I22" s="2"/>
      <c r="J22" s="19"/>
      <c r="K22" s="2"/>
      <c r="L22" s="2">
        <f t="shared" si="0"/>
        <v>8438.5400000000009</v>
      </c>
      <c r="M22" s="2"/>
      <c r="N22" s="19">
        <f t="shared" si="1"/>
        <v>0</v>
      </c>
      <c r="O22" s="11"/>
      <c r="P22" s="2">
        <f>--92331.09</f>
        <v>92331.09</v>
      </c>
      <c r="Q22" s="2"/>
      <c r="R22" s="19"/>
      <c r="S22" s="2"/>
      <c r="T22" s="2"/>
      <c r="U22" s="2"/>
      <c r="V22" s="19"/>
      <c r="W22" s="2"/>
      <c r="X22" s="2">
        <f t="shared" si="2"/>
        <v>92331.09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--578.81</f>
        <v>578.80999999999995</v>
      </c>
      <c r="E23" s="2"/>
      <c r="F23" s="19"/>
      <c r="G23" s="2"/>
      <c r="H23" s="2"/>
      <c r="I23" s="2"/>
      <c r="J23" s="19"/>
      <c r="K23" s="2"/>
      <c r="L23" s="2">
        <f t="shared" si="0"/>
        <v>578.80999999999995</v>
      </c>
      <c r="M23" s="2"/>
      <c r="N23" s="19">
        <f t="shared" si="1"/>
        <v>0</v>
      </c>
      <c r="O23" s="11"/>
      <c r="P23" s="2">
        <f>--37022.32</f>
        <v>37022.32</v>
      </c>
      <c r="Q23" s="2"/>
      <c r="R23" s="19"/>
      <c r="S23" s="2"/>
      <c r="T23" s="2"/>
      <c r="U23" s="2"/>
      <c r="V23" s="19"/>
      <c r="W23" s="2"/>
      <c r="X23" s="2">
        <f t="shared" si="2"/>
        <v>37022.32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--1559.03</f>
        <v>1559.03</v>
      </c>
      <c r="E25" s="2"/>
      <c r="F25" s="19"/>
      <c r="G25" s="2"/>
      <c r="H25" s="2"/>
      <c r="I25" s="2"/>
      <c r="J25" s="19"/>
      <c r="K25" s="2"/>
      <c r="L25" s="2">
        <f t="shared" si="0"/>
        <v>1559.03</v>
      </c>
      <c r="M25" s="2"/>
      <c r="N25" s="19">
        <f t="shared" si="1"/>
        <v>0</v>
      </c>
      <c r="O25" s="11"/>
      <c r="P25" s="2">
        <f>--320492.85</f>
        <v>320492.84999999998</v>
      </c>
      <c r="Q25" s="2"/>
      <c r="R25" s="19"/>
      <c r="S25" s="2"/>
      <c r="T25" s="2"/>
      <c r="U25" s="2"/>
      <c r="V25" s="19"/>
      <c r="W25" s="2"/>
      <c r="X25" s="2">
        <f t="shared" si="2"/>
        <v>320492.84999999998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--757.3</f>
        <v>757.3</v>
      </c>
      <c r="E26" s="2"/>
      <c r="F26" s="19"/>
      <c r="G26" s="2"/>
      <c r="H26" s="2"/>
      <c r="I26" s="2"/>
      <c r="J26" s="19"/>
      <c r="K26" s="2"/>
      <c r="L26" s="2">
        <f t="shared" si="0"/>
        <v>757.3</v>
      </c>
      <c r="M26" s="2"/>
      <c r="N26" s="19">
        <f t="shared" si="1"/>
        <v>0</v>
      </c>
      <c r="O26" s="11"/>
      <c r="P26" s="2">
        <f>--7099.47</f>
        <v>7099.47</v>
      </c>
      <c r="Q26" s="2"/>
      <c r="R26" s="19"/>
      <c r="S26" s="2"/>
      <c r="T26" s="2"/>
      <c r="U26" s="2"/>
      <c r="V26" s="19"/>
      <c r="W26" s="2"/>
      <c r="X26" s="2">
        <f t="shared" si="2"/>
        <v>7099.47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ref="D27:D28" si="4"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--20.92</f>
        <v>20.92</v>
      </c>
      <c r="Q28" s="2"/>
      <c r="R28" s="19"/>
      <c r="S28" s="2"/>
      <c r="T28" s="2"/>
      <c r="U28" s="2"/>
      <c r="V28" s="19"/>
      <c r="W28" s="2"/>
      <c r="X28" s="2">
        <f t="shared" si="2"/>
        <v>20.92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-4543.92</f>
        <v>-4543.92</v>
      </c>
      <c r="E29" s="2"/>
      <c r="F29" s="19"/>
      <c r="G29" s="2"/>
      <c r="H29" s="2"/>
      <c r="I29" s="2"/>
      <c r="J29" s="19"/>
      <c r="K29" s="2"/>
      <c r="L29" s="2">
        <f t="shared" si="0"/>
        <v>-4543.92</v>
      </c>
      <c r="M29" s="2"/>
      <c r="N29" s="19">
        <f t="shared" si="1"/>
        <v>0</v>
      </c>
      <c r="O29" s="11"/>
      <c r="P29" s="2">
        <f>-77783.67</f>
        <v>-77783.67</v>
      </c>
      <c r="Q29" s="2"/>
      <c r="R29" s="19"/>
      <c r="S29" s="2"/>
      <c r="T29" s="2"/>
      <c r="U29" s="2"/>
      <c r="V29" s="19"/>
      <c r="W29" s="2"/>
      <c r="X29" s="2">
        <f t="shared" si="2"/>
        <v>-77783.67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-3577.9</f>
        <v>-3577.9</v>
      </c>
      <c r="E30" s="2"/>
      <c r="F30" s="19"/>
      <c r="G30" s="2"/>
      <c r="H30" s="2"/>
      <c r="I30" s="2"/>
      <c r="J30" s="19"/>
      <c r="K30" s="2"/>
      <c r="L30" s="2">
        <f t="shared" si="0"/>
        <v>-3577.9</v>
      </c>
      <c r="M30" s="2"/>
      <c r="N30" s="19">
        <f t="shared" si="1"/>
        <v>0</v>
      </c>
      <c r="O30" s="11"/>
      <c r="P30" s="2">
        <f>-26929</f>
        <v>-26929</v>
      </c>
      <c r="Q30" s="2"/>
      <c r="R30" s="19"/>
      <c r="S30" s="2"/>
      <c r="T30" s="2"/>
      <c r="U30" s="2"/>
      <c r="V30" s="19"/>
      <c r="W30" s="2"/>
      <c r="X30" s="2">
        <f t="shared" si="2"/>
        <v>-26929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-193.34</f>
        <v>-193.34</v>
      </c>
      <c r="E32" s="2"/>
      <c r="F32" s="19"/>
      <c r="G32" s="2"/>
      <c r="H32" s="2"/>
      <c r="I32" s="2"/>
      <c r="J32" s="19"/>
      <c r="K32" s="2"/>
      <c r="L32" s="2">
        <f t="shared" si="0"/>
        <v>-193.34</v>
      </c>
      <c r="M32" s="2"/>
      <c r="N32" s="19">
        <f t="shared" si="1"/>
        <v>0</v>
      </c>
      <c r="O32" s="11"/>
      <c r="P32" s="2">
        <f>-11250.06</f>
        <v>-11250.06</v>
      </c>
      <c r="Q32" s="2"/>
      <c r="R32" s="19"/>
      <c r="S32" s="2"/>
      <c r="T32" s="2"/>
      <c r="U32" s="2"/>
      <c r="V32" s="19"/>
      <c r="W32" s="2"/>
      <c r="X32" s="2">
        <f t="shared" si="2"/>
        <v>-11250.06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-35.37</f>
        <v>-35.369999999999997</v>
      </c>
      <c r="E33" s="2"/>
      <c r="F33" s="19"/>
      <c r="G33" s="2"/>
      <c r="H33" s="2"/>
      <c r="I33" s="2"/>
      <c r="J33" s="19"/>
      <c r="K33" s="2"/>
      <c r="L33" s="2">
        <f t="shared" si="0"/>
        <v>-35.369999999999997</v>
      </c>
      <c r="M33" s="2"/>
      <c r="N33" s="19">
        <f t="shared" si="1"/>
        <v>0</v>
      </c>
      <c r="O33" s="11"/>
      <c r="P33" s="2">
        <f>-35.37</f>
        <v>-35.369999999999997</v>
      </c>
      <c r="Q33" s="2"/>
      <c r="R33" s="19"/>
      <c r="S33" s="2"/>
      <c r="T33" s="2"/>
      <c r="U33" s="2"/>
      <c r="V33" s="19"/>
      <c r="W33" s="2"/>
      <c r="X33" s="2">
        <f t="shared" si="2"/>
        <v>-35.369999999999997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/>
      <c r="U34" s="2"/>
      <c r="V34" s="19"/>
      <c r="W34" s="2"/>
      <c r="X34" s="2">
        <f t="shared" si="2"/>
        <v>-32.75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-5585.76</f>
        <v>-5585.76</v>
      </c>
      <c r="E35" s="2"/>
      <c r="F35" s="19"/>
      <c r="G35" s="2"/>
      <c r="H35" s="2"/>
      <c r="I35" s="2"/>
      <c r="J35" s="19"/>
      <c r="K35" s="2"/>
      <c r="L35" s="2">
        <f t="shared" si="0"/>
        <v>-5585.76</v>
      </c>
      <c r="M35" s="2"/>
      <c r="N35" s="19">
        <f t="shared" si="1"/>
        <v>0</v>
      </c>
      <c r="O35" s="11"/>
      <c r="P35" s="2">
        <f>-12310.98</f>
        <v>-12310.98</v>
      </c>
      <c r="Q35" s="2"/>
      <c r="R35" s="19"/>
      <c r="S35" s="2"/>
      <c r="T35" s="2"/>
      <c r="U35" s="2"/>
      <c r="V35" s="19"/>
      <c r="W35" s="2"/>
      <c r="X35" s="2">
        <f t="shared" si="2"/>
        <v>-12310.98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-35.1</f>
        <v>-35.1</v>
      </c>
      <c r="E36" s="2"/>
      <c r="F36" s="19"/>
      <c r="G36" s="2"/>
      <c r="H36" s="2"/>
      <c r="I36" s="2"/>
      <c r="J36" s="19"/>
      <c r="K36" s="2"/>
      <c r="L36" s="2">
        <f t="shared" si="0"/>
        <v>-35.1</v>
      </c>
      <c r="M36" s="2"/>
      <c r="N36" s="19">
        <f t="shared" si="1"/>
        <v>0</v>
      </c>
      <c r="O36" s="11"/>
      <c r="P36" s="2">
        <f>-683.8</f>
        <v>-683.8</v>
      </c>
      <c r="Q36" s="2"/>
      <c r="R36" s="19"/>
      <c r="S36" s="2"/>
      <c r="T36" s="2"/>
      <c r="U36" s="2"/>
      <c r="V36" s="19"/>
      <c r="W36" s="2"/>
      <c r="X36" s="2">
        <f t="shared" si="2"/>
        <v>-683.8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/>
      <c r="U37" s="2"/>
      <c r="V37" s="19"/>
      <c r="W37" s="2"/>
      <c r="X37" s="2">
        <f t="shared" si="2"/>
        <v>-184.99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-617.98</f>
        <v>-617.98</v>
      </c>
      <c r="E38" s="2"/>
      <c r="F38" s="19"/>
      <c r="G38" s="2"/>
      <c r="H38" s="2"/>
      <c r="I38" s="2"/>
      <c r="J38" s="19"/>
      <c r="K38" s="2"/>
      <c r="L38" s="2">
        <f t="shared" si="0"/>
        <v>-617.98</v>
      </c>
      <c r="M38" s="2"/>
      <c r="N38" s="19">
        <f t="shared" si="1"/>
        <v>0</v>
      </c>
      <c r="O38" s="11"/>
      <c r="P38" s="2">
        <f>-13133.29</f>
        <v>-13133.29</v>
      </c>
      <c r="Q38" s="2"/>
      <c r="R38" s="19"/>
      <c r="S38" s="2"/>
      <c r="T38" s="2"/>
      <c r="U38" s="2"/>
      <c r="V38" s="19"/>
      <c r="W38" s="2"/>
      <c r="X38" s="2">
        <f t="shared" si="2"/>
        <v>-13133.29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-0.02</f>
        <v>-0.02</v>
      </c>
      <c r="E39" s="2"/>
      <c r="F39" s="19"/>
      <c r="G39" s="2"/>
      <c r="H39" s="2"/>
      <c r="I39" s="2"/>
      <c r="J39" s="19"/>
      <c r="K39" s="2"/>
      <c r="L39" s="2">
        <f t="shared" si="0"/>
        <v>-0.02</v>
      </c>
      <c r="M39" s="2"/>
      <c r="N39" s="19">
        <f t="shared" si="1"/>
        <v>0</v>
      </c>
      <c r="O39" s="11"/>
      <c r="P39" s="2">
        <f>-387.96</f>
        <v>-387.96</v>
      </c>
      <c r="Q39" s="2"/>
      <c r="R39" s="19"/>
      <c r="S39" s="2"/>
      <c r="T39" s="2"/>
      <c r="U39" s="2"/>
      <c r="V39" s="19"/>
      <c r="W39" s="2"/>
      <c r="X39" s="2">
        <f t="shared" si="2"/>
        <v>-387.96</v>
      </c>
      <c r="Y39" s="2"/>
      <c r="Z39" s="19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24501.920000000031</v>
      </c>
      <c r="E41" s="4"/>
      <c r="F41" s="12">
        <f t="shared" ref="F41:F55" si="5">IF(D$12=0,0,D41/D$12)</f>
        <v>0.77958202405633525</v>
      </c>
      <c r="G41" s="4"/>
      <c r="H41" s="4">
        <f>SUM(OSRRefH16x_0)</f>
        <v>26674</v>
      </c>
      <c r="I41" s="4"/>
      <c r="J41" s="12">
        <f t="shared" ref="J41:J55" si="6">IF(H$12=0,0,H41/H$12)</f>
        <v>0.72130881557598703</v>
      </c>
      <c r="K41" s="4"/>
      <c r="L41" s="4">
        <f t="shared" ref="L41:L55" si="7">+D41-H41</f>
        <v>-2172.079999999969</v>
      </c>
      <c r="M41" s="4"/>
      <c r="N41" s="12">
        <f t="shared" ref="N41:N55" si="8">IF(H41=0,0,L41/H41)</f>
        <v>-8.1430606583188458E-2</v>
      </c>
      <c r="O41" s="10"/>
      <c r="P41" s="4">
        <f>SUM(OSRRefP16x_0)</f>
        <v>1418382.8200000003</v>
      </c>
      <c r="Q41" s="4"/>
      <c r="R41" s="12">
        <f t="shared" ref="R41:R55" si="9">IF(P$12=0,0,P41/P$12)</f>
        <v>0.72325519772669533</v>
      </c>
      <c r="S41" s="4"/>
      <c r="T41" s="4">
        <f>SUM(OSRRefT16x_0)</f>
        <v>1470139</v>
      </c>
      <c r="U41" s="4"/>
      <c r="V41" s="12">
        <f t="shared" ref="V41:V55" si="10">IF(T$12=0,0,T41/T$12)</f>
        <v>0.71941890150716248</v>
      </c>
      <c r="W41" s="4"/>
      <c r="X41" s="4">
        <f t="shared" ref="X41:X55" si="11">+P41-T41</f>
        <v>-51756.179999999702</v>
      </c>
      <c r="Y41" s="4"/>
      <c r="Z41" s="12">
        <f t="shared" ref="Z41:Z55" si="12">IF(T41=0,0,X41/T41)</f>
        <v>-3.5204956810206182E-2</v>
      </c>
    </row>
    <row r="42" spans="1:26" s="24" customFormat="1" hidden="1" outlineLevel="1" x14ac:dyDescent="0.25">
      <c r="A42" s="44"/>
      <c r="B42" s="11" t="str">
        <f>CONCATENATE("          ", "5000", " - ", "PURCHASES @ COST")</f>
        <v xml:space="preserve">          5000 - PURCHASES @ COST</v>
      </c>
      <c r="C42" s="11"/>
      <c r="D42" s="2"/>
      <c r="E42" s="2"/>
      <c r="F42" s="19">
        <f t="shared" si="5"/>
        <v>0</v>
      </c>
      <c r="G42" s="2"/>
      <c r="H42" s="2">
        <v>26674</v>
      </c>
      <c r="I42" s="2"/>
      <c r="J42" s="19">
        <f t="shared" si="6"/>
        <v>0.72130881557598703</v>
      </c>
      <c r="K42" s="2"/>
      <c r="L42" s="2">
        <f t="shared" si="7"/>
        <v>-26674</v>
      </c>
      <c r="M42" s="2"/>
      <c r="N42" s="19">
        <f t="shared" si="8"/>
        <v>-1</v>
      </c>
      <c r="O42" s="11"/>
      <c r="P42" s="2"/>
      <c r="Q42" s="2"/>
      <c r="R42" s="19">
        <f t="shared" si="9"/>
        <v>0</v>
      </c>
      <c r="S42" s="2"/>
      <c r="T42" s="2">
        <v>1470139</v>
      </c>
      <c r="U42" s="2"/>
      <c r="V42" s="19">
        <f t="shared" si="10"/>
        <v>0.71941890150716248</v>
      </c>
      <c r="W42" s="2"/>
      <c r="X42" s="2">
        <f t="shared" si="11"/>
        <v>-1470139</v>
      </c>
      <c r="Y42" s="2"/>
      <c r="Z42" s="19">
        <f t="shared" si="12"/>
        <v>-1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-180845.3</v>
      </c>
      <c r="E43" s="2"/>
      <c r="F43" s="19">
        <f t="shared" si="5"/>
        <v>-5.7539876472976399</v>
      </c>
      <c r="G43" s="2"/>
      <c r="H43" s="2"/>
      <c r="I43" s="2"/>
      <c r="J43" s="19">
        <f t="shared" si="6"/>
        <v>0</v>
      </c>
      <c r="K43" s="2"/>
      <c r="L43" s="2">
        <f t="shared" si="7"/>
        <v>-180845.3</v>
      </c>
      <c r="M43" s="2"/>
      <c r="N43" s="19">
        <f t="shared" si="8"/>
        <v>0</v>
      </c>
      <c r="O43" s="11"/>
      <c r="P43" s="2">
        <v>1448848.1500000001</v>
      </c>
      <c r="Q43" s="2"/>
      <c r="R43" s="19">
        <f t="shared" si="9"/>
        <v>0.73878993768706724</v>
      </c>
      <c r="S43" s="2"/>
      <c r="T43" s="2"/>
      <c r="U43" s="2"/>
      <c r="V43" s="19">
        <f t="shared" si="10"/>
        <v>0</v>
      </c>
      <c r="W43" s="2"/>
      <c r="X43" s="2">
        <f t="shared" si="11"/>
        <v>1448848.1500000001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11152.06</v>
      </c>
      <c r="E44" s="2"/>
      <c r="F44" s="19">
        <f t="shared" si="5"/>
        <v>0.35482711180175608</v>
      </c>
      <c r="G44" s="2"/>
      <c r="H44" s="2"/>
      <c r="I44" s="2"/>
      <c r="J44" s="19">
        <f t="shared" si="6"/>
        <v>0</v>
      </c>
      <c r="K44" s="2"/>
      <c r="L44" s="2">
        <f t="shared" si="7"/>
        <v>11152.06</v>
      </c>
      <c r="M44" s="2"/>
      <c r="N44" s="19">
        <f t="shared" si="8"/>
        <v>0</v>
      </c>
      <c r="O44" s="11"/>
      <c r="P44" s="2">
        <v>-6439.83</v>
      </c>
      <c r="Q44" s="2"/>
      <c r="R44" s="19">
        <f t="shared" si="9"/>
        <v>-3.2837682847683559E-3</v>
      </c>
      <c r="S44" s="2"/>
      <c r="T44" s="2"/>
      <c r="U44" s="2"/>
      <c r="V44" s="19">
        <f t="shared" si="10"/>
        <v>0</v>
      </c>
      <c r="W44" s="2"/>
      <c r="X44" s="2">
        <f t="shared" si="11"/>
        <v>-6439.83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-78.400000000000006</v>
      </c>
      <c r="Q45" s="2"/>
      <c r="R45" s="19">
        <f t="shared" si="9"/>
        <v>-3.9977364856811302E-5</v>
      </c>
      <c r="S45" s="2"/>
      <c r="T45" s="2"/>
      <c r="U45" s="2"/>
      <c r="V45" s="19">
        <f t="shared" si="10"/>
        <v>0</v>
      </c>
      <c r="W45" s="2"/>
      <c r="X45" s="2">
        <f t="shared" si="11"/>
        <v>-78.400000000000006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-30949.360000000001</v>
      </c>
      <c r="E46" s="2"/>
      <c r="F46" s="19">
        <f t="shared" si="5"/>
        <v>-0.98472138967265221</v>
      </c>
      <c r="G46" s="2"/>
      <c r="H46" s="2"/>
      <c r="I46" s="2"/>
      <c r="J46" s="19">
        <f t="shared" si="6"/>
        <v>0</v>
      </c>
      <c r="K46" s="2"/>
      <c r="L46" s="2">
        <f t="shared" si="7"/>
        <v>-30949.360000000001</v>
      </c>
      <c r="M46" s="2"/>
      <c r="N46" s="19">
        <f t="shared" si="8"/>
        <v>0</v>
      </c>
      <c r="O46" s="11"/>
      <c r="P46" s="2">
        <v>322779.02999999997</v>
      </c>
      <c r="Q46" s="2"/>
      <c r="R46" s="19">
        <f t="shared" si="9"/>
        <v>0.16458998788823517</v>
      </c>
      <c r="S46" s="2"/>
      <c r="T46" s="2"/>
      <c r="U46" s="2"/>
      <c r="V46" s="19">
        <f t="shared" si="10"/>
        <v>0</v>
      </c>
      <c r="W46" s="2"/>
      <c r="X46" s="2">
        <f t="shared" si="11"/>
        <v>322779.02999999997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90</v>
      </c>
      <c r="E47" s="2"/>
      <c r="F47" s="19">
        <f t="shared" si="5"/>
        <v>2.8635462920893581E-3</v>
      </c>
      <c r="G47" s="2"/>
      <c r="H47" s="2"/>
      <c r="I47" s="2"/>
      <c r="J47" s="19">
        <f t="shared" si="6"/>
        <v>0</v>
      </c>
      <c r="K47" s="2"/>
      <c r="L47" s="2">
        <f t="shared" si="7"/>
        <v>90</v>
      </c>
      <c r="M47" s="2"/>
      <c r="N47" s="19">
        <f t="shared" si="8"/>
        <v>0</v>
      </c>
      <c r="O47" s="11"/>
      <c r="P47" s="2">
        <v>3675</v>
      </c>
      <c r="Q47" s="2"/>
      <c r="R47" s="19">
        <f t="shared" si="9"/>
        <v>1.8739389776630296E-3</v>
      </c>
      <c r="S47" s="2"/>
      <c r="T47" s="2"/>
      <c r="U47" s="2"/>
      <c r="V47" s="19">
        <f t="shared" si="10"/>
        <v>0</v>
      </c>
      <c r="W47" s="2"/>
      <c r="X47" s="2">
        <f t="shared" si="11"/>
        <v>3675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212.56</v>
      </c>
      <c r="E48" s="2"/>
      <c r="F48" s="19">
        <f t="shared" si="5"/>
        <v>6.7630599982945998E-3</v>
      </c>
      <c r="G48" s="2"/>
      <c r="H48" s="2"/>
      <c r="I48" s="2"/>
      <c r="J48" s="19">
        <f t="shared" si="6"/>
        <v>0</v>
      </c>
      <c r="K48" s="2"/>
      <c r="L48" s="2">
        <f t="shared" si="7"/>
        <v>212.56</v>
      </c>
      <c r="M48" s="2"/>
      <c r="N48" s="19">
        <f t="shared" si="8"/>
        <v>0</v>
      </c>
      <c r="O48" s="11"/>
      <c r="P48" s="2">
        <v>687.35</v>
      </c>
      <c r="Q48" s="2"/>
      <c r="R48" s="19">
        <f t="shared" si="9"/>
        <v>3.5049032824399547E-4</v>
      </c>
      <c r="S48" s="2"/>
      <c r="T48" s="2"/>
      <c r="U48" s="2"/>
      <c r="V48" s="19">
        <f t="shared" si="10"/>
        <v>0</v>
      </c>
      <c r="W48" s="2"/>
      <c r="X48" s="2">
        <f t="shared" si="11"/>
        <v>687.35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37.54</v>
      </c>
      <c r="E49" s="2"/>
      <c r="F49" s="19">
        <f t="shared" si="5"/>
        <v>1.1944169756114944E-3</v>
      </c>
      <c r="G49" s="2"/>
      <c r="H49" s="2"/>
      <c r="I49" s="2"/>
      <c r="J49" s="19">
        <f t="shared" si="6"/>
        <v>0</v>
      </c>
      <c r="K49" s="2"/>
      <c r="L49" s="2">
        <f t="shared" si="7"/>
        <v>37.54</v>
      </c>
      <c r="M49" s="2"/>
      <c r="N49" s="19">
        <f t="shared" si="8"/>
        <v>0</v>
      </c>
      <c r="O49" s="11"/>
      <c r="P49" s="2">
        <v>327.51</v>
      </c>
      <c r="Q49" s="2"/>
      <c r="R49" s="19">
        <f t="shared" si="9"/>
        <v>1.6700238219712077E-4</v>
      </c>
      <c r="S49" s="2"/>
      <c r="T49" s="2"/>
      <c r="U49" s="2"/>
      <c r="V49" s="19">
        <f t="shared" si="10"/>
        <v>0</v>
      </c>
      <c r="W49" s="2"/>
      <c r="X49" s="2">
        <f t="shared" si="11"/>
        <v>327.51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>
        <v>298.16000000000003</v>
      </c>
      <c r="E50" s="2"/>
      <c r="F50" s="19">
        <f t="shared" si="5"/>
        <v>9.4866106938818126E-3</v>
      </c>
      <c r="G50" s="2"/>
      <c r="H50" s="2"/>
      <c r="I50" s="2"/>
      <c r="J50" s="19">
        <f t="shared" si="6"/>
        <v>0</v>
      </c>
      <c r="K50" s="2"/>
      <c r="L50" s="2">
        <f t="shared" si="7"/>
        <v>298.16000000000003</v>
      </c>
      <c r="M50" s="2"/>
      <c r="N50" s="19">
        <f t="shared" si="8"/>
        <v>0</v>
      </c>
      <c r="O50" s="11"/>
      <c r="P50" s="2">
        <v>802.09</v>
      </c>
      <c r="Q50" s="2"/>
      <c r="R50" s="19">
        <f t="shared" si="9"/>
        <v>4.0899801757652773E-4</v>
      </c>
      <c r="S50" s="2"/>
      <c r="T50" s="2"/>
      <c r="U50" s="2"/>
      <c r="V50" s="19">
        <f t="shared" si="10"/>
        <v>0</v>
      </c>
      <c r="W50" s="2"/>
      <c r="X50" s="2">
        <f t="shared" si="11"/>
        <v>802.09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191884</v>
      </c>
      <c r="E51" s="2"/>
      <c r="F51" s="19">
        <f t="shared" si="5"/>
        <v>6.1052079634586045</v>
      </c>
      <c r="G51" s="2"/>
      <c r="H51" s="2"/>
      <c r="I51" s="2"/>
      <c r="J51" s="19">
        <f t="shared" si="6"/>
        <v>0</v>
      </c>
      <c r="K51" s="2"/>
      <c r="L51" s="2">
        <f t="shared" si="7"/>
        <v>191884</v>
      </c>
      <c r="M51" s="2"/>
      <c r="N51" s="19">
        <f t="shared" si="8"/>
        <v>0</v>
      </c>
      <c r="O51" s="11"/>
      <c r="P51" s="2">
        <v>-1811575</v>
      </c>
      <c r="Q51" s="2"/>
      <c r="R51" s="19">
        <f t="shared" si="9"/>
        <v>-0.92374993291425933</v>
      </c>
      <c r="S51" s="2"/>
      <c r="T51" s="2"/>
      <c r="U51" s="2"/>
      <c r="V51" s="19">
        <f t="shared" si="10"/>
        <v>0</v>
      </c>
      <c r="W51" s="2"/>
      <c r="X51" s="2">
        <f t="shared" si="11"/>
        <v>-1811575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24503</v>
      </c>
      <c r="E52" s="2"/>
      <c r="F52" s="19">
        <f t="shared" si="5"/>
        <v>0.77961638661183941</v>
      </c>
      <c r="G52" s="2"/>
      <c r="H52" s="2"/>
      <c r="I52" s="2"/>
      <c r="J52" s="19">
        <f t="shared" si="6"/>
        <v>0</v>
      </c>
      <c r="K52" s="2"/>
      <c r="L52" s="2">
        <f t="shared" si="7"/>
        <v>24503</v>
      </c>
      <c r="M52" s="2"/>
      <c r="N52" s="19">
        <f t="shared" si="8"/>
        <v>0</v>
      </c>
      <c r="O52" s="11"/>
      <c r="P52" s="2">
        <v>1418386</v>
      </c>
      <c r="Q52" s="2"/>
      <c r="R52" s="19">
        <f t="shared" si="9"/>
        <v>0.72325681925756569</v>
      </c>
      <c r="S52" s="2"/>
      <c r="T52" s="2"/>
      <c r="U52" s="2"/>
      <c r="V52" s="19">
        <f t="shared" si="10"/>
        <v>0</v>
      </c>
      <c r="W52" s="2"/>
      <c r="X52" s="2">
        <f t="shared" si="11"/>
        <v>1418386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7434.02</v>
      </c>
      <c r="E53" s="2"/>
      <c r="F53" s="19">
        <f t="shared" si="5"/>
        <v>0.23652956007020146</v>
      </c>
      <c r="G53" s="2"/>
      <c r="H53" s="2"/>
      <c r="I53" s="2"/>
      <c r="J53" s="19">
        <f t="shared" si="6"/>
        <v>0</v>
      </c>
      <c r="K53" s="2"/>
      <c r="L53" s="2">
        <f t="shared" si="7"/>
        <v>7434.02</v>
      </c>
      <c r="M53" s="2"/>
      <c r="N53" s="19">
        <f t="shared" si="8"/>
        <v>0</v>
      </c>
      <c r="O53" s="11"/>
      <c r="P53" s="2">
        <v>34017.480000000003</v>
      </c>
      <c r="Q53" s="2"/>
      <c r="R53" s="19">
        <f t="shared" si="9"/>
        <v>1.7346035835067365E-2</v>
      </c>
      <c r="S53" s="2"/>
      <c r="T53" s="2"/>
      <c r="U53" s="2"/>
      <c r="V53" s="19">
        <f t="shared" si="10"/>
        <v>0</v>
      </c>
      <c r="W53" s="2"/>
      <c r="X53" s="2">
        <f t="shared" si="11"/>
        <v>34017.480000000003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591.29999999999995</v>
      </c>
      <c r="E54" s="2"/>
      <c r="F54" s="19">
        <f t="shared" si="5"/>
        <v>1.8813499139027082E-2</v>
      </c>
      <c r="G54" s="2"/>
      <c r="H54" s="2"/>
      <c r="I54" s="2"/>
      <c r="J54" s="19">
        <f t="shared" si="6"/>
        <v>0</v>
      </c>
      <c r="K54" s="2"/>
      <c r="L54" s="2">
        <f t="shared" si="7"/>
        <v>591.29999999999995</v>
      </c>
      <c r="M54" s="2"/>
      <c r="N54" s="19">
        <f t="shared" si="8"/>
        <v>0</v>
      </c>
      <c r="O54" s="11"/>
      <c r="P54" s="2">
        <v>6852.47</v>
      </c>
      <c r="Q54" s="2"/>
      <c r="R54" s="19">
        <f t="shared" si="9"/>
        <v>3.4941797622494099E-3</v>
      </c>
      <c r="S54" s="2"/>
      <c r="T54" s="2"/>
      <c r="U54" s="2"/>
      <c r="V54" s="19">
        <f t="shared" si="10"/>
        <v>0</v>
      </c>
      <c r="W54" s="2"/>
      <c r="X54" s="2">
        <f t="shared" si="11"/>
        <v>6852.47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93.94</v>
      </c>
      <c r="E55" s="2"/>
      <c r="F55" s="19">
        <f t="shared" si="5"/>
        <v>2.9889059853208254E-3</v>
      </c>
      <c r="G55" s="2"/>
      <c r="H55" s="2"/>
      <c r="I55" s="2"/>
      <c r="J55" s="19">
        <f t="shared" si="6"/>
        <v>0</v>
      </c>
      <c r="K55" s="2"/>
      <c r="L55" s="2">
        <f t="shared" si="7"/>
        <v>93.94</v>
      </c>
      <c r="M55" s="2"/>
      <c r="N55" s="19">
        <f t="shared" si="8"/>
        <v>0</v>
      </c>
      <c r="O55" s="11"/>
      <c r="P55" s="2">
        <v>100.97</v>
      </c>
      <c r="Q55" s="2"/>
      <c r="R55" s="19">
        <f t="shared" si="9"/>
        <v>5.1486154714186694E-5</v>
      </c>
      <c r="S55" s="2"/>
      <c r="T55" s="2"/>
      <c r="U55" s="2"/>
      <c r="V55" s="19">
        <f t="shared" si="10"/>
        <v>0</v>
      </c>
      <c r="W55" s="2"/>
      <c r="X55" s="2">
        <f t="shared" si="11"/>
        <v>100.97</v>
      </c>
      <c r="Y55" s="2"/>
      <c r="Z55" s="19">
        <f t="shared" si="12"/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8" t="s">
        <v>6</v>
      </c>
      <c r="C57" s="28"/>
      <c r="D57" s="22">
        <f>D12-D41</f>
        <v>6927.6399999999667</v>
      </c>
      <c r="E57" s="14"/>
      <c r="F57" s="20">
        <f>IF(D$12=0,0,D57/D$12)</f>
        <v>0.22041797594366472</v>
      </c>
      <c r="G57" s="14"/>
      <c r="H57" s="22">
        <f>H12-H41</f>
        <v>10306</v>
      </c>
      <c r="I57" s="14"/>
      <c r="J57" s="20">
        <f>IF(H$12=0,0,H57/H$12)</f>
        <v>0.27869118442401297</v>
      </c>
      <c r="K57" s="16"/>
      <c r="L57" s="22">
        <f>+D57-H57</f>
        <v>-3378.3600000000333</v>
      </c>
      <c r="M57" s="16"/>
      <c r="N57" s="20">
        <f>IF(H57=0,0,L57/H57)</f>
        <v>-0.32780516204153243</v>
      </c>
      <c r="O57" s="29"/>
      <c r="P57" s="22">
        <f>P12-P41</f>
        <v>542726.92999999993</v>
      </c>
      <c r="Q57" s="14"/>
      <c r="R57" s="20">
        <f>IF(P$12=0,0,P57/P$12)</f>
        <v>0.27674480227330461</v>
      </c>
      <c r="S57" s="14"/>
      <c r="T57" s="22">
        <f>T12-T41</f>
        <v>573370</v>
      </c>
      <c r="U57" s="14"/>
      <c r="V57" s="20">
        <f>IF(T$12=0,0,T57/T$12)</f>
        <v>0.28058109849283758</v>
      </c>
      <c r="W57" s="16"/>
      <c r="X57" s="22">
        <f>+P57-T57</f>
        <v>-30643.070000000065</v>
      </c>
      <c r="Y57" s="16"/>
      <c r="Z57" s="20">
        <f>IF(T57=0,0,X57/T57)</f>
        <v>-5.3443797199016457E-2</v>
      </c>
    </row>
    <row r="58" spans="1:26" x14ac:dyDescent="0.25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9</v>
      </c>
      <c r="C59" s="10"/>
      <c r="D59" s="21">
        <f>SUM(OSRRefD22x_0)</f>
        <v>43533.96</v>
      </c>
      <c r="E59" s="21"/>
      <c r="F59" s="35">
        <f t="shared" ref="F59:F70" si="13">IF(D$12=0,0,D59/D$12)</f>
        <v>1.3851278859774048</v>
      </c>
      <c r="G59" s="21"/>
      <c r="H59" s="21">
        <f>SUM(OSRRefH22x_0)</f>
        <v>54428.66961037225</v>
      </c>
      <c r="I59" s="21"/>
      <c r="J59" s="35">
        <f t="shared" ref="J59:J70" si="14">IF(H$12=0,0,H59/H$12)</f>
        <v>1.4718407141798877</v>
      </c>
      <c r="K59" s="4"/>
      <c r="L59" s="21">
        <f t="shared" ref="L59:L70" si="15">+D59-H59</f>
        <v>-10894.709610372251</v>
      </c>
      <c r="M59" s="4"/>
      <c r="N59" s="35">
        <f t="shared" ref="N59:N70" si="16">IF(H59=0,0,L59/H59)</f>
        <v>-0.20016490736154408</v>
      </c>
      <c r="O59" s="10"/>
      <c r="P59" s="21">
        <f>SUM(OSRRefP22x_0)</f>
        <v>160525.72999999995</v>
      </c>
      <c r="Q59" s="21"/>
      <c r="R59" s="35">
        <f t="shared" ref="R59:R70" si="17">IF(P$12=0,0,P59/P$12)</f>
        <v>8.1854536697907876E-2</v>
      </c>
      <c r="S59" s="21"/>
      <c r="T59" s="21">
        <f>SUM(OSRRefT22x_0)</f>
        <v>218857.16767034025</v>
      </c>
      <c r="U59" s="21"/>
      <c r="V59" s="35">
        <f t="shared" ref="V59:V70" si="18">IF(T$12=0,0,T59/T$12)</f>
        <v>0.10709870505602875</v>
      </c>
      <c r="W59" s="4"/>
      <c r="X59" s="21">
        <f t="shared" ref="X59:X70" si="19">+P59-T59</f>
        <v>-58331.437670340296</v>
      </c>
      <c r="Y59" s="4"/>
      <c r="Z59" s="35">
        <f t="shared" ref="Z59:Z70" si="20">IF(T59=0,0,X59/T59)</f>
        <v>-0.26652742650039069</v>
      </c>
    </row>
    <row r="60" spans="1:26" s="26" customFormat="1" outlineLevel="1" collapsed="1" x14ac:dyDescent="0.25">
      <c r="A60" s="25"/>
      <c r="B60" s="13" t="str">
        <f>CONCATENATE("     ","*Benefits                                         ")</f>
        <v xml:space="preserve">     *Benefits                                         </v>
      </c>
      <c r="C60" s="13"/>
      <c r="D60" s="1">
        <f>SUM(OSRRefD22_0x_0)</f>
        <v>12250.08</v>
      </c>
      <c r="E60" s="1"/>
      <c r="F60" s="5">
        <f t="shared" si="13"/>
        <v>0.38976301290886672</v>
      </c>
      <c r="G60" s="1"/>
      <c r="H60" s="1">
        <f>SUM(OSRRefH22_0x_0)</f>
        <v>13886.235590718454</v>
      </c>
      <c r="I60" s="1"/>
      <c r="J60" s="5">
        <f t="shared" si="14"/>
        <v>0.37550664117681054</v>
      </c>
      <c r="K60" s="1"/>
      <c r="L60" s="1">
        <f t="shared" si="15"/>
        <v>-1636.1555907184538</v>
      </c>
      <c r="M60" s="1"/>
      <c r="N60" s="5">
        <f t="shared" si="16"/>
        <v>-0.11782571165738097</v>
      </c>
      <c r="O60" s="13"/>
      <c r="P60" s="1">
        <f>SUM(OSRRefP22_0x_0)</f>
        <v>42583.29</v>
      </c>
      <c r="Q60" s="1"/>
      <c r="R60" s="5">
        <f t="shared" si="17"/>
        <v>2.1713873994048522E-2</v>
      </c>
      <c r="S60" s="1"/>
      <c r="T60" s="1">
        <f>SUM(OSRRefT22_0x_0)</f>
        <v>52660.625199586451</v>
      </c>
      <c r="U60" s="1"/>
      <c r="V60" s="5">
        <f t="shared" si="18"/>
        <v>2.5769705540610026E-2</v>
      </c>
      <c r="W60" s="1"/>
      <c r="X60" s="1">
        <f t="shared" si="19"/>
        <v>-10077.33519958645</v>
      </c>
      <c r="Y60" s="1"/>
      <c r="Z60" s="5">
        <f t="shared" si="20"/>
        <v>-0.19136375919185988</v>
      </c>
    </row>
    <row r="61" spans="1:26" s="24" customFormat="1" hidden="1" outlineLevel="2" x14ac:dyDescent="0.25">
      <c r="A61" s="27"/>
      <c r="B61" s="11" t="str">
        <f>CONCATENATE("          ", "6111", " - ", "F.I.C.A.")</f>
        <v xml:space="preserve">          6111 - F.I.C.A.</v>
      </c>
      <c r="C61" s="11"/>
      <c r="D61" s="6">
        <v>2806.9</v>
      </c>
      <c r="E61" s="2"/>
      <c r="F61" s="7">
        <f t="shared" si="13"/>
        <v>8.9307645414062442E-2</v>
      </c>
      <c r="G61" s="2"/>
      <c r="H61" s="6">
        <v>2003.69738081077</v>
      </c>
      <c r="I61" s="2"/>
      <c r="J61" s="7">
        <f t="shared" si="14"/>
        <v>5.4183271520031641E-2</v>
      </c>
      <c r="K61" s="2"/>
      <c r="L61" s="6">
        <f t="shared" si="15"/>
        <v>803.20261918923006</v>
      </c>
      <c r="M61" s="2"/>
      <c r="N61" s="7">
        <f t="shared" si="16"/>
        <v>0.40086024310927859</v>
      </c>
      <c r="O61" s="11"/>
      <c r="P61" s="6">
        <v>7603.05</v>
      </c>
      <c r="Q61" s="2"/>
      <c r="R61" s="7">
        <f t="shared" si="17"/>
        <v>3.8769120392165707E-3</v>
      </c>
      <c r="S61" s="2"/>
      <c r="T61" s="6">
        <v>7828.0377959187808</v>
      </c>
      <c r="U61" s="2"/>
      <c r="V61" s="7">
        <f t="shared" si="18"/>
        <v>3.8306842768584728E-3</v>
      </c>
      <c r="W61" s="2"/>
      <c r="X61" s="6">
        <f t="shared" si="19"/>
        <v>-224.98779591878065</v>
      </c>
      <c r="Y61" s="2"/>
      <c r="Z61" s="7">
        <f t="shared" si="20"/>
        <v>-2.8741276138968069E-2</v>
      </c>
    </row>
    <row r="62" spans="1:26" s="24" customFormat="1" hidden="1" outlineLevel="2" x14ac:dyDescent="0.25">
      <c r="A62" s="27"/>
      <c r="B62" s="11" t="str">
        <f>CONCATENATE("          ", "6112", " - ", "COMPENSATION INSURANCE")</f>
        <v xml:space="preserve">          6112 - COMPENSATION INSURANCE</v>
      </c>
      <c r="C62" s="11"/>
      <c r="D62" s="6">
        <v>-62.53</v>
      </c>
      <c r="E62" s="2"/>
      <c r="F62" s="7">
        <f t="shared" si="13"/>
        <v>-1.9895283293816395E-3</v>
      </c>
      <c r="G62" s="2"/>
      <c r="H62" s="6">
        <v>647.34149938461496</v>
      </c>
      <c r="I62" s="2"/>
      <c r="J62" s="7">
        <f t="shared" si="14"/>
        <v>1.7505178458210247E-2</v>
      </c>
      <c r="K62" s="2"/>
      <c r="L62" s="6">
        <f t="shared" si="15"/>
        <v>-709.87149938461494</v>
      </c>
      <c r="M62" s="2"/>
      <c r="N62" s="7">
        <f t="shared" si="16"/>
        <v>-1.0965950739438814</v>
      </c>
      <c r="O62" s="11"/>
      <c r="P62" s="6">
        <v>193.58</v>
      </c>
      <c r="Q62" s="2"/>
      <c r="R62" s="7">
        <f t="shared" si="17"/>
        <v>9.8709416951295044E-5</v>
      </c>
      <c r="S62" s="2"/>
      <c r="T62" s="6">
        <v>2562.1872177846139</v>
      </c>
      <c r="U62" s="2"/>
      <c r="V62" s="7">
        <f t="shared" si="18"/>
        <v>1.2538174374493159E-3</v>
      </c>
      <c r="W62" s="2"/>
      <c r="X62" s="6">
        <f t="shared" si="19"/>
        <v>-2368.607217784614</v>
      </c>
      <c r="Y62" s="2"/>
      <c r="Z62" s="7">
        <f t="shared" si="20"/>
        <v>-0.92444736330884592</v>
      </c>
    </row>
    <row r="63" spans="1:26" s="24" customFormat="1" hidden="1" outlineLevel="2" x14ac:dyDescent="0.25">
      <c r="A63" s="27"/>
      <c r="B63" s="11" t="str">
        <f>CONCATENATE("          ", "6113", " - ", "GROUP INSURANCE")</f>
        <v xml:space="preserve">          6113 - GROUP INSURANCE</v>
      </c>
      <c r="C63" s="11"/>
      <c r="D63" s="6">
        <v>4168.57</v>
      </c>
      <c r="E63" s="2"/>
      <c r="F63" s="7">
        <f t="shared" si="13"/>
        <v>0.13263214629794373</v>
      </c>
      <c r="G63" s="2"/>
      <c r="H63" s="6">
        <v>5783.4615384615399</v>
      </c>
      <c r="I63" s="2"/>
      <c r="J63" s="7">
        <f t="shared" si="14"/>
        <v>0.15639430877397351</v>
      </c>
      <c r="K63" s="2"/>
      <c r="L63" s="6">
        <f t="shared" si="15"/>
        <v>-1614.8915384615402</v>
      </c>
      <c r="M63" s="2"/>
      <c r="N63" s="7">
        <f t="shared" si="16"/>
        <v>-0.27922577641816876</v>
      </c>
      <c r="O63" s="11"/>
      <c r="P63" s="6">
        <v>16674.28</v>
      </c>
      <c r="Q63" s="2"/>
      <c r="R63" s="7">
        <f t="shared" si="17"/>
        <v>8.5024716235284625E-3</v>
      </c>
      <c r="S63" s="2"/>
      <c r="T63" s="6">
        <v>22190.461538461539</v>
      </c>
      <c r="U63" s="2"/>
      <c r="V63" s="7">
        <f t="shared" si="18"/>
        <v>1.0858998682394616E-2</v>
      </c>
      <c r="W63" s="2"/>
      <c r="X63" s="6">
        <f t="shared" si="19"/>
        <v>-5516.1815384615402</v>
      </c>
      <c r="Y63" s="2"/>
      <c r="Z63" s="7">
        <f t="shared" si="20"/>
        <v>-0.24858345234958895</v>
      </c>
    </row>
    <row r="64" spans="1:26" s="24" customFormat="1" hidden="1" outlineLevel="2" x14ac:dyDescent="0.25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75.959999999999994</v>
      </c>
      <c r="E64" s="2"/>
      <c r="F64" s="7">
        <f t="shared" si="13"/>
        <v>2.416833070523418E-3</v>
      </c>
      <c r="G64" s="2"/>
      <c r="H64" s="6">
        <v>88.583573599999994</v>
      </c>
      <c r="I64" s="2"/>
      <c r="J64" s="7">
        <f t="shared" si="14"/>
        <v>2.3954454732287721E-3</v>
      </c>
      <c r="K64" s="2"/>
      <c r="L64" s="6">
        <f t="shared" si="15"/>
        <v>-12.6235736</v>
      </c>
      <c r="M64" s="2"/>
      <c r="N64" s="7">
        <f t="shared" si="16"/>
        <v>-0.14250467763924124</v>
      </c>
      <c r="O64" s="11"/>
      <c r="P64" s="6">
        <v>246.49</v>
      </c>
      <c r="Q64" s="2"/>
      <c r="R64" s="7">
        <f t="shared" si="17"/>
        <v>1.2568903907596196E-4</v>
      </c>
      <c r="S64" s="2"/>
      <c r="T64" s="6">
        <v>350.61509296000003</v>
      </c>
      <c r="U64" s="2"/>
      <c r="V64" s="7">
        <f t="shared" si="18"/>
        <v>1.7157501775622228E-4</v>
      </c>
      <c r="W64" s="2"/>
      <c r="X64" s="6">
        <f t="shared" si="19"/>
        <v>-104.12509296000002</v>
      </c>
      <c r="Y64" s="2"/>
      <c r="Z64" s="7">
        <f t="shared" si="20"/>
        <v>-0.29697835333026906</v>
      </c>
    </row>
    <row r="65" spans="1:26" s="24" customFormat="1" hidden="1" outlineLevel="2" x14ac:dyDescent="0.25">
      <c r="A65" s="27"/>
      <c r="B65" s="11" t="str">
        <f>CONCATENATE("          ", "6115", " - ", "P.E.R.S.")</f>
        <v xml:space="preserve">          6115 - P.E.R.S.</v>
      </c>
      <c r="C65" s="11"/>
      <c r="D65" s="6">
        <v>1803.1</v>
      </c>
      <c r="E65" s="2"/>
      <c r="F65" s="7">
        <f t="shared" si="13"/>
        <v>5.7369559102959128E-2</v>
      </c>
      <c r="G65" s="2"/>
      <c r="H65" s="6">
        <v>1544.9483098461499</v>
      </c>
      <c r="I65" s="2"/>
      <c r="J65" s="7">
        <f t="shared" si="14"/>
        <v>4.1777942397137641E-2</v>
      </c>
      <c r="K65" s="2"/>
      <c r="L65" s="6">
        <f t="shared" si="15"/>
        <v>258.15169015385004</v>
      </c>
      <c r="M65" s="2"/>
      <c r="N65" s="7">
        <f t="shared" si="16"/>
        <v>0.16709406295901089</v>
      </c>
      <c r="O65" s="11"/>
      <c r="P65" s="6">
        <v>5780.68</v>
      </c>
      <c r="Q65" s="2"/>
      <c r="R65" s="7">
        <f t="shared" si="17"/>
        <v>2.9476575699039788E-3</v>
      </c>
      <c r="S65" s="2"/>
      <c r="T65" s="6">
        <v>5561.8139154461405</v>
      </c>
      <c r="U65" s="2"/>
      <c r="V65" s="7">
        <f t="shared" si="18"/>
        <v>2.72169778329635E-3</v>
      </c>
      <c r="W65" s="2"/>
      <c r="X65" s="6">
        <f t="shared" si="19"/>
        <v>218.86608455385976</v>
      </c>
      <c r="Y65" s="2"/>
      <c r="Z65" s="7">
        <f t="shared" si="20"/>
        <v>3.9351565493054332E-2</v>
      </c>
    </row>
    <row r="66" spans="1:26" s="24" customFormat="1" hidden="1" outlineLevel="2" x14ac:dyDescent="0.25">
      <c r="A66" s="27"/>
      <c r="B66" s="11" t="str">
        <f>CONCATENATE("          ", "6116", " - ", "EDUCATIONAL BENEFITS")</f>
        <v xml:space="preserve">          6116 - EDUCATIONAL BENEFITS</v>
      </c>
      <c r="C66" s="11"/>
      <c r="D66" s="6"/>
      <c r="E66" s="2"/>
      <c r="F66" s="7">
        <f t="shared" si="13"/>
        <v>0</v>
      </c>
      <c r="G66" s="2"/>
      <c r="H66" s="6">
        <v>0</v>
      </c>
      <c r="I66" s="2"/>
      <c r="J66" s="7">
        <f t="shared" si="14"/>
        <v>0</v>
      </c>
      <c r="K66" s="2"/>
      <c r="L66" s="6">
        <f t="shared" si="15"/>
        <v>0</v>
      </c>
      <c r="M66" s="2"/>
      <c r="N66" s="7">
        <f t="shared" si="16"/>
        <v>0</v>
      </c>
      <c r="O66" s="11"/>
      <c r="P66" s="6"/>
      <c r="Q66" s="2"/>
      <c r="R66" s="7">
        <f t="shared" si="17"/>
        <v>0</v>
      </c>
      <c r="S66" s="2"/>
      <c r="T66" s="6">
        <v>0</v>
      </c>
      <c r="U66" s="2"/>
      <c r="V66" s="7">
        <f t="shared" si="18"/>
        <v>0</v>
      </c>
      <c r="W66" s="2"/>
      <c r="X66" s="6">
        <f t="shared" si="19"/>
        <v>0</v>
      </c>
      <c r="Y66" s="2"/>
      <c r="Z66" s="7">
        <f t="shared" si="20"/>
        <v>0</v>
      </c>
    </row>
    <row r="67" spans="1:26" s="24" customFormat="1" hidden="1" outlineLevel="2" x14ac:dyDescent="0.25">
      <c r="A67" s="27"/>
      <c r="B67" s="11" t="str">
        <f>CONCATENATE("          ", "6117", " - ", "RETIREMENT STAFF HOURLY")</f>
        <v xml:space="preserve">          6117 - RETIREMENT STAFF HOURLY</v>
      </c>
      <c r="C67" s="11"/>
      <c r="D67" s="6">
        <v>91.29</v>
      </c>
      <c r="E67" s="2"/>
      <c r="F67" s="7">
        <f t="shared" si="13"/>
        <v>2.9045904556093058E-3</v>
      </c>
      <c r="G67" s="2"/>
      <c r="H67" s="6"/>
      <c r="I67" s="2"/>
      <c r="J67" s="7">
        <f t="shared" si="14"/>
        <v>0</v>
      </c>
      <c r="K67" s="2"/>
      <c r="L67" s="6">
        <f t="shared" si="15"/>
        <v>91.29</v>
      </c>
      <c r="M67" s="2"/>
      <c r="N67" s="7">
        <f t="shared" si="16"/>
        <v>0</v>
      </c>
      <c r="O67" s="11"/>
      <c r="P67" s="6">
        <v>552.63</v>
      </c>
      <c r="Q67" s="2"/>
      <c r="R67" s="7">
        <f t="shared" si="17"/>
        <v>2.8179452985739318E-4</v>
      </c>
      <c r="S67" s="2"/>
      <c r="T67" s="6"/>
      <c r="U67" s="2"/>
      <c r="V67" s="7">
        <f t="shared" si="18"/>
        <v>0</v>
      </c>
      <c r="W67" s="2"/>
      <c r="X67" s="6">
        <f t="shared" si="19"/>
        <v>552.63</v>
      </c>
      <c r="Y67" s="2"/>
      <c r="Z67" s="7">
        <f t="shared" si="20"/>
        <v>0</v>
      </c>
    </row>
    <row r="68" spans="1:26" s="24" customFormat="1" hidden="1" outlineLevel="2" x14ac:dyDescent="0.25">
      <c r="A68" s="27"/>
      <c r="B68" s="11" t="str">
        <f>CONCATENATE("          ", "6118", " - ", "VACATION")</f>
        <v xml:space="preserve">          6118 - VACATION</v>
      </c>
      <c r="C68" s="11"/>
      <c r="D68" s="6">
        <v>1542.87</v>
      </c>
      <c r="E68" s="2"/>
      <c r="F68" s="7">
        <f t="shared" si="13"/>
        <v>4.9089774085287863E-2</v>
      </c>
      <c r="G68" s="2"/>
      <c r="H68" s="6">
        <v>1784.9504480000001</v>
      </c>
      <c r="I68" s="2"/>
      <c r="J68" s="7">
        <f t="shared" si="14"/>
        <v>4.8267994808004325E-2</v>
      </c>
      <c r="K68" s="2"/>
      <c r="L68" s="6">
        <f t="shared" si="15"/>
        <v>-242.08044800000016</v>
      </c>
      <c r="M68" s="2"/>
      <c r="N68" s="7">
        <f t="shared" si="16"/>
        <v>-0.13562306352607506</v>
      </c>
      <c r="O68" s="11"/>
      <c r="P68" s="6">
        <v>4637.22</v>
      </c>
      <c r="Q68" s="2"/>
      <c r="R68" s="7">
        <f t="shared" si="17"/>
        <v>2.3645897431288582E-3</v>
      </c>
      <c r="S68" s="2"/>
      <c r="T68" s="6">
        <v>6425.8216128000004</v>
      </c>
      <c r="U68" s="2"/>
      <c r="V68" s="7">
        <f t="shared" si="18"/>
        <v>3.1445037006443332E-3</v>
      </c>
      <c r="W68" s="2"/>
      <c r="X68" s="6">
        <f t="shared" si="19"/>
        <v>-1788.6016128000001</v>
      </c>
      <c r="Y68" s="2"/>
      <c r="Z68" s="7">
        <f t="shared" si="20"/>
        <v>-0.27834597979457931</v>
      </c>
    </row>
    <row r="69" spans="1:26" s="24" customFormat="1" hidden="1" outlineLevel="2" x14ac:dyDescent="0.25">
      <c r="A69" s="27"/>
      <c r="B69" s="11" t="str">
        <f>CONCATENATE("          ", "6119", " - ", "SICK LEAVE")</f>
        <v xml:space="preserve">          6119 - SICK LEAVE</v>
      </c>
      <c r="C69" s="11"/>
      <c r="D69" s="6">
        <v>1202.6099999999999</v>
      </c>
      <c r="E69" s="2"/>
      <c r="F69" s="7">
        <f t="shared" si="13"/>
        <v>3.8263660070328699E-2</v>
      </c>
      <c r="G69" s="2"/>
      <c r="H69" s="6">
        <v>1283.2528406153799</v>
      </c>
      <c r="I69" s="2"/>
      <c r="J69" s="7">
        <f t="shared" si="14"/>
        <v>3.4701266647252024E-2</v>
      </c>
      <c r="K69" s="2"/>
      <c r="L69" s="6">
        <f t="shared" si="15"/>
        <v>-80.64284061538001</v>
      </c>
      <c r="M69" s="2"/>
      <c r="N69" s="7">
        <f t="shared" si="16"/>
        <v>-6.2842518686113319E-2</v>
      </c>
      <c r="O69" s="11"/>
      <c r="P69" s="6">
        <v>4516.63</v>
      </c>
      <c r="Q69" s="2"/>
      <c r="R69" s="7">
        <f t="shared" si="17"/>
        <v>2.3030990488931073E-3</v>
      </c>
      <c r="S69" s="2"/>
      <c r="T69" s="6">
        <v>4741.68802621538</v>
      </c>
      <c r="U69" s="2"/>
      <c r="V69" s="7">
        <f t="shared" si="18"/>
        <v>2.3203656192438498E-3</v>
      </c>
      <c r="W69" s="2"/>
      <c r="X69" s="6">
        <f t="shared" si="19"/>
        <v>-225.05802621537987</v>
      </c>
      <c r="Y69" s="2"/>
      <c r="Z69" s="7">
        <f t="shared" si="20"/>
        <v>-4.7463693303123514E-2</v>
      </c>
    </row>
    <row r="70" spans="1:26" s="24" customFormat="1" hidden="1" outlineLevel="2" x14ac:dyDescent="0.25">
      <c r="A70" s="27"/>
      <c r="B70" s="11" t="str">
        <f>CONCATENATE("          ", "6156", " - ", "EMPLOYEE MEALS")</f>
        <v xml:space="preserve">          6156 - EMPLOYEE MEALS</v>
      </c>
      <c r="C70" s="11"/>
      <c r="D70" s="6">
        <v>621.30999999999995</v>
      </c>
      <c r="E70" s="2"/>
      <c r="F70" s="7">
        <f t="shared" si="13"/>
        <v>1.9768332741533765E-2</v>
      </c>
      <c r="G70" s="2"/>
      <c r="H70" s="6">
        <v>750</v>
      </c>
      <c r="I70" s="2"/>
      <c r="J70" s="7">
        <f t="shared" si="14"/>
        <v>2.0281233098972416E-2</v>
      </c>
      <c r="K70" s="2"/>
      <c r="L70" s="6">
        <f t="shared" si="15"/>
        <v>-128.69000000000005</v>
      </c>
      <c r="M70" s="2"/>
      <c r="N70" s="7">
        <f t="shared" si="16"/>
        <v>-0.17158666666666675</v>
      </c>
      <c r="O70" s="11"/>
      <c r="P70" s="6">
        <v>2378.73</v>
      </c>
      <c r="Q70" s="2"/>
      <c r="R70" s="7">
        <f t="shared" si="17"/>
        <v>1.2129509834928921E-3</v>
      </c>
      <c r="S70" s="2"/>
      <c r="T70" s="6">
        <v>3000</v>
      </c>
      <c r="U70" s="2"/>
      <c r="V70" s="7">
        <f t="shared" si="18"/>
        <v>1.4680630229668673E-3</v>
      </c>
      <c r="W70" s="2"/>
      <c r="X70" s="6">
        <f t="shared" si="19"/>
        <v>-621.27</v>
      </c>
      <c r="Y70" s="2"/>
      <c r="Z70" s="7">
        <f t="shared" si="20"/>
        <v>-0.20709</v>
      </c>
    </row>
    <row r="71" spans="1:26" s="26" customFormat="1" outlineLevel="1" collapsed="1" x14ac:dyDescent="0.25">
      <c r="A71" s="25"/>
      <c r="B71" s="13" t="str">
        <f>CONCATENATE("     ","*Payroll                                          ")</f>
        <v xml:space="preserve">     *Payroll                                          </v>
      </c>
      <c r="C71" s="13"/>
      <c r="D71" s="1">
        <f>SUM(OSRRefD22_1x_0)</f>
        <v>26399.489999999998</v>
      </c>
      <c r="E71" s="1"/>
      <c r="F71" s="5">
        <f t="shared" ref="F71:F81" si="21">IF(D$12=0,0,D71/D$12)</f>
        <v>0.83995735225055645</v>
      </c>
      <c r="G71" s="1"/>
      <c r="H71" s="1">
        <f>SUM(OSRRefH22_1x_0)</f>
        <v>31177.4340196538</v>
      </c>
      <c r="I71" s="1"/>
      <c r="J71" s="5">
        <f t="shared" ref="J71:J81" si="22">IF(H$12=0,0,H71/H$12)</f>
        <v>0.84308907570724179</v>
      </c>
      <c r="K71" s="1"/>
      <c r="L71" s="1">
        <f t="shared" ref="L71:L81" si="23">+D71-H71</f>
        <v>-4777.9440196538017</v>
      </c>
      <c r="M71" s="1"/>
      <c r="N71" s="5">
        <f t="shared" ref="N71:N81" si="24">IF(H71=0,0,L71/H71)</f>
        <v>-0.15325007236457802</v>
      </c>
      <c r="O71" s="13"/>
      <c r="P71" s="1">
        <f>SUM(OSRRefP22_1x_0)</f>
        <v>96461.27</v>
      </c>
      <c r="Q71" s="1"/>
      <c r="R71" s="5">
        <f t="shared" ref="R71:R81" si="25">IF(P$12=0,0,P71/P$12)</f>
        <v>4.9187083996701353E-2</v>
      </c>
      <c r="S71" s="1"/>
      <c r="T71" s="1">
        <f>SUM(OSRRefT22_1x_0)</f>
        <v>124436.5424707538</v>
      </c>
      <c r="U71" s="1"/>
      <c r="V71" s="5">
        <f t="shared" ref="V71:V81" si="26">IF(T$12=0,0,T71/T$12)</f>
        <v>6.0893562235719935E-2</v>
      </c>
      <c r="W71" s="1"/>
      <c r="X71" s="1">
        <f t="shared" ref="X71:X81" si="27">+P71-T71</f>
        <v>-27975.2724707538</v>
      </c>
      <c r="Y71" s="1"/>
      <c r="Z71" s="5">
        <f t="shared" ref="Z71:Z81" si="28">IF(T71=0,0,X71/T71)</f>
        <v>-0.22481557197982097</v>
      </c>
    </row>
    <row r="72" spans="1:26" s="24" customFormat="1" hidden="1" outlineLevel="2" x14ac:dyDescent="0.25">
      <c r="A72" s="27"/>
      <c r="B72" s="11" t="str">
        <f>CONCATENATE("          ", "6001", " - ", "ADMINISTRATIVE SALARIES")</f>
        <v xml:space="preserve">          6001 - ADMINISTRATIVE SALARIES</v>
      </c>
      <c r="C72" s="11"/>
      <c r="D72" s="6"/>
      <c r="E72" s="2"/>
      <c r="F72" s="7">
        <f t="shared" si="21"/>
        <v>0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0</v>
      </c>
      <c r="M72" s="2"/>
      <c r="N72" s="7">
        <f t="shared" si="24"/>
        <v>0</v>
      </c>
      <c r="O72" s="11"/>
      <c r="P72" s="6"/>
      <c r="Q72" s="2"/>
      <c r="R72" s="7">
        <f t="shared" si="25"/>
        <v>0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0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"6002", " - ", "STAFF SALARIES")</f>
        <v xml:space="preserve">          6002 - STAFF SALARIES</v>
      </c>
      <c r="C73" s="11"/>
      <c r="D73" s="6">
        <v>16310.289999999999</v>
      </c>
      <c r="E73" s="2"/>
      <c r="F73" s="7">
        <f t="shared" si="21"/>
        <v>0.5189474494711348</v>
      </c>
      <c r="G73" s="2"/>
      <c r="H73" s="6">
        <v>15956.265429653798</v>
      </c>
      <c r="I73" s="2"/>
      <c r="J73" s="7">
        <f t="shared" si="22"/>
        <v>0.43148365142384526</v>
      </c>
      <c r="K73" s="2"/>
      <c r="L73" s="6">
        <f t="shared" si="23"/>
        <v>354.02457034620056</v>
      </c>
      <c r="M73" s="2"/>
      <c r="N73" s="7">
        <f t="shared" si="24"/>
        <v>2.2187182327029126E-2</v>
      </c>
      <c r="O73" s="11"/>
      <c r="P73" s="6">
        <v>60889.53</v>
      </c>
      <c r="Q73" s="2"/>
      <c r="R73" s="7">
        <f t="shared" si="25"/>
        <v>3.1048507101655066E-2</v>
      </c>
      <c r="S73" s="2"/>
      <c r="T73" s="6">
        <v>57442.5555467538</v>
      </c>
      <c r="U73" s="2"/>
      <c r="V73" s="7">
        <f t="shared" si="26"/>
        <v>2.8109763914303192E-2</v>
      </c>
      <c r="W73" s="2"/>
      <c r="X73" s="6">
        <f t="shared" si="27"/>
        <v>3446.9744532461991</v>
      </c>
      <c r="Y73" s="2"/>
      <c r="Z73" s="7">
        <f t="shared" si="28"/>
        <v>6.0007331157831731E-2</v>
      </c>
    </row>
    <row r="74" spans="1:26" s="24" customFormat="1" hidden="1" outlineLevel="2" x14ac:dyDescent="0.25">
      <c r="A74" s="27"/>
      <c r="B74" s="11" t="str">
        <f>CONCATENATE("          ", "6003", " - ", "STAFF HOURLY-9 MONTH")</f>
        <v xml:space="preserve">          6003 - STAFF HOURLY-9 MONTH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7"/>
      <c r="B75" s="11" t="str">
        <f>CONCATENATE("          ", "6004", " - ", "STAFF HOURLY")</f>
        <v xml:space="preserve">          6004 - STAFF HOURLY</v>
      </c>
      <c r="C75" s="11"/>
      <c r="D75" s="6">
        <v>4439.95</v>
      </c>
      <c r="E75" s="2"/>
      <c r="F75" s="7">
        <f t="shared" si="21"/>
        <v>0.14126669288402383</v>
      </c>
      <c r="G75" s="2"/>
      <c r="H75" s="6">
        <v>7332.4185900000002</v>
      </c>
      <c r="I75" s="2"/>
      <c r="J75" s="7">
        <f t="shared" si="22"/>
        <v>0.19828065413737156</v>
      </c>
      <c r="K75" s="2"/>
      <c r="L75" s="6">
        <f t="shared" si="23"/>
        <v>-2892.4685900000004</v>
      </c>
      <c r="M75" s="2"/>
      <c r="N75" s="7">
        <f t="shared" si="24"/>
        <v>-0.39447674113215081</v>
      </c>
      <c r="O75" s="11"/>
      <c r="P75" s="6">
        <v>12189.17</v>
      </c>
      <c r="Q75" s="2"/>
      <c r="R75" s="7">
        <f t="shared" si="25"/>
        <v>6.2154451070369713E-3</v>
      </c>
      <c r="S75" s="2"/>
      <c r="T75" s="6">
        <v>26396.706923999998</v>
      </c>
      <c r="U75" s="2"/>
      <c r="V75" s="7">
        <f t="shared" si="26"/>
        <v>1.2917343121072625E-2</v>
      </c>
      <c r="W75" s="2"/>
      <c r="X75" s="6">
        <f t="shared" si="27"/>
        <v>-14207.536923999998</v>
      </c>
      <c r="Y75" s="2"/>
      <c r="Z75" s="7">
        <f t="shared" si="28"/>
        <v>-0.53823141518771966</v>
      </c>
    </row>
    <row r="76" spans="1:26" s="24" customFormat="1" hidden="1" outlineLevel="2" x14ac:dyDescent="0.25">
      <c r="A76" s="27"/>
      <c r="B76" s="11" t="str">
        <f>CONCATENATE("          ", "6005", " - ", "TEMPORARY WAGES-HOURLY")</f>
        <v xml:space="preserve">          6005 - TEMPORARY WAGES-HOURLY</v>
      </c>
      <c r="C76" s="11"/>
      <c r="D76" s="6">
        <v>3432.62</v>
      </c>
      <c r="E76" s="2"/>
      <c r="F76" s="7">
        <f t="shared" si="21"/>
        <v>0.10921629192390858</v>
      </c>
      <c r="G76" s="2"/>
      <c r="H76" s="6">
        <v>3490</v>
      </c>
      <c r="I76" s="2"/>
      <c r="J76" s="7">
        <f t="shared" si="22"/>
        <v>9.4375338020551647E-2</v>
      </c>
      <c r="K76" s="2"/>
      <c r="L76" s="6">
        <f t="shared" si="23"/>
        <v>-57.380000000000109</v>
      </c>
      <c r="M76" s="2"/>
      <c r="N76" s="7">
        <f t="shared" si="24"/>
        <v>-1.6441260744985704E-2</v>
      </c>
      <c r="O76" s="11"/>
      <c r="P76" s="6">
        <v>7694.1</v>
      </c>
      <c r="Q76" s="2"/>
      <c r="R76" s="7">
        <f t="shared" si="25"/>
        <v>3.9233398334794873E-3</v>
      </c>
      <c r="S76" s="2"/>
      <c r="T76" s="6">
        <v>13513.28</v>
      </c>
      <c r="U76" s="2"/>
      <c r="V76" s="7">
        <f t="shared" si="26"/>
        <v>6.6127822289992364E-3</v>
      </c>
      <c r="W76" s="2"/>
      <c r="X76" s="6">
        <f t="shared" si="27"/>
        <v>-5819.18</v>
      </c>
      <c r="Y76" s="2"/>
      <c r="Z76" s="7">
        <f t="shared" si="28"/>
        <v>-0.43062676123043409</v>
      </c>
    </row>
    <row r="77" spans="1:26" s="24" customFormat="1" hidden="1" outlineLevel="2" x14ac:dyDescent="0.25">
      <c r="A77" s="27"/>
      <c r="B77" s="11" t="str">
        <f>CONCATENATE("          ", "6006", " - ", "TEMPORARY PART TIME")</f>
        <v xml:space="preserve">          6006 - TEMPORARY PART TIME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4" customFormat="1" hidden="1" outlineLevel="2" x14ac:dyDescent="0.25">
      <c r="A78" s="27"/>
      <c r="B78" s="11" t="str">
        <f>CONCATENATE("          ", "6007", " - ", "STUDENT HOURLY")</f>
        <v xml:space="preserve">          6007 - STUDENT HOURLY</v>
      </c>
      <c r="C78" s="11"/>
      <c r="D78" s="6">
        <v>2216.63</v>
      </c>
      <c r="E78" s="2"/>
      <c r="F78" s="7">
        <f t="shared" si="21"/>
        <v>7.0526917971489272E-2</v>
      </c>
      <c r="G78" s="2"/>
      <c r="H78" s="6">
        <v>0</v>
      </c>
      <c r="I78" s="2"/>
      <c r="J78" s="7">
        <f t="shared" si="22"/>
        <v>0</v>
      </c>
      <c r="K78" s="2"/>
      <c r="L78" s="6">
        <f t="shared" si="23"/>
        <v>2216.63</v>
      </c>
      <c r="M78" s="2"/>
      <c r="N78" s="7">
        <f t="shared" si="24"/>
        <v>0</v>
      </c>
      <c r="O78" s="11"/>
      <c r="P78" s="6">
        <v>15688.470000000001</v>
      </c>
      <c r="Q78" s="2"/>
      <c r="R78" s="7">
        <f t="shared" si="25"/>
        <v>7.9997919545298259E-3</v>
      </c>
      <c r="S78" s="2"/>
      <c r="T78" s="6">
        <v>8032.5</v>
      </c>
      <c r="U78" s="2"/>
      <c r="V78" s="7">
        <f t="shared" si="26"/>
        <v>3.9307387439937872E-3</v>
      </c>
      <c r="W78" s="2"/>
      <c r="X78" s="6">
        <f t="shared" si="27"/>
        <v>7655.9700000000012</v>
      </c>
      <c r="Y78" s="2"/>
      <c r="Z78" s="7">
        <f t="shared" si="28"/>
        <v>0.95312418300653612</v>
      </c>
    </row>
    <row r="79" spans="1:26" s="24" customFormat="1" hidden="1" outlineLevel="2" x14ac:dyDescent="0.25">
      <c r="A79" s="27"/>
      <c r="B79" s="11" t="str">
        <f>CONCATENATE("          ", "6008", " - ", "STUDENT HOURLY-FICA EXEMPT")</f>
        <v xml:space="preserve">          6008 - STUDENT HOURLY-FICA EXEMPT</v>
      </c>
      <c r="C79" s="11"/>
      <c r="D79" s="6"/>
      <c r="E79" s="2"/>
      <c r="F79" s="7">
        <f t="shared" si="21"/>
        <v>0</v>
      </c>
      <c r="G79" s="2"/>
      <c r="H79" s="6">
        <v>4398.75</v>
      </c>
      <c r="I79" s="2"/>
      <c r="J79" s="7">
        <f t="shared" si="22"/>
        <v>0.11894943212547322</v>
      </c>
      <c r="K79" s="2"/>
      <c r="L79" s="6">
        <f t="shared" si="23"/>
        <v>-4398.75</v>
      </c>
      <c r="M79" s="2"/>
      <c r="N79" s="7">
        <f t="shared" si="24"/>
        <v>-1</v>
      </c>
      <c r="O79" s="11"/>
      <c r="P79" s="6"/>
      <c r="Q79" s="2"/>
      <c r="R79" s="7">
        <f t="shared" si="25"/>
        <v>0</v>
      </c>
      <c r="S79" s="2"/>
      <c r="T79" s="6">
        <v>19051.5</v>
      </c>
      <c r="U79" s="2"/>
      <c r="V79" s="7">
        <f t="shared" si="26"/>
        <v>9.3229342273510908E-3</v>
      </c>
      <c r="W79" s="2"/>
      <c r="X79" s="6">
        <f t="shared" si="27"/>
        <v>-19051.5</v>
      </c>
      <c r="Y79" s="2"/>
      <c r="Z79" s="7">
        <f t="shared" si="28"/>
        <v>-1</v>
      </c>
    </row>
    <row r="80" spans="1:26" s="24" customFormat="1" hidden="1" outlineLevel="2" x14ac:dyDescent="0.25">
      <c r="A80" s="27"/>
      <c r="B80" s="11" t="str">
        <f>CONCATENATE("          ", "6009", " - ", "TEMPORARY-SEASONAL")</f>
        <v xml:space="preserve">          6009 - TEMPORARY-SEASONAL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4" customFormat="1" hidden="1" outlineLevel="2" x14ac:dyDescent="0.25">
      <c r="A81" s="27"/>
      <c r="B81" s="11" t="str">
        <f>CONCATENATE("          ", "6010", " - ", "GRATUITY")</f>
        <v xml:space="preserve">          6010 - GRATUITY</v>
      </c>
      <c r="C81" s="11"/>
      <c r="D81" s="6"/>
      <c r="E81" s="2"/>
      <c r="F81" s="7">
        <f t="shared" si="21"/>
        <v>0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0</v>
      </c>
      <c r="M81" s="2"/>
      <c r="N81" s="7">
        <f t="shared" si="24"/>
        <v>0</v>
      </c>
      <c r="O81" s="11"/>
      <c r="P81" s="6"/>
      <c r="Q81" s="2"/>
      <c r="R81" s="7">
        <f t="shared" si="25"/>
        <v>0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0</v>
      </c>
      <c r="Y81" s="2"/>
      <c r="Z81" s="7">
        <f t="shared" si="28"/>
        <v>0</v>
      </c>
    </row>
    <row r="82" spans="1:26" s="26" customFormat="1" outlineLevel="1" collapsed="1" x14ac:dyDescent="0.25">
      <c r="A82" s="25"/>
      <c r="B82" s="13" t="str">
        <f>CONCATENATE("     ","Advertising/Promo                                 ")</f>
        <v xml:space="preserve">     Advertising/Promo                                 </v>
      </c>
      <c r="C82" s="13"/>
      <c r="D82" s="1">
        <f>SUM(OSRRefD22_2x_0)</f>
        <v>81</v>
      </c>
      <c r="E82" s="1"/>
      <c r="F82" s="5">
        <f t="shared" ref="F82:F86" si="29">IF(D$12=0,0,D82/D$12)</f>
        <v>2.5771916628804224E-3</v>
      </c>
      <c r="G82" s="1"/>
      <c r="H82" s="1">
        <f>SUM(OSRRefH22_2x_0)</f>
        <v>200</v>
      </c>
      <c r="I82" s="1"/>
      <c r="J82" s="5">
        <f t="shared" ref="J82:J86" si="30">IF(H$12=0,0,H82/H$12)</f>
        <v>5.4083288263926449E-3</v>
      </c>
      <c r="K82" s="1"/>
      <c r="L82" s="1">
        <f t="shared" ref="L82:L86" si="31">+D82-H82</f>
        <v>-119</v>
      </c>
      <c r="M82" s="1"/>
      <c r="N82" s="5">
        <f t="shared" ref="N82:N86" si="32">IF(H82=0,0,L82/H82)</f>
        <v>-0.59499999999999997</v>
      </c>
      <c r="O82" s="13"/>
      <c r="P82" s="1">
        <f>SUM(OSRRefP22_2x_0)</f>
        <v>3136.02</v>
      </c>
      <c r="Q82" s="1"/>
      <c r="R82" s="5">
        <f t="shared" ref="R82:R86" si="33">IF(P$12=0,0,P82/P$12)</f>
        <v>1.5991047925798133E-3</v>
      </c>
      <c r="S82" s="1"/>
      <c r="T82" s="1">
        <f>SUM(OSRRefT22_2x_0)</f>
        <v>2200</v>
      </c>
      <c r="U82" s="1"/>
      <c r="V82" s="5">
        <f t="shared" ref="V82:V86" si="34">IF(T$12=0,0,T82/T$12)</f>
        <v>1.0765795501757028E-3</v>
      </c>
      <c r="W82" s="1"/>
      <c r="X82" s="1">
        <f t="shared" ref="X82:X86" si="35">+P82-T82</f>
        <v>936.02</v>
      </c>
      <c r="Y82" s="1"/>
      <c r="Z82" s="5">
        <f t="shared" ref="Z82:Z86" si="36">IF(T82=0,0,X82/T82)</f>
        <v>0.42546363636363638</v>
      </c>
    </row>
    <row r="83" spans="1:26" s="24" customFormat="1" hidden="1" outlineLevel="2" x14ac:dyDescent="0.25">
      <c r="A83" s="27"/>
      <c r="B83" s="11" t="str">
        <f>CONCATENATE("          ", "6362", " - ", "ADVERTISING EXPENSE")</f>
        <v xml:space="preserve">          6362 - ADVERTISING EXPENSE</v>
      </c>
      <c r="C83" s="11"/>
      <c r="D83" s="6">
        <v>81</v>
      </c>
      <c r="E83" s="2"/>
      <c r="F83" s="7">
        <f t="shared" si="29"/>
        <v>2.5771916628804224E-3</v>
      </c>
      <c r="G83" s="2"/>
      <c r="H83" s="6">
        <v>200</v>
      </c>
      <c r="I83" s="2"/>
      <c r="J83" s="7">
        <f t="shared" si="30"/>
        <v>5.4083288263926449E-3</v>
      </c>
      <c r="K83" s="2"/>
      <c r="L83" s="6">
        <f t="shared" si="31"/>
        <v>-119</v>
      </c>
      <c r="M83" s="2"/>
      <c r="N83" s="7">
        <f t="shared" si="32"/>
        <v>-0.59499999999999997</v>
      </c>
      <c r="O83" s="11"/>
      <c r="P83" s="6">
        <v>3136.02</v>
      </c>
      <c r="Q83" s="2"/>
      <c r="R83" s="7">
        <f t="shared" si="33"/>
        <v>1.5991047925798133E-3</v>
      </c>
      <c r="S83" s="2"/>
      <c r="T83" s="6">
        <v>2200</v>
      </c>
      <c r="U83" s="2"/>
      <c r="V83" s="7">
        <f t="shared" si="34"/>
        <v>1.0765795501757028E-3</v>
      </c>
      <c r="W83" s="2"/>
      <c r="X83" s="6">
        <f t="shared" si="35"/>
        <v>936.02</v>
      </c>
      <c r="Y83" s="2"/>
      <c r="Z83" s="7">
        <f t="shared" si="36"/>
        <v>0.42546363636363638</v>
      </c>
    </row>
    <row r="84" spans="1:26" s="26" customFormat="1" outlineLevel="1" collapsed="1" x14ac:dyDescent="0.25">
      <c r="A84" s="25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SUM(OSRRefD22_3x_0)</f>
        <v>441.38</v>
      </c>
      <c r="E84" s="1"/>
      <c r="F84" s="5">
        <f t="shared" si="29"/>
        <v>1.4043467360026676E-2</v>
      </c>
      <c r="G84" s="1"/>
      <c r="H84" s="1">
        <f>SUM(OSRRefH22_3x_0)</f>
        <v>1425</v>
      </c>
      <c r="I84" s="1"/>
      <c r="J84" s="5">
        <f t="shared" si="30"/>
        <v>3.8534342888047593E-2</v>
      </c>
      <c r="K84" s="1"/>
      <c r="L84" s="1">
        <f t="shared" si="31"/>
        <v>-983.62</v>
      </c>
      <c r="M84" s="1"/>
      <c r="N84" s="5">
        <f t="shared" si="32"/>
        <v>-0.69025964912280702</v>
      </c>
      <c r="O84" s="13"/>
      <c r="P84" s="1">
        <f>SUM(OSRRefP22_3x_0)</f>
        <v>-2756.05</v>
      </c>
      <c r="Q84" s="1"/>
      <c r="R84" s="5">
        <f t="shared" si="33"/>
        <v>-1.405352250173658E-3</v>
      </c>
      <c r="S84" s="1"/>
      <c r="T84" s="1">
        <f>SUM(OSRRefT22_3x_0)</f>
        <v>11300</v>
      </c>
      <c r="U84" s="1"/>
      <c r="V84" s="5">
        <f t="shared" si="34"/>
        <v>5.5297040531752002E-3</v>
      </c>
      <c r="W84" s="1"/>
      <c r="X84" s="1">
        <f t="shared" si="35"/>
        <v>-14056.05</v>
      </c>
      <c r="Y84" s="1"/>
      <c r="Z84" s="5">
        <f t="shared" si="36"/>
        <v>-1.2438982300884955</v>
      </c>
    </row>
    <row r="85" spans="1:26" s="24" customFormat="1" hidden="1" outlineLevel="2" x14ac:dyDescent="0.25">
      <c r="A85" s="27"/>
      <c r="B85" s="11" t="str">
        <f>CONCATENATE("          ", "6382", " - ", "DISCOUNTS/MARK DOWNS")</f>
        <v xml:space="preserve">          6382 - DISCOUNTS/MARK DOWNS</v>
      </c>
      <c r="C85" s="11"/>
      <c r="D85" s="6">
        <v>434.52</v>
      </c>
      <c r="E85" s="2"/>
      <c r="F85" s="7">
        <f t="shared" si="29"/>
        <v>1.382520149820742E-2</v>
      </c>
      <c r="G85" s="2"/>
      <c r="H85" s="6">
        <v>1425</v>
      </c>
      <c r="I85" s="2"/>
      <c r="J85" s="7">
        <f t="shared" si="30"/>
        <v>3.8534342888047593E-2</v>
      </c>
      <c r="K85" s="2"/>
      <c r="L85" s="6">
        <f t="shared" si="31"/>
        <v>-990.48</v>
      </c>
      <c r="M85" s="2"/>
      <c r="N85" s="7">
        <f t="shared" si="32"/>
        <v>-0.69507368421052629</v>
      </c>
      <c r="O85" s="11"/>
      <c r="P85" s="6">
        <v>-2322.42</v>
      </c>
      <c r="Q85" s="2"/>
      <c r="R85" s="7">
        <f t="shared" si="33"/>
        <v>-1.1842376491167819E-3</v>
      </c>
      <c r="S85" s="2"/>
      <c r="T85" s="6">
        <v>11300</v>
      </c>
      <c r="U85" s="2"/>
      <c r="V85" s="7">
        <f t="shared" si="34"/>
        <v>5.5297040531752002E-3</v>
      </c>
      <c r="W85" s="2"/>
      <c r="X85" s="6">
        <f t="shared" si="35"/>
        <v>-13622.42</v>
      </c>
      <c r="Y85" s="2"/>
      <c r="Z85" s="7">
        <f t="shared" si="36"/>
        <v>-1.2055238938053097</v>
      </c>
    </row>
    <row r="86" spans="1:26" s="24" customFormat="1" hidden="1" outlineLevel="2" x14ac:dyDescent="0.25">
      <c r="A86" s="27"/>
      <c r="B86" s="11" t="str">
        <f>CONCATENATE("          ", "9175", " - ", "EARNED DISCOUNTS")</f>
        <v xml:space="preserve">          9175 - EARNED DISCOUNTS</v>
      </c>
      <c r="C86" s="11"/>
      <c r="D86" s="6">
        <v>6.86</v>
      </c>
      <c r="E86" s="2"/>
      <c r="F86" s="7">
        <f t="shared" si="29"/>
        <v>2.1826586181925554E-4</v>
      </c>
      <c r="G86" s="2"/>
      <c r="H86" s="6"/>
      <c r="I86" s="2"/>
      <c r="J86" s="7">
        <f t="shared" si="30"/>
        <v>0</v>
      </c>
      <c r="K86" s="2"/>
      <c r="L86" s="6">
        <f t="shared" si="31"/>
        <v>6.86</v>
      </c>
      <c r="M86" s="2"/>
      <c r="N86" s="7">
        <f t="shared" si="32"/>
        <v>0</v>
      </c>
      <c r="O86" s="11"/>
      <c r="P86" s="6">
        <v>-433.63</v>
      </c>
      <c r="Q86" s="2"/>
      <c r="R86" s="7">
        <f t="shared" si="33"/>
        <v>-2.2111460105687605E-4</v>
      </c>
      <c r="S86" s="2"/>
      <c r="T86" s="6"/>
      <c r="U86" s="2"/>
      <c r="V86" s="7">
        <f t="shared" si="34"/>
        <v>0</v>
      </c>
      <c r="W86" s="2"/>
      <c r="X86" s="6">
        <f t="shared" si="35"/>
        <v>-433.63</v>
      </c>
      <c r="Y86" s="2"/>
      <c r="Z86" s="7">
        <f t="shared" si="36"/>
        <v>0</v>
      </c>
    </row>
    <row r="87" spans="1:26" s="26" customFormat="1" outlineLevel="1" collapsed="1" x14ac:dyDescent="0.25">
      <c r="A87" s="25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SUM(OSRRefD22_4x_0)</f>
        <v>0</v>
      </c>
      <c r="E87" s="1"/>
      <c r="F87" s="5">
        <f t="shared" ref="F87:F93" si="37">IF(D$12=0,0,D87/D$12)</f>
        <v>0</v>
      </c>
      <c r="G87" s="1"/>
      <c r="H87" s="1">
        <f>SUM(OSRRefH22_4x_0)</f>
        <v>100</v>
      </c>
      <c r="I87" s="1"/>
      <c r="J87" s="5">
        <f t="shared" ref="J87:J93" si="38">IF(H$12=0,0,H87/H$12)</f>
        <v>2.7041644131963224E-3</v>
      </c>
      <c r="K87" s="1"/>
      <c r="L87" s="1">
        <f t="shared" ref="L87:L93" si="39">+D87-H87</f>
        <v>-100</v>
      </c>
      <c r="M87" s="1"/>
      <c r="N87" s="5">
        <f t="shared" ref="N87:N93" si="40">IF(H87=0,0,L87/H87)</f>
        <v>-1</v>
      </c>
      <c r="O87" s="13"/>
      <c r="P87" s="1">
        <f>SUM(OSRRefP22_4x_0)</f>
        <v>0</v>
      </c>
      <c r="Q87" s="1"/>
      <c r="R87" s="5">
        <f t="shared" ref="R87:R93" si="41">IF(P$12=0,0,P87/P$12)</f>
        <v>0</v>
      </c>
      <c r="S87" s="1"/>
      <c r="T87" s="1">
        <f>SUM(OSRRefT22_4x_0)</f>
        <v>400</v>
      </c>
      <c r="U87" s="1"/>
      <c r="V87" s="5">
        <f t="shared" ref="V87:V93" si="42">IF(T$12=0,0,T87/T$12)</f>
        <v>1.957417363955823E-4</v>
      </c>
      <c r="W87" s="1"/>
      <c r="X87" s="1">
        <f t="shared" ref="X87:X93" si="43">+P87-T87</f>
        <v>-400</v>
      </c>
      <c r="Y87" s="1"/>
      <c r="Z87" s="5">
        <f t="shared" ref="Z87:Z93" si="44">IF(T87=0,0,X87/T87)</f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7"/>
        <v>0</v>
      </c>
      <c r="G88" s="2"/>
      <c r="H88" s="6">
        <v>100</v>
      </c>
      <c r="I88" s="2"/>
      <c r="J88" s="7">
        <f t="shared" si="38"/>
        <v>2.7041644131963224E-3</v>
      </c>
      <c r="K88" s="2"/>
      <c r="L88" s="6">
        <f t="shared" si="39"/>
        <v>-100</v>
      </c>
      <c r="M88" s="2"/>
      <c r="N88" s="7">
        <f t="shared" si="40"/>
        <v>-1</v>
      </c>
      <c r="O88" s="11"/>
      <c r="P88" s="6"/>
      <c r="Q88" s="2"/>
      <c r="R88" s="7">
        <f t="shared" si="41"/>
        <v>0</v>
      </c>
      <c r="S88" s="2"/>
      <c r="T88" s="6">
        <v>400</v>
      </c>
      <c r="U88" s="2"/>
      <c r="V88" s="7">
        <f t="shared" si="42"/>
        <v>1.957417363955823E-4</v>
      </c>
      <c r="W88" s="2"/>
      <c r="X88" s="6">
        <f t="shared" si="43"/>
        <v>-400</v>
      </c>
      <c r="Y88" s="2"/>
      <c r="Z88" s="7">
        <f t="shared" si="44"/>
        <v>-1</v>
      </c>
    </row>
    <row r="89" spans="1:26" s="26" customFormat="1" outlineLevel="1" collapsed="1" x14ac:dyDescent="0.25">
      <c r="A89" s="25"/>
      <c r="B89" s="13" t="str">
        <f>CONCATENATE("     ","Equipment Rental                                  ")</f>
        <v xml:space="preserve">     Equipment Rental                                  </v>
      </c>
      <c r="C89" s="13"/>
      <c r="D89" s="1">
        <f>SUM(OSRRefD22_5x_0)</f>
        <v>182.52</v>
      </c>
      <c r="E89" s="1"/>
      <c r="F89" s="5">
        <f t="shared" si="37"/>
        <v>5.8072718803572187E-3</v>
      </c>
      <c r="G89" s="1"/>
      <c r="H89" s="1">
        <f>SUM(OSRRefH22_5x_0)</f>
        <v>100</v>
      </c>
      <c r="I89" s="1"/>
      <c r="J89" s="5">
        <f t="shared" si="38"/>
        <v>2.7041644131963224E-3</v>
      </c>
      <c r="K89" s="1"/>
      <c r="L89" s="1">
        <f t="shared" si="39"/>
        <v>82.52000000000001</v>
      </c>
      <c r="M89" s="1"/>
      <c r="N89" s="5">
        <f t="shared" si="40"/>
        <v>0.82520000000000016</v>
      </c>
      <c r="O89" s="13"/>
      <c r="P89" s="1">
        <f>SUM(OSRRefP22_5x_0)</f>
        <v>456.3</v>
      </c>
      <c r="Q89" s="1"/>
      <c r="R89" s="5">
        <f t="shared" si="41"/>
        <v>2.3267438245105863E-4</v>
      </c>
      <c r="S89" s="1"/>
      <c r="T89" s="1">
        <f>SUM(OSRRefT22_5x_0)</f>
        <v>400</v>
      </c>
      <c r="U89" s="1"/>
      <c r="V89" s="5">
        <f t="shared" si="42"/>
        <v>1.957417363955823E-4</v>
      </c>
      <c r="W89" s="1"/>
      <c r="X89" s="1">
        <f t="shared" si="43"/>
        <v>56.300000000000011</v>
      </c>
      <c r="Y89" s="1"/>
      <c r="Z89" s="5">
        <f t="shared" si="44"/>
        <v>0.14075000000000004</v>
      </c>
    </row>
    <row r="90" spans="1:26" s="24" customFormat="1" hidden="1" outlineLevel="2" x14ac:dyDescent="0.25">
      <c r="A90" s="27"/>
      <c r="B90" s="11" t="str">
        <f>CONCATENATE("          ", "6351", " - ", "EQUIPMENT RENTAL")</f>
        <v xml:space="preserve">          6351 - EQUIPMENT RENTAL</v>
      </c>
      <c r="C90" s="11"/>
      <c r="D90" s="6">
        <v>182.52</v>
      </c>
      <c r="E90" s="2"/>
      <c r="F90" s="7">
        <f t="shared" si="37"/>
        <v>5.8072718803572187E-3</v>
      </c>
      <c r="G90" s="2"/>
      <c r="H90" s="6">
        <v>100</v>
      </c>
      <c r="I90" s="2"/>
      <c r="J90" s="7">
        <f t="shared" si="38"/>
        <v>2.7041644131963224E-3</v>
      </c>
      <c r="K90" s="2"/>
      <c r="L90" s="6">
        <f t="shared" si="39"/>
        <v>82.52000000000001</v>
      </c>
      <c r="M90" s="2"/>
      <c r="N90" s="7">
        <f t="shared" si="40"/>
        <v>0.82520000000000016</v>
      </c>
      <c r="O90" s="11"/>
      <c r="P90" s="6">
        <v>456.3</v>
      </c>
      <c r="Q90" s="2"/>
      <c r="R90" s="7">
        <f t="shared" si="41"/>
        <v>2.3267438245105863E-4</v>
      </c>
      <c r="S90" s="2"/>
      <c r="T90" s="6">
        <v>400</v>
      </c>
      <c r="U90" s="2"/>
      <c r="V90" s="7">
        <f t="shared" si="42"/>
        <v>1.957417363955823E-4</v>
      </c>
      <c r="W90" s="2"/>
      <c r="X90" s="6">
        <f t="shared" si="43"/>
        <v>56.300000000000011</v>
      </c>
      <c r="Y90" s="2"/>
      <c r="Z90" s="7">
        <f t="shared" si="44"/>
        <v>0.14075000000000004</v>
      </c>
    </row>
    <row r="91" spans="1:26" s="26" customFormat="1" outlineLevel="1" collapsed="1" x14ac:dyDescent="0.25">
      <c r="A91" s="25"/>
      <c r="B91" s="13" t="str">
        <f>CONCATENATE("     ","Freight out/Postage                               ")</f>
        <v xml:space="preserve">     Freight out/Postage                               </v>
      </c>
      <c r="C91" s="13"/>
      <c r="D91" s="1">
        <f>SUM(OSRRefD22_6x_0)</f>
        <v>1312.76</v>
      </c>
      <c r="E91" s="1"/>
      <c r="F91" s="5">
        <f t="shared" si="37"/>
        <v>4.1768322560035841E-2</v>
      </c>
      <c r="G91" s="1"/>
      <c r="H91" s="1">
        <f>SUM(OSRRefH22_6x_0)</f>
        <v>3600</v>
      </c>
      <c r="I91" s="1"/>
      <c r="J91" s="5">
        <f t="shared" si="38"/>
        <v>9.7349918875067609E-2</v>
      </c>
      <c r="K91" s="1"/>
      <c r="L91" s="1">
        <f t="shared" si="39"/>
        <v>-2287.2399999999998</v>
      </c>
      <c r="M91" s="1"/>
      <c r="N91" s="5">
        <f t="shared" si="40"/>
        <v>-0.63534444444444438</v>
      </c>
      <c r="O91" s="13"/>
      <c r="P91" s="1">
        <f>SUM(OSRRefP22_6x_0)</f>
        <v>4115.17</v>
      </c>
      <c r="Q91" s="1"/>
      <c r="R91" s="5">
        <f t="shared" si="41"/>
        <v>2.0983884252270936E-3</v>
      </c>
      <c r="S91" s="1"/>
      <c r="T91" s="1">
        <f>SUM(OSRRefT22_6x_0)</f>
        <v>9300</v>
      </c>
      <c r="U91" s="1"/>
      <c r="V91" s="5">
        <f t="shared" si="42"/>
        <v>4.5509953711972886E-3</v>
      </c>
      <c r="W91" s="1"/>
      <c r="X91" s="1">
        <f t="shared" si="43"/>
        <v>-5184.83</v>
      </c>
      <c r="Y91" s="1"/>
      <c r="Z91" s="5">
        <f t="shared" si="44"/>
        <v>-0.55750860215053766</v>
      </c>
    </row>
    <row r="92" spans="1:26" s="24" customFormat="1" hidden="1" outlineLevel="2" x14ac:dyDescent="0.25">
      <c r="A92" s="27"/>
      <c r="B92" s="11" t="str">
        <f>CONCATENATE("          ", "6305", " - ", "FREIGHT OUT")</f>
        <v xml:space="preserve">          6305 - FREIGHT OUT</v>
      </c>
      <c r="C92" s="11"/>
      <c r="D92" s="6">
        <v>1312.76</v>
      </c>
      <c r="E92" s="2"/>
      <c r="F92" s="7">
        <f t="shared" si="37"/>
        <v>4.1768322560035841E-2</v>
      </c>
      <c r="G92" s="2"/>
      <c r="H92" s="6">
        <v>3600</v>
      </c>
      <c r="I92" s="2"/>
      <c r="J92" s="7">
        <f t="shared" si="38"/>
        <v>9.7349918875067609E-2</v>
      </c>
      <c r="K92" s="2"/>
      <c r="L92" s="6">
        <f t="shared" si="39"/>
        <v>-2287.2399999999998</v>
      </c>
      <c r="M92" s="2"/>
      <c r="N92" s="7">
        <f t="shared" si="40"/>
        <v>-0.63534444444444438</v>
      </c>
      <c r="O92" s="11"/>
      <c r="P92" s="6">
        <v>4114.67</v>
      </c>
      <c r="Q92" s="2"/>
      <c r="R92" s="7">
        <f t="shared" si="41"/>
        <v>2.0981334675430579E-3</v>
      </c>
      <c r="S92" s="2"/>
      <c r="T92" s="6">
        <v>9300</v>
      </c>
      <c r="U92" s="2"/>
      <c r="V92" s="7">
        <f t="shared" si="42"/>
        <v>4.5509953711972886E-3</v>
      </c>
      <c r="W92" s="2"/>
      <c r="X92" s="6">
        <f t="shared" si="43"/>
        <v>-5185.33</v>
      </c>
      <c r="Y92" s="2"/>
      <c r="Z92" s="7">
        <f t="shared" si="44"/>
        <v>-0.55756236559139782</v>
      </c>
    </row>
    <row r="93" spans="1:26" s="24" customFormat="1" hidden="1" outlineLevel="2" x14ac:dyDescent="0.25">
      <c r="A93" s="27"/>
      <c r="B93" s="11" t="str">
        <f>CONCATENATE("          ", "6307", " - ", "POSTAGE")</f>
        <v xml:space="preserve">          6307 - POSTAGE</v>
      </c>
      <c r="C93" s="11"/>
      <c r="D93" s="6"/>
      <c r="E93" s="2"/>
      <c r="F93" s="7">
        <f t="shared" si="37"/>
        <v>0</v>
      </c>
      <c r="G93" s="2"/>
      <c r="H93" s="6"/>
      <c r="I93" s="2"/>
      <c r="J93" s="7">
        <f t="shared" si="38"/>
        <v>0</v>
      </c>
      <c r="K93" s="2"/>
      <c r="L93" s="6">
        <f t="shared" si="39"/>
        <v>0</v>
      </c>
      <c r="M93" s="2"/>
      <c r="N93" s="7">
        <f t="shared" si="40"/>
        <v>0</v>
      </c>
      <c r="O93" s="11"/>
      <c r="P93" s="6">
        <v>0.5</v>
      </c>
      <c r="Q93" s="2"/>
      <c r="R93" s="7">
        <f t="shared" si="41"/>
        <v>2.5495768403578637E-7</v>
      </c>
      <c r="S93" s="2"/>
      <c r="T93" s="6"/>
      <c r="U93" s="2"/>
      <c r="V93" s="7">
        <f t="shared" si="42"/>
        <v>0</v>
      </c>
      <c r="W93" s="2"/>
      <c r="X93" s="6">
        <f t="shared" si="43"/>
        <v>0.5</v>
      </c>
      <c r="Y93" s="2"/>
      <c r="Z93" s="7">
        <f t="shared" si="44"/>
        <v>0</v>
      </c>
    </row>
    <row r="94" spans="1:26" s="26" customFormat="1" outlineLevel="1" collapsed="1" x14ac:dyDescent="0.25">
      <c r="A94" s="25"/>
      <c r="B94" s="13" t="str">
        <f>CONCATENATE("     ","General                                           ")</f>
        <v xml:space="preserve">     General                                           </v>
      </c>
      <c r="C94" s="13"/>
      <c r="D94" s="1">
        <f>SUM(OSRRefD22_7x_0)</f>
        <v>0</v>
      </c>
      <c r="E94" s="1"/>
      <c r="F94" s="5">
        <f t="shared" ref="F94:F100" si="45">IF(D$12=0,0,D94/D$12)</f>
        <v>0</v>
      </c>
      <c r="G94" s="1"/>
      <c r="H94" s="1">
        <f>SUM(OSRRefH22_7x_0)</f>
        <v>0</v>
      </c>
      <c r="I94" s="1"/>
      <c r="J94" s="5">
        <f t="shared" ref="J94:J100" si="46">IF(H$12=0,0,H94/H$12)</f>
        <v>0</v>
      </c>
      <c r="K94" s="1"/>
      <c r="L94" s="1">
        <f t="shared" ref="L94:L100" si="47">+D94-H94</f>
        <v>0</v>
      </c>
      <c r="M94" s="1"/>
      <c r="N94" s="5">
        <f t="shared" ref="N94:N100" si="48">IF(H94=0,0,L94/H94)</f>
        <v>0</v>
      </c>
      <c r="O94" s="13"/>
      <c r="P94" s="1">
        <f>SUM(OSRRefP22_7x_0)</f>
        <v>-1492.16</v>
      </c>
      <c r="Q94" s="1"/>
      <c r="R94" s="5">
        <f t="shared" ref="R94:R100" si="49">IF(P$12=0,0,P94/P$12)</f>
        <v>-7.6087531562167793E-4</v>
      </c>
      <c r="S94" s="1"/>
      <c r="T94" s="1">
        <f>SUM(OSRRefT22_7x_0)</f>
        <v>0</v>
      </c>
      <c r="U94" s="1"/>
      <c r="V94" s="5">
        <f t="shared" ref="V94:V100" si="50">IF(T$12=0,0,T94/T$12)</f>
        <v>0</v>
      </c>
      <c r="W94" s="1"/>
      <c r="X94" s="1">
        <f t="shared" ref="X94:X100" si="51">+P94-T94</f>
        <v>-1492.16</v>
      </c>
      <c r="Y94" s="1"/>
      <c r="Z94" s="5">
        <f t="shared" ref="Z94:Z100" si="52">IF(T94=0,0,X94/T94)</f>
        <v>0</v>
      </c>
    </row>
    <row r="95" spans="1:26" s="24" customFormat="1" hidden="1" outlineLevel="2" x14ac:dyDescent="0.25">
      <c r="A95" s="27"/>
      <c r="B95" s="11" t="str">
        <f>CONCATENATE("          ", "6279", " - ", "GENERAL EXPENSE")</f>
        <v xml:space="preserve">          6279 - GENERAL EXPENSE</v>
      </c>
      <c r="C95" s="11"/>
      <c r="D95" s="6"/>
      <c r="E95" s="2"/>
      <c r="F95" s="7">
        <f t="shared" si="45"/>
        <v>0</v>
      </c>
      <c r="G95" s="2"/>
      <c r="H95" s="6"/>
      <c r="I95" s="2"/>
      <c r="J95" s="7">
        <f t="shared" si="46"/>
        <v>0</v>
      </c>
      <c r="K95" s="2"/>
      <c r="L95" s="6">
        <f t="shared" si="47"/>
        <v>0</v>
      </c>
      <c r="M95" s="2"/>
      <c r="N95" s="7">
        <f t="shared" si="48"/>
        <v>0</v>
      </c>
      <c r="O95" s="11"/>
      <c r="P95" s="6">
        <v>-1492.16</v>
      </c>
      <c r="Q95" s="2"/>
      <c r="R95" s="7">
        <f t="shared" si="49"/>
        <v>-7.6087531562167793E-4</v>
      </c>
      <c r="S95" s="2"/>
      <c r="T95" s="6"/>
      <c r="U95" s="2"/>
      <c r="V95" s="7">
        <f t="shared" si="50"/>
        <v>0</v>
      </c>
      <c r="W95" s="2"/>
      <c r="X95" s="6">
        <f t="shared" si="51"/>
        <v>-1492.16</v>
      </c>
      <c r="Y95" s="2"/>
      <c r="Z95" s="7">
        <f t="shared" si="52"/>
        <v>0</v>
      </c>
    </row>
    <row r="96" spans="1:26" s="26" customFormat="1" outlineLevel="1" collapsed="1" x14ac:dyDescent="0.25">
      <c r="A96" s="25"/>
      <c r="B96" s="13" t="str">
        <f>CONCATENATE("     ","Inventory Adjustment                              ")</f>
        <v xml:space="preserve">     Inventory Adjustment                              </v>
      </c>
      <c r="C96" s="13"/>
      <c r="D96" s="1">
        <f>SUM(OSRRefD22_8x_0)</f>
        <v>1000</v>
      </c>
      <c r="E96" s="1"/>
      <c r="F96" s="5">
        <f t="shared" si="45"/>
        <v>3.181718102321509E-2</v>
      </c>
      <c r="G96" s="1"/>
      <c r="H96" s="1">
        <f>SUM(OSRRefH22_8x_0)</f>
        <v>1000</v>
      </c>
      <c r="I96" s="1"/>
      <c r="J96" s="5">
        <f t="shared" si="46"/>
        <v>2.7041644131963222E-2</v>
      </c>
      <c r="K96" s="1"/>
      <c r="L96" s="1">
        <f t="shared" si="47"/>
        <v>0</v>
      </c>
      <c r="M96" s="1"/>
      <c r="N96" s="5">
        <f t="shared" si="48"/>
        <v>0</v>
      </c>
      <c r="O96" s="13"/>
      <c r="P96" s="1">
        <f>SUM(OSRRefP22_8x_0)</f>
        <v>4000</v>
      </c>
      <c r="Q96" s="1"/>
      <c r="R96" s="5">
        <f t="shared" si="49"/>
        <v>2.0396614722862907E-3</v>
      </c>
      <c r="S96" s="1"/>
      <c r="T96" s="1">
        <f>SUM(OSRRefT22_8x_0)</f>
        <v>4000</v>
      </c>
      <c r="U96" s="1"/>
      <c r="V96" s="5">
        <f t="shared" si="50"/>
        <v>1.9574173639558229E-3</v>
      </c>
      <c r="W96" s="1"/>
      <c r="X96" s="1">
        <f t="shared" si="51"/>
        <v>0</v>
      </c>
      <c r="Y96" s="1"/>
      <c r="Z96" s="5">
        <f t="shared" si="52"/>
        <v>0</v>
      </c>
    </row>
    <row r="97" spans="1:26" s="24" customFormat="1" hidden="1" outlineLevel="2" x14ac:dyDescent="0.25">
      <c r="A97" s="27"/>
      <c r="B97" s="11" t="str">
        <f>CONCATENATE("          ", "6408", " - ", "INVENTORY ADJUSTMENT")</f>
        <v xml:space="preserve">          6408 - INVENTORY ADJUSTMENT</v>
      </c>
      <c r="C97" s="11"/>
      <c r="D97" s="6">
        <v>1000</v>
      </c>
      <c r="E97" s="2"/>
      <c r="F97" s="7">
        <f t="shared" si="45"/>
        <v>3.181718102321509E-2</v>
      </c>
      <c r="G97" s="2"/>
      <c r="H97" s="6">
        <v>1000</v>
      </c>
      <c r="I97" s="2"/>
      <c r="J97" s="7">
        <f t="shared" si="46"/>
        <v>2.7041644131963222E-2</v>
      </c>
      <c r="K97" s="2"/>
      <c r="L97" s="6">
        <f t="shared" si="47"/>
        <v>0</v>
      </c>
      <c r="M97" s="2"/>
      <c r="N97" s="7">
        <f t="shared" si="48"/>
        <v>0</v>
      </c>
      <c r="O97" s="11"/>
      <c r="P97" s="6">
        <v>4000</v>
      </c>
      <c r="Q97" s="2"/>
      <c r="R97" s="7">
        <f t="shared" si="49"/>
        <v>2.0396614722862907E-3</v>
      </c>
      <c r="S97" s="2"/>
      <c r="T97" s="6">
        <v>4000</v>
      </c>
      <c r="U97" s="2"/>
      <c r="V97" s="7">
        <f t="shared" si="50"/>
        <v>1.9574173639558229E-3</v>
      </c>
      <c r="W97" s="2"/>
      <c r="X97" s="6">
        <f t="shared" si="51"/>
        <v>0</v>
      </c>
      <c r="Y97" s="2"/>
      <c r="Z97" s="7">
        <f t="shared" si="52"/>
        <v>0</v>
      </c>
    </row>
    <row r="98" spans="1:26" s="26" customFormat="1" outlineLevel="1" collapsed="1" x14ac:dyDescent="0.25">
      <c r="A98" s="25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SUM(OSRRefD22_9x_0)</f>
        <v>27.74</v>
      </c>
      <c r="E98" s="1"/>
      <c r="F98" s="5">
        <f t="shared" si="45"/>
        <v>8.8260860158398651E-4</v>
      </c>
      <c r="G98" s="1"/>
      <c r="H98" s="1">
        <f>SUM(OSRRefH22_9x_0)</f>
        <v>140</v>
      </c>
      <c r="I98" s="1"/>
      <c r="J98" s="5">
        <f t="shared" si="46"/>
        <v>3.7858301784748512E-3</v>
      </c>
      <c r="K98" s="1"/>
      <c r="L98" s="1">
        <f t="shared" si="47"/>
        <v>-112.26</v>
      </c>
      <c r="M98" s="1"/>
      <c r="N98" s="5">
        <f t="shared" si="48"/>
        <v>-0.80185714285714293</v>
      </c>
      <c r="O98" s="13"/>
      <c r="P98" s="1">
        <f>SUM(OSRRefP22_9x_0)</f>
        <v>97.94</v>
      </c>
      <c r="Q98" s="1"/>
      <c r="R98" s="5">
        <f t="shared" si="49"/>
        <v>4.9941111148929824E-5</v>
      </c>
      <c r="S98" s="1"/>
      <c r="T98" s="1">
        <f>SUM(OSRRefT22_9x_0)</f>
        <v>560</v>
      </c>
      <c r="U98" s="1"/>
      <c r="V98" s="5">
        <f t="shared" si="50"/>
        <v>2.7403843095381522E-4</v>
      </c>
      <c r="W98" s="1"/>
      <c r="X98" s="1">
        <f t="shared" si="51"/>
        <v>-462.06</v>
      </c>
      <c r="Y98" s="1"/>
      <c r="Z98" s="5">
        <f t="shared" si="52"/>
        <v>-0.82510714285714282</v>
      </c>
    </row>
    <row r="99" spans="1:26" s="24" customFormat="1" hidden="1" outlineLevel="2" x14ac:dyDescent="0.25">
      <c r="A99" s="27"/>
      <c r="B99" s="11" t="str">
        <f>CONCATENATE("          ", "6373", " - ", "MAINTENANCE CONTRACTS")</f>
        <v xml:space="preserve">          6373 - MAINTENANCE CONTRACTS</v>
      </c>
      <c r="C99" s="11"/>
      <c r="D99" s="6">
        <v>27.74</v>
      </c>
      <c r="E99" s="2"/>
      <c r="F99" s="7">
        <f t="shared" si="45"/>
        <v>8.8260860158398651E-4</v>
      </c>
      <c r="G99" s="2"/>
      <c r="H99" s="6">
        <v>40</v>
      </c>
      <c r="I99" s="2"/>
      <c r="J99" s="7">
        <f t="shared" si="46"/>
        <v>1.081665765278529E-3</v>
      </c>
      <c r="K99" s="2"/>
      <c r="L99" s="6">
        <f t="shared" si="47"/>
        <v>-12.260000000000002</v>
      </c>
      <c r="M99" s="2"/>
      <c r="N99" s="7">
        <f t="shared" si="48"/>
        <v>-0.30650000000000005</v>
      </c>
      <c r="O99" s="11"/>
      <c r="P99" s="6">
        <v>97.94</v>
      </c>
      <c r="Q99" s="2"/>
      <c r="R99" s="7">
        <f t="shared" si="49"/>
        <v>4.9941111148929824E-5</v>
      </c>
      <c r="S99" s="2"/>
      <c r="T99" s="6">
        <v>160</v>
      </c>
      <c r="U99" s="2"/>
      <c r="V99" s="7">
        <f t="shared" si="50"/>
        <v>7.8296694558232919E-5</v>
      </c>
      <c r="W99" s="2"/>
      <c r="X99" s="6">
        <f t="shared" si="51"/>
        <v>-62.06</v>
      </c>
      <c r="Y99" s="2"/>
      <c r="Z99" s="7">
        <f t="shared" si="52"/>
        <v>-0.38787500000000003</v>
      </c>
    </row>
    <row r="100" spans="1:26" s="24" customFormat="1" hidden="1" outlineLevel="2" x14ac:dyDescent="0.25">
      <c r="A100" s="27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45"/>
        <v>0</v>
      </c>
      <c r="G100" s="2"/>
      <c r="H100" s="6">
        <v>100</v>
      </c>
      <c r="I100" s="2"/>
      <c r="J100" s="7">
        <f t="shared" si="46"/>
        <v>2.7041644131963224E-3</v>
      </c>
      <c r="K100" s="2"/>
      <c r="L100" s="6">
        <f t="shared" si="47"/>
        <v>-100</v>
      </c>
      <c r="M100" s="2"/>
      <c r="N100" s="7">
        <f t="shared" si="48"/>
        <v>-1</v>
      </c>
      <c r="O100" s="11"/>
      <c r="P100" s="6"/>
      <c r="Q100" s="2"/>
      <c r="R100" s="7">
        <f t="shared" si="49"/>
        <v>0</v>
      </c>
      <c r="S100" s="2"/>
      <c r="T100" s="6">
        <v>400</v>
      </c>
      <c r="U100" s="2"/>
      <c r="V100" s="7">
        <f t="shared" si="50"/>
        <v>1.957417363955823E-4</v>
      </c>
      <c r="W100" s="2"/>
      <c r="X100" s="6">
        <f t="shared" si="51"/>
        <v>-400</v>
      </c>
      <c r="Y100" s="2"/>
      <c r="Z100" s="7">
        <f t="shared" si="52"/>
        <v>-1</v>
      </c>
    </row>
    <row r="101" spans="1:26" s="26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SUM(OSRRefD22_10x_0)</f>
        <v>268.55</v>
      </c>
      <c r="E101" s="1"/>
      <c r="F101" s="5">
        <f t="shared" ref="F101:F106" si="53">IF(D$12=0,0,D101/D$12)</f>
        <v>8.5445039637844136E-3</v>
      </c>
      <c r="G101" s="1"/>
      <c r="H101" s="1">
        <f>SUM(OSRRefH22_10x_0)</f>
        <v>600</v>
      </c>
      <c r="I101" s="1"/>
      <c r="J101" s="5">
        <f t="shared" ref="J101:J106" si="54">IF(H$12=0,0,H101/H$12)</f>
        <v>1.6224986479177934E-2</v>
      </c>
      <c r="K101" s="1"/>
      <c r="L101" s="1">
        <f t="shared" ref="L101:L106" si="55">+D101-H101</f>
        <v>-331.45</v>
      </c>
      <c r="M101" s="1"/>
      <c r="N101" s="5">
        <f t="shared" ref="N101:N106" si="56">IF(H101=0,0,L101/H101)</f>
        <v>-0.55241666666666667</v>
      </c>
      <c r="O101" s="13"/>
      <c r="P101" s="1">
        <f>SUM(OSRRefP22_10x_0)</f>
        <v>1057.4000000000001</v>
      </c>
      <c r="Q101" s="1"/>
      <c r="R101" s="5">
        <f t="shared" ref="R101:R106" si="57">IF(P$12=0,0,P101/P$12)</f>
        <v>5.3918451019888103E-4</v>
      </c>
      <c r="S101" s="1"/>
      <c r="T101" s="1">
        <f>SUM(OSRRefT22_10x_0)</f>
        <v>1500</v>
      </c>
      <c r="U101" s="1"/>
      <c r="V101" s="5">
        <f t="shared" ref="V101:V106" si="58">IF(T$12=0,0,T101/T$12)</f>
        <v>7.3403151148343363E-4</v>
      </c>
      <c r="W101" s="1"/>
      <c r="X101" s="1">
        <f t="shared" ref="X101:X106" si="59">+P101-T101</f>
        <v>-442.59999999999991</v>
      </c>
      <c r="Y101" s="1"/>
      <c r="Z101" s="5">
        <f t="shared" ref="Z101:Z106" si="60">IF(T101=0,0,X101/T101)</f>
        <v>-0.29506666666666659</v>
      </c>
    </row>
    <row r="102" spans="1:26" s="24" customFormat="1" hidden="1" outlineLevel="2" x14ac:dyDescent="0.25">
      <c r="A102" s="27"/>
      <c r="B102" s="11" t="str">
        <f>CONCATENATE("          ", "6258", " - ", "MEMBERSHIP DUES")</f>
        <v xml:space="preserve">          6258 - MEMBERSHIP DUES</v>
      </c>
      <c r="C102" s="11"/>
      <c r="D102" s="6">
        <v>268.55</v>
      </c>
      <c r="E102" s="2"/>
      <c r="F102" s="7">
        <f t="shared" si="53"/>
        <v>8.5445039637844136E-3</v>
      </c>
      <c r="G102" s="2"/>
      <c r="H102" s="6">
        <v>600</v>
      </c>
      <c r="I102" s="2"/>
      <c r="J102" s="7">
        <f t="shared" si="54"/>
        <v>1.6224986479177934E-2</v>
      </c>
      <c r="K102" s="2"/>
      <c r="L102" s="6">
        <f t="shared" si="55"/>
        <v>-331.45</v>
      </c>
      <c r="M102" s="2"/>
      <c r="N102" s="7">
        <f t="shared" si="56"/>
        <v>-0.55241666666666667</v>
      </c>
      <c r="O102" s="11"/>
      <c r="P102" s="6">
        <v>1057.4000000000001</v>
      </c>
      <c r="Q102" s="2"/>
      <c r="R102" s="7">
        <f t="shared" si="57"/>
        <v>5.3918451019888103E-4</v>
      </c>
      <c r="S102" s="2"/>
      <c r="T102" s="6">
        <v>1500</v>
      </c>
      <c r="U102" s="2"/>
      <c r="V102" s="7">
        <f t="shared" si="58"/>
        <v>7.3403151148343363E-4</v>
      </c>
      <c r="W102" s="2"/>
      <c r="X102" s="6">
        <f t="shared" si="59"/>
        <v>-442.59999999999991</v>
      </c>
      <c r="Y102" s="2"/>
      <c r="Z102" s="7">
        <f t="shared" si="60"/>
        <v>-0.29506666666666659</v>
      </c>
    </row>
    <row r="103" spans="1:26" s="26" customFormat="1" outlineLevel="1" collapsed="1" x14ac:dyDescent="0.25">
      <c r="A103" s="25"/>
      <c r="B103" s="13" t="str">
        <f>CONCATENATE("     ","Supplies                                          ")</f>
        <v xml:space="preserve">     Supplies                                          </v>
      </c>
      <c r="C103" s="13"/>
      <c r="D103" s="1">
        <f>SUM(OSRRefD22_11x_0)</f>
        <v>1787.4099999999999</v>
      </c>
      <c r="E103" s="1"/>
      <c r="F103" s="5">
        <f t="shared" si="53"/>
        <v>5.6870347532704882E-2</v>
      </c>
      <c r="G103" s="1"/>
      <c r="H103" s="1">
        <f>SUM(OSRRefH22_11x_0)</f>
        <v>1100</v>
      </c>
      <c r="I103" s="1"/>
      <c r="J103" s="5">
        <f t="shared" si="54"/>
        <v>2.9745808545159545E-2</v>
      </c>
      <c r="K103" s="1"/>
      <c r="L103" s="1">
        <f t="shared" si="55"/>
        <v>687.40999999999985</v>
      </c>
      <c r="M103" s="1"/>
      <c r="N103" s="5">
        <f t="shared" si="56"/>
        <v>0.62491818181818171</v>
      </c>
      <c r="O103" s="13"/>
      <c r="P103" s="1">
        <f>SUM(OSRRefP22_11x_0)</f>
        <v>9136.5499999999993</v>
      </c>
      <c r="Q103" s="1"/>
      <c r="R103" s="5">
        <f t="shared" si="57"/>
        <v>4.6588672561543266E-3</v>
      </c>
      <c r="S103" s="1"/>
      <c r="T103" s="1">
        <f>SUM(OSRRefT22_11x_0)</f>
        <v>6950</v>
      </c>
      <c r="U103" s="1"/>
      <c r="V103" s="5">
        <f t="shared" si="58"/>
        <v>3.4010126698732425E-3</v>
      </c>
      <c r="W103" s="1"/>
      <c r="X103" s="1">
        <f t="shared" si="59"/>
        <v>2186.5499999999993</v>
      </c>
      <c r="Y103" s="1"/>
      <c r="Z103" s="5">
        <f t="shared" si="60"/>
        <v>0.31461151079136679</v>
      </c>
    </row>
    <row r="104" spans="1:26" s="24" customFormat="1" hidden="1" outlineLevel="2" x14ac:dyDescent="0.25">
      <c r="A104" s="27"/>
      <c r="B104" s="11" t="str">
        <f>CONCATENATE("          ", "6241", " - ", "OFFICE EXPENSE")</f>
        <v xml:space="preserve">          6241 - OFFICE EXPENSE</v>
      </c>
      <c r="C104" s="11"/>
      <c r="D104" s="6">
        <v>959.61</v>
      </c>
      <c r="E104" s="2"/>
      <c r="F104" s="7">
        <f t="shared" si="53"/>
        <v>3.0532085081687432E-2</v>
      </c>
      <c r="G104" s="2"/>
      <c r="H104" s="6">
        <v>800</v>
      </c>
      <c r="I104" s="2"/>
      <c r="J104" s="7">
        <f t="shared" si="54"/>
        <v>2.1633315305570579E-2</v>
      </c>
      <c r="K104" s="2"/>
      <c r="L104" s="6">
        <f t="shared" si="55"/>
        <v>159.61000000000001</v>
      </c>
      <c r="M104" s="2"/>
      <c r="N104" s="7">
        <f t="shared" si="56"/>
        <v>0.19951250000000001</v>
      </c>
      <c r="O104" s="11"/>
      <c r="P104" s="6">
        <v>3297.43</v>
      </c>
      <c r="Q104" s="2"/>
      <c r="R104" s="7">
        <f t="shared" si="57"/>
        <v>1.6814102321402458E-3</v>
      </c>
      <c r="S104" s="2"/>
      <c r="T104" s="6">
        <v>1350</v>
      </c>
      <c r="U104" s="2"/>
      <c r="V104" s="7">
        <f t="shared" si="58"/>
        <v>6.6062836033509023E-4</v>
      </c>
      <c r="W104" s="2"/>
      <c r="X104" s="6">
        <f t="shared" si="59"/>
        <v>1947.4299999999998</v>
      </c>
      <c r="Y104" s="2"/>
      <c r="Z104" s="7">
        <f t="shared" si="60"/>
        <v>1.4425407407407407</v>
      </c>
    </row>
    <row r="105" spans="1:26" s="24" customFormat="1" hidden="1" outlineLevel="2" x14ac:dyDescent="0.25">
      <c r="A105" s="27"/>
      <c r="B105" s="11" t="str">
        <f>CONCATENATE("          ", "6245", " - ", "PRINTING")</f>
        <v xml:space="preserve">          6245 - PRINTING</v>
      </c>
      <c r="C105" s="11"/>
      <c r="D105" s="6"/>
      <c r="E105" s="2"/>
      <c r="F105" s="7">
        <f t="shared" si="53"/>
        <v>0</v>
      </c>
      <c r="G105" s="2"/>
      <c r="H105" s="6">
        <v>100</v>
      </c>
      <c r="I105" s="2"/>
      <c r="J105" s="7">
        <f t="shared" si="54"/>
        <v>2.7041644131963224E-3</v>
      </c>
      <c r="K105" s="2"/>
      <c r="L105" s="6">
        <f t="shared" si="55"/>
        <v>-100</v>
      </c>
      <c r="M105" s="2"/>
      <c r="N105" s="7">
        <f t="shared" si="56"/>
        <v>-1</v>
      </c>
      <c r="O105" s="11"/>
      <c r="P105" s="6">
        <v>4978.08</v>
      </c>
      <c r="Q105" s="2"/>
      <c r="R105" s="7">
        <f t="shared" si="57"/>
        <v>2.5383994954897345E-3</v>
      </c>
      <c r="S105" s="2"/>
      <c r="T105" s="6">
        <v>800</v>
      </c>
      <c r="U105" s="2"/>
      <c r="V105" s="7">
        <f t="shared" si="58"/>
        <v>3.914834727911646E-4</v>
      </c>
      <c r="W105" s="2"/>
      <c r="X105" s="6">
        <f t="shared" si="59"/>
        <v>4178.08</v>
      </c>
      <c r="Y105" s="2"/>
      <c r="Z105" s="7">
        <f t="shared" si="60"/>
        <v>5.2225999999999999</v>
      </c>
    </row>
    <row r="106" spans="1:26" s="24" customFormat="1" hidden="1" outlineLevel="2" x14ac:dyDescent="0.25">
      <c r="A106" s="27"/>
      <c r="B106" s="11" t="str">
        <f>CONCATENATE("          ", "6247", " - ", "STORE SUPPLIES")</f>
        <v xml:space="preserve">          6247 - STORE SUPPLIES</v>
      </c>
      <c r="C106" s="11"/>
      <c r="D106" s="6">
        <v>827.8</v>
      </c>
      <c r="E106" s="2"/>
      <c r="F106" s="7">
        <f t="shared" si="53"/>
        <v>2.633826245101745E-2</v>
      </c>
      <c r="G106" s="2"/>
      <c r="H106" s="6">
        <v>200</v>
      </c>
      <c r="I106" s="2"/>
      <c r="J106" s="7">
        <f t="shared" si="54"/>
        <v>5.4083288263926449E-3</v>
      </c>
      <c r="K106" s="2"/>
      <c r="L106" s="6">
        <f t="shared" si="55"/>
        <v>627.79999999999995</v>
      </c>
      <c r="M106" s="2"/>
      <c r="N106" s="7">
        <f t="shared" si="56"/>
        <v>3.1389999999999998</v>
      </c>
      <c r="O106" s="11"/>
      <c r="P106" s="6">
        <v>861.04</v>
      </c>
      <c r="Q106" s="2"/>
      <c r="R106" s="7">
        <f t="shared" si="57"/>
        <v>4.3905752852434692E-4</v>
      </c>
      <c r="S106" s="2"/>
      <c r="T106" s="6">
        <v>4800</v>
      </c>
      <c r="U106" s="2"/>
      <c r="V106" s="7">
        <f t="shared" si="58"/>
        <v>2.3489008367469878E-3</v>
      </c>
      <c r="W106" s="2"/>
      <c r="X106" s="6">
        <f t="shared" si="59"/>
        <v>-3938.96</v>
      </c>
      <c r="Y106" s="2"/>
      <c r="Z106" s="7">
        <f t="shared" si="60"/>
        <v>-0.82061666666666666</v>
      </c>
    </row>
    <row r="107" spans="1:26" s="26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SUM(OSRRefD22_12x_0)</f>
        <v>-300.89999999999998</v>
      </c>
      <c r="E107" s="1"/>
      <c r="F107" s="5">
        <f t="shared" ref="F107:F109" si="61">IF(D$12=0,0,D107/D$12)</f>
        <v>-9.5737897698854203E-3</v>
      </c>
      <c r="G107" s="1"/>
      <c r="H107" s="1">
        <f>SUM(OSRRefH22_12x_0)</f>
        <v>600</v>
      </c>
      <c r="I107" s="1"/>
      <c r="J107" s="5">
        <f t="shared" ref="J107:J109" si="62">IF(H$12=0,0,H107/H$12)</f>
        <v>1.6224986479177934E-2</v>
      </c>
      <c r="K107" s="1"/>
      <c r="L107" s="1">
        <f t="shared" ref="L107:L109" si="63">+D107-H107</f>
        <v>-900.9</v>
      </c>
      <c r="M107" s="1"/>
      <c r="N107" s="5">
        <f t="shared" ref="N107:N109" si="64">IF(H107=0,0,L107/H107)</f>
        <v>-1.5015000000000001</v>
      </c>
      <c r="O107" s="13"/>
      <c r="P107" s="1">
        <f>SUM(OSRRefP22_12x_0)</f>
        <v>3098.6</v>
      </c>
      <c r="Q107" s="1"/>
      <c r="R107" s="5">
        <f t="shared" ref="R107:R109" si="65">IF(P$12=0,0,P107/P$12)</f>
        <v>1.5800237595065751E-3</v>
      </c>
      <c r="S107" s="1"/>
      <c r="T107" s="1">
        <f>SUM(OSRRefT22_12x_0)</f>
        <v>3900</v>
      </c>
      <c r="U107" s="1"/>
      <c r="V107" s="5">
        <f t="shared" ref="V107:V109" si="66">IF(T$12=0,0,T107/T$12)</f>
        <v>1.9084819298569274E-3</v>
      </c>
      <c r="W107" s="1"/>
      <c r="X107" s="1">
        <f t="shared" ref="X107:X109" si="67">+P107-T107</f>
        <v>-801.40000000000009</v>
      </c>
      <c r="Y107" s="1"/>
      <c r="Z107" s="5">
        <f t="shared" ref="Z107:Z109" si="68">IF(T107=0,0,X107/T107)</f>
        <v>-0.20548717948717951</v>
      </c>
    </row>
    <row r="108" spans="1:26" s="24" customFormat="1" hidden="1" outlineLevel="2" x14ac:dyDescent="0.25">
      <c r="A108" s="27"/>
      <c r="B108" s="11" t="str">
        <f>CONCATENATE("          ", "6303", " - ", "DATA PHONE LINES")</f>
        <v xml:space="preserve">          6303 - DATA PHONE LINES</v>
      </c>
      <c r="C108" s="11"/>
      <c r="D108" s="6">
        <v>295</v>
      </c>
      <c r="E108" s="2"/>
      <c r="F108" s="7">
        <f t="shared" si="61"/>
        <v>9.3860684018484512E-3</v>
      </c>
      <c r="G108" s="2"/>
      <c r="H108" s="6">
        <v>300</v>
      </c>
      <c r="I108" s="2"/>
      <c r="J108" s="7">
        <f t="shared" si="62"/>
        <v>8.1124932395889669E-3</v>
      </c>
      <c r="K108" s="2"/>
      <c r="L108" s="6">
        <f t="shared" si="63"/>
        <v>-5</v>
      </c>
      <c r="M108" s="2"/>
      <c r="N108" s="7">
        <f t="shared" si="64"/>
        <v>-1.6666666666666666E-2</v>
      </c>
      <c r="O108" s="11"/>
      <c r="P108" s="6">
        <v>1180</v>
      </c>
      <c r="Q108" s="2"/>
      <c r="R108" s="7">
        <f t="shared" si="65"/>
        <v>6.0170013432445579E-4</v>
      </c>
      <c r="S108" s="2"/>
      <c r="T108" s="6">
        <v>1200</v>
      </c>
      <c r="U108" s="2"/>
      <c r="V108" s="7">
        <f t="shared" si="66"/>
        <v>5.8722520918674695E-4</v>
      </c>
      <c r="W108" s="2"/>
      <c r="X108" s="6">
        <f t="shared" si="67"/>
        <v>-20</v>
      </c>
      <c r="Y108" s="2"/>
      <c r="Z108" s="7">
        <f t="shared" si="68"/>
        <v>-1.6666666666666666E-2</v>
      </c>
    </row>
    <row r="109" spans="1:26" s="24" customFormat="1" hidden="1" outlineLevel="2" x14ac:dyDescent="0.25">
      <c r="A109" s="27"/>
      <c r="B109" s="11" t="str">
        <f>CONCATENATE("          ", "6309", " - ", "TELEPHONE")</f>
        <v xml:space="preserve">          6309 - TELEPHONE</v>
      </c>
      <c r="C109" s="11"/>
      <c r="D109" s="6">
        <v>-595.9</v>
      </c>
      <c r="E109" s="2"/>
      <c r="F109" s="7">
        <f t="shared" si="61"/>
        <v>-1.8959858171733873E-2</v>
      </c>
      <c r="G109" s="2"/>
      <c r="H109" s="6">
        <v>300</v>
      </c>
      <c r="I109" s="2"/>
      <c r="J109" s="7">
        <f t="shared" si="62"/>
        <v>8.1124932395889669E-3</v>
      </c>
      <c r="K109" s="2"/>
      <c r="L109" s="6">
        <f t="shared" si="63"/>
        <v>-895.9</v>
      </c>
      <c r="M109" s="2"/>
      <c r="N109" s="7">
        <f t="shared" si="64"/>
        <v>-2.9863333333333331</v>
      </c>
      <c r="O109" s="11"/>
      <c r="P109" s="6">
        <v>1918.6</v>
      </c>
      <c r="Q109" s="2"/>
      <c r="R109" s="7">
        <f t="shared" si="65"/>
        <v>9.7832362518211931E-4</v>
      </c>
      <c r="S109" s="2"/>
      <c r="T109" s="6">
        <v>2700</v>
      </c>
      <c r="U109" s="2"/>
      <c r="V109" s="7">
        <f t="shared" si="66"/>
        <v>1.3212567206701805E-3</v>
      </c>
      <c r="W109" s="2"/>
      <c r="X109" s="6">
        <f t="shared" si="67"/>
        <v>-781.40000000000009</v>
      </c>
      <c r="Y109" s="2"/>
      <c r="Z109" s="7">
        <f t="shared" si="68"/>
        <v>-0.28940740740740745</v>
      </c>
    </row>
    <row r="110" spans="1:26" s="26" customFormat="1" outlineLevel="1" collapsed="1" x14ac:dyDescent="0.25">
      <c r="A110" s="25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SUM(OSRRefD22_13x_0)</f>
        <v>0</v>
      </c>
      <c r="E110" s="1"/>
      <c r="F110" s="5">
        <f t="shared" ref="F110:F114" si="69">IF(D$12=0,0,D110/D$12)</f>
        <v>0</v>
      </c>
      <c r="G110" s="1"/>
      <c r="H110" s="1">
        <f>SUM(OSRRefH22_13x_0)</f>
        <v>500</v>
      </c>
      <c r="I110" s="1"/>
      <c r="J110" s="5">
        <f t="shared" ref="J110:J114" si="70">IF(H$12=0,0,H110/H$12)</f>
        <v>1.3520822065981611E-2</v>
      </c>
      <c r="K110" s="1"/>
      <c r="L110" s="1">
        <f t="shared" ref="L110:L114" si="71">+D110-H110</f>
        <v>-500</v>
      </c>
      <c r="M110" s="1"/>
      <c r="N110" s="5">
        <f t="shared" ref="N110:N114" si="72">IF(H110=0,0,L110/H110)</f>
        <v>-1</v>
      </c>
      <c r="O110" s="13"/>
      <c r="P110" s="1">
        <f>SUM(OSRRefP22_13x_0)</f>
        <v>547.47</v>
      </c>
      <c r="Q110" s="1"/>
      <c r="R110" s="5">
        <f t="shared" ref="R110:R114" si="73">IF(P$12=0,0,P110/P$12)</f>
        <v>2.7916336655814389E-4</v>
      </c>
      <c r="S110" s="1"/>
      <c r="T110" s="1">
        <f>SUM(OSRRefT22_13x_0)</f>
        <v>800</v>
      </c>
      <c r="U110" s="1"/>
      <c r="V110" s="5">
        <f t="shared" ref="V110:V114" si="74">IF(T$12=0,0,T110/T$12)</f>
        <v>3.914834727911646E-4</v>
      </c>
      <c r="W110" s="1"/>
      <c r="X110" s="1">
        <f t="shared" ref="X110:X114" si="75">+P110-T110</f>
        <v>-252.52999999999997</v>
      </c>
      <c r="Y110" s="1"/>
      <c r="Z110" s="5">
        <f t="shared" ref="Z110:Z114" si="76">IF(T110=0,0,X110/T110)</f>
        <v>-0.31566249999999996</v>
      </c>
    </row>
    <row r="111" spans="1:26" s="24" customFormat="1" hidden="1" outlineLevel="2" x14ac:dyDescent="0.25">
      <c r="A111" s="27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69"/>
        <v>0</v>
      </c>
      <c r="G111" s="2"/>
      <c r="H111" s="6">
        <v>500</v>
      </c>
      <c r="I111" s="2"/>
      <c r="J111" s="7">
        <f t="shared" si="70"/>
        <v>1.3520822065981611E-2</v>
      </c>
      <c r="K111" s="2"/>
      <c r="L111" s="6">
        <f t="shared" si="71"/>
        <v>-500</v>
      </c>
      <c r="M111" s="2"/>
      <c r="N111" s="7">
        <f t="shared" si="72"/>
        <v>-1</v>
      </c>
      <c r="O111" s="11"/>
      <c r="P111" s="6">
        <v>547.47</v>
      </c>
      <c r="Q111" s="2"/>
      <c r="R111" s="7">
        <f t="shared" si="73"/>
        <v>2.7916336655814389E-4</v>
      </c>
      <c r="S111" s="2"/>
      <c r="T111" s="6">
        <v>800</v>
      </c>
      <c r="U111" s="2"/>
      <c r="V111" s="7">
        <f t="shared" si="74"/>
        <v>3.914834727911646E-4</v>
      </c>
      <c r="W111" s="2"/>
      <c r="X111" s="6">
        <f t="shared" si="75"/>
        <v>-252.52999999999997</v>
      </c>
      <c r="Y111" s="2"/>
      <c r="Z111" s="7">
        <f t="shared" si="76"/>
        <v>-0.31566249999999996</v>
      </c>
    </row>
    <row r="112" spans="1:26" s="26" customFormat="1" outlineLevel="1" collapsed="1" x14ac:dyDescent="0.25">
      <c r="A112" s="25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SUM(OSRRefD22_14x_0)</f>
        <v>83.93</v>
      </c>
      <c r="E112" s="1"/>
      <c r="F112" s="5">
        <f t="shared" si="69"/>
        <v>2.6704160032784427E-3</v>
      </c>
      <c r="G112" s="1"/>
      <c r="H112" s="1">
        <f>SUM(OSRRefH22_14x_0)</f>
        <v>0</v>
      </c>
      <c r="I112" s="1"/>
      <c r="J112" s="5">
        <f t="shared" si="70"/>
        <v>0</v>
      </c>
      <c r="K112" s="1"/>
      <c r="L112" s="1">
        <f t="shared" si="71"/>
        <v>83.93</v>
      </c>
      <c r="M112" s="1"/>
      <c r="N112" s="5">
        <f t="shared" si="72"/>
        <v>0</v>
      </c>
      <c r="O112" s="13"/>
      <c r="P112" s="1">
        <f>SUM(OSRRefP22_14x_0)</f>
        <v>83.93</v>
      </c>
      <c r="Q112" s="1"/>
      <c r="R112" s="5">
        <f t="shared" si="73"/>
        <v>4.2797196842247096E-5</v>
      </c>
      <c r="S112" s="1"/>
      <c r="T112" s="1">
        <f>SUM(OSRRefT22_14x_0)</f>
        <v>450</v>
      </c>
      <c r="U112" s="1"/>
      <c r="V112" s="5">
        <f t="shared" si="74"/>
        <v>2.2020945344503011E-4</v>
      </c>
      <c r="W112" s="1"/>
      <c r="X112" s="1">
        <f t="shared" si="75"/>
        <v>-366.07</v>
      </c>
      <c r="Y112" s="1"/>
      <c r="Z112" s="5">
        <f t="shared" si="76"/>
        <v>-0.81348888888888893</v>
      </c>
    </row>
    <row r="113" spans="1:26" s="24" customFormat="1" hidden="1" outlineLevel="2" x14ac:dyDescent="0.25">
      <c r="A113" s="27"/>
      <c r="B113" s="11" t="str">
        <f>CONCATENATE("          ", "6292", " - ", "TRAVEL/CONFERENCE")</f>
        <v xml:space="preserve">          6292 - TRAVEL/CONFERENCE</v>
      </c>
      <c r="C113" s="11"/>
      <c r="D113" s="6">
        <v>83.93</v>
      </c>
      <c r="E113" s="2"/>
      <c r="F113" s="7">
        <f t="shared" si="69"/>
        <v>2.6704160032784427E-3</v>
      </c>
      <c r="G113" s="2"/>
      <c r="H113" s="6"/>
      <c r="I113" s="2"/>
      <c r="J113" s="7">
        <f t="shared" si="70"/>
        <v>0</v>
      </c>
      <c r="K113" s="2"/>
      <c r="L113" s="6">
        <f t="shared" si="71"/>
        <v>83.93</v>
      </c>
      <c r="M113" s="2"/>
      <c r="N113" s="7">
        <f t="shared" si="72"/>
        <v>0</v>
      </c>
      <c r="O113" s="11"/>
      <c r="P113" s="6">
        <v>83.93</v>
      </c>
      <c r="Q113" s="2"/>
      <c r="R113" s="7">
        <f t="shared" si="73"/>
        <v>4.2797196842247096E-5</v>
      </c>
      <c r="S113" s="2"/>
      <c r="T113" s="6"/>
      <c r="U113" s="2"/>
      <c r="V113" s="7">
        <f t="shared" si="74"/>
        <v>0</v>
      </c>
      <c r="W113" s="2"/>
      <c r="X113" s="6">
        <f t="shared" si="75"/>
        <v>83.93</v>
      </c>
      <c r="Y113" s="2"/>
      <c r="Z113" s="7">
        <f t="shared" si="76"/>
        <v>0</v>
      </c>
    </row>
    <row r="114" spans="1:26" s="24" customFormat="1" hidden="1" outlineLevel="2" x14ac:dyDescent="0.25">
      <c r="A114" s="27"/>
      <c r="B114" s="11" t="str">
        <f>CONCATENATE("          ", "6298", " - ", "VEHICLE MILEAGE")</f>
        <v xml:space="preserve">          6298 - VEHICLE MILEAGE</v>
      </c>
      <c r="C114" s="11"/>
      <c r="D114" s="6"/>
      <c r="E114" s="2"/>
      <c r="F114" s="7">
        <f t="shared" si="69"/>
        <v>0</v>
      </c>
      <c r="G114" s="2"/>
      <c r="H114" s="6"/>
      <c r="I114" s="2"/>
      <c r="J114" s="7">
        <f t="shared" si="70"/>
        <v>0</v>
      </c>
      <c r="K114" s="2"/>
      <c r="L114" s="6">
        <f t="shared" si="71"/>
        <v>0</v>
      </c>
      <c r="M114" s="2"/>
      <c r="N114" s="7">
        <f t="shared" si="72"/>
        <v>0</v>
      </c>
      <c r="O114" s="11"/>
      <c r="P114" s="6"/>
      <c r="Q114" s="2"/>
      <c r="R114" s="7">
        <f t="shared" si="73"/>
        <v>0</v>
      </c>
      <c r="S114" s="2"/>
      <c r="T114" s="6">
        <v>450</v>
      </c>
      <c r="U114" s="2"/>
      <c r="V114" s="7">
        <f t="shared" si="74"/>
        <v>2.2020945344503011E-4</v>
      </c>
      <c r="W114" s="2"/>
      <c r="X114" s="6">
        <f t="shared" si="75"/>
        <v>-450</v>
      </c>
      <c r="Y114" s="2"/>
      <c r="Z114" s="7">
        <f t="shared" si="76"/>
        <v>-1</v>
      </c>
    </row>
    <row r="115" spans="1:26" s="61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0</v>
      </c>
      <c r="C116" s="10"/>
      <c r="D116" s="4">
        <f>SUM(OSRRefD25x_0)</f>
        <v>44861.23</v>
      </c>
      <c r="E116" s="4"/>
      <c r="F116" s="12">
        <f t="shared" ref="F116:F120" si="77">IF(D$12=0,0,D116/D$12)</f>
        <v>1.4273578758340877</v>
      </c>
      <c r="G116" s="4"/>
      <c r="H116" s="4">
        <f>SUM(OSRRefH25x_0)</f>
        <v>1300</v>
      </c>
      <c r="I116" s="4"/>
      <c r="J116" s="12">
        <f t="shared" ref="J116:J120" si="78">IF(H$12=0,0,H116/H$12)</f>
        <v>3.5154137371552194E-2</v>
      </c>
      <c r="K116" s="4"/>
      <c r="L116" s="4">
        <f t="shared" ref="L116:L120" si="79">+D116-H116</f>
        <v>43561.23</v>
      </c>
      <c r="M116" s="4"/>
      <c r="N116" s="12">
        <f t="shared" ref="N116:N120" si="80">IF(H116=0,0,L116/H116)</f>
        <v>33.508638461538467</v>
      </c>
      <c r="O116" s="10"/>
      <c r="P116" s="4">
        <f>SUM(OSRRefP25x_0)</f>
        <v>142244.4</v>
      </c>
      <c r="Q116" s="4"/>
      <c r="R116" s="12">
        <f t="shared" ref="R116:R120" si="81">IF(P$12=0,0,P116/P$12)</f>
        <v>7.2532605582120005E-2</v>
      </c>
      <c r="S116" s="4"/>
      <c r="T116" s="4">
        <f>SUM(OSRRefT25x_0)</f>
        <v>83600</v>
      </c>
      <c r="U116" s="4"/>
      <c r="V116" s="12">
        <f t="shared" ref="V116:V120" si="82">IF(T$12=0,0,T116/T$12)</f>
        <v>4.0910022906676703E-2</v>
      </c>
      <c r="W116" s="4"/>
      <c r="X116" s="4">
        <f t="shared" ref="X116:X120" si="83">+P116-T116</f>
        <v>58644.399999999994</v>
      </c>
      <c r="Y116" s="4"/>
      <c r="Z116" s="12">
        <f t="shared" ref="Z116:Z120" si="84">IF(T116=0,0,X116/T116)</f>
        <v>0.70148803827751194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--44808.15</f>
        <v>44808.15</v>
      </c>
      <c r="E117" s="2"/>
      <c r="F117" s="19">
        <f t="shared" si="77"/>
        <v>1.4256690198653752</v>
      </c>
      <c r="G117" s="2"/>
      <c r="H117" s="2"/>
      <c r="I117" s="2"/>
      <c r="J117" s="19">
        <f t="shared" si="78"/>
        <v>0</v>
      </c>
      <c r="K117" s="2"/>
      <c r="L117" s="2">
        <f t="shared" si="79"/>
        <v>44808.15</v>
      </c>
      <c r="M117" s="2"/>
      <c r="N117" s="19">
        <f t="shared" si="80"/>
        <v>0</v>
      </c>
      <c r="O117" s="11"/>
      <c r="P117" s="2">
        <f>--53874.1</f>
        <v>53874.1</v>
      </c>
      <c r="Q117" s="2"/>
      <c r="R117" s="19">
        <f t="shared" si="81"/>
        <v>2.7471231531024713E-2</v>
      </c>
      <c r="S117" s="2"/>
      <c r="T117" s="2"/>
      <c r="U117" s="2"/>
      <c r="V117" s="19">
        <f t="shared" si="82"/>
        <v>0</v>
      </c>
      <c r="W117" s="2"/>
      <c r="X117" s="2">
        <f t="shared" si="83"/>
        <v>53874.1</v>
      </c>
      <c r="Y117" s="2"/>
      <c r="Z117" s="19">
        <f t="shared" si="84"/>
        <v>0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>0</f>
        <v>0</v>
      </c>
      <c r="E118" s="2"/>
      <c r="F118" s="19">
        <f t="shared" si="77"/>
        <v>0</v>
      </c>
      <c r="G118" s="2"/>
      <c r="H118" s="2"/>
      <c r="I118" s="2"/>
      <c r="J118" s="19">
        <f t="shared" si="78"/>
        <v>0</v>
      </c>
      <c r="K118" s="2"/>
      <c r="L118" s="2">
        <f t="shared" si="79"/>
        <v>0</v>
      </c>
      <c r="M118" s="2"/>
      <c r="N118" s="19">
        <f t="shared" si="80"/>
        <v>0</v>
      </c>
      <c r="O118" s="11"/>
      <c r="P118" s="2">
        <f>--87676.2</f>
        <v>87676.2</v>
      </c>
      <c r="Q118" s="2"/>
      <c r="R118" s="19">
        <f t="shared" si="81"/>
        <v>4.4707441794116821E-2</v>
      </c>
      <c r="S118" s="2"/>
      <c r="T118" s="2"/>
      <c r="U118" s="2"/>
      <c r="V118" s="19">
        <f t="shared" si="82"/>
        <v>0</v>
      </c>
      <c r="W118" s="2"/>
      <c r="X118" s="2">
        <f t="shared" si="83"/>
        <v>87676.2</v>
      </c>
      <c r="Y118" s="2"/>
      <c r="Z118" s="19">
        <f t="shared" si="84"/>
        <v>0</v>
      </c>
    </row>
    <row r="119" spans="1:26" s="24" customFormat="1" hidden="1" outlineLevel="1" x14ac:dyDescent="0.25">
      <c r="A119" s="44"/>
      <c r="B119" s="11" t="str">
        <f>CONCATENATE("          ", "9152", " - ", "MISC. INCOME")</f>
        <v xml:space="preserve">          9152 - MISC. INCOME</v>
      </c>
      <c r="C119" s="11"/>
      <c r="D119" s="2">
        <f>--53.08</f>
        <v>53.08</v>
      </c>
      <c r="E119" s="2"/>
      <c r="F119" s="19">
        <f t="shared" si="77"/>
        <v>1.6888559687122569E-3</v>
      </c>
      <c r="G119" s="2"/>
      <c r="H119" s="2"/>
      <c r="I119" s="2"/>
      <c r="J119" s="19">
        <f t="shared" si="78"/>
        <v>0</v>
      </c>
      <c r="K119" s="2"/>
      <c r="L119" s="2">
        <f t="shared" si="79"/>
        <v>53.08</v>
      </c>
      <c r="M119" s="2"/>
      <c r="N119" s="19">
        <f t="shared" si="80"/>
        <v>0</v>
      </c>
      <c r="O119" s="11"/>
      <c r="P119" s="2">
        <f>--694.1</f>
        <v>694.1</v>
      </c>
      <c r="Q119" s="2"/>
      <c r="R119" s="19">
        <f t="shared" si="81"/>
        <v>3.5393225697847859E-4</v>
      </c>
      <c r="S119" s="2"/>
      <c r="T119" s="2"/>
      <c r="U119" s="2"/>
      <c r="V119" s="19">
        <f t="shared" si="82"/>
        <v>0</v>
      </c>
      <c r="W119" s="2"/>
      <c r="X119" s="2">
        <f t="shared" si="83"/>
        <v>694.1</v>
      </c>
      <c r="Y119" s="2"/>
      <c r="Z119" s="19">
        <f t="shared" si="84"/>
        <v>0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>0</f>
        <v>0</v>
      </c>
      <c r="E120" s="2"/>
      <c r="F120" s="19">
        <f t="shared" si="77"/>
        <v>0</v>
      </c>
      <c r="G120" s="2"/>
      <c r="H120" s="2">
        <v>1300</v>
      </c>
      <c r="I120" s="2"/>
      <c r="J120" s="19">
        <f t="shared" si="78"/>
        <v>3.5154137371552194E-2</v>
      </c>
      <c r="K120" s="2"/>
      <c r="L120" s="2">
        <f t="shared" si="79"/>
        <v>-1300</v>
      </c>
      <c r="M120" s="2"/>
      <c r="N120" s="19">
        <f t="shared" si="80"/>
        <v>-1</v>
      </c>
      <c r="O120" s="11"/>
      <c r="P120" s="2">
        <f>0</f>
        <v>0</v>
      </c>
      <c r="Q120" s="2"/>
      <c r="R120" s="19">
        <f t="shared" si="81"/>
        <v>0</v>
      </c>
      <c r="S120" s="2"/>
      <c r="T120" s="2">
        <v>83600</v>
      </c>
      <c r="U120" s="2"/>
      <c r="V120" s="19">
        <f t="shared" si="82"/>
        <v>4.0910022906676703E-2</v>
      </c>
      <c r="W120" s="2"/>
      <c r="X120" s="2">
        <f t="shared" si="83"/>
        <v>-83600</v>
      </c>
      <c r="Y120" s="2"/>
      <c r="Z120" s="19">
        <f t="shared" si="84"/>
        <v>-1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8" t="s">
        <v>3</v>
      </c>
      <c r="C122" s="28"/>
      <c r="D122" s="22">
        <f>+D57-D59+D116</f>
        <v>8254.9099999999671</v>
      </c>
      <c r="E122" s="14"/>
      <c r="F122" s="20">
        <f>IF(D$12=0,0,D122/D$12)</f>
        <v>0.26264796580034744</v>
      </c>
      <c r="G122" s="14"/>
      <c r="H122" s="22">
        <f>+H57-H59+H116</f>
        <v>-42822.66961037225</v>
      </c>
      <c r="I122" s="14"/>
      <c r="J122" s="20">
        <f>IF(H$12=0,0,H122/H$12)</f>
        <v>-1.1579953923843227</v>
      </c>
      <c r="K122" s="16"/>
      <c r="L122" s="22">
        <f>+D122-H122</f>
        <v>51077.579610372217</v>
      </c>
      <c r="M122" s="16"/>
      <c r="N122" s="20">
        <f>IF(H122=0,0,L122/H122)</f>
        <v>-1.1927696258805993</v>
      </c>
      <c r="O122" s="29"/>
      <c r="P122" s="22">
        <f>+P57-P59+P116</f>
        <v>524445.6</v>
      </c>
      <c r="Q122" s="14"/>
      <c r="R122" s="20">
        <f>IF(P$12=0,0,P122/P$12)</f>
        <v>0.26742287115751678</v>
      </c>
      <c r="S122" s="14"/>
      <c r="T122" s="22">
        <f>+T57-T59+T116</f>
        <v>438112.83232965972</v>
      </c>
      <c r="U122" s="14"/>
      <c r="V122" s="20">
        <f>IF(T$12=0,0,T122/T$12)</f>
        <v>0.21439241634348549</v>
      </c>
      <c r="W122" s="16"/>
      <c r="X122" s="22">
        <f>+P122-T122</f>
        <v>86332.767670340254</v>
      </c>
      <c r="Y122" s="16"/>
      <c r="Z122" s="20">
        <f>IF(T122=0,0,X122/T122)</f>
        <v>0.1970560122863026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14</v>
      </c>
      <c r="C124" s="10"/>
      <c r="D124" s="4">
        <v>-9862.91</v>
      </c>
      <c r="E124" s="4"/>
      <c r="F124" s="12">
        <f>IF(D$12=0,0,D124/D$12)</f>
        <v>-0.31380999288567835</v>
      </c>
      <c r="G124" s="4"/>
      <c r="H124" s="4">
        <v>-7709</v>
      </c>
      <c r="I124" s="4"/>
      <c r="J124" s="12">
        <f>IF(H$12=0,0,H124/H$12)</f>
        <v>-0.20846403461330448</v>
      </c>
      <c r="K124" s="4"/>
      <c r="L124" s="4">
        <f>+D124-H124</f>
        <v>-2153.91</v>
      </c>
      <c r="M124" s="4"/>
      <c r="N124" s="12">
        <f>IF(H124=0,0,L124/H124)</f>
        <v>0.27940199766506679</v>
      </c>
      <c r="O124" s="10"/>
      <c r="P124" s="4">
        <v>197410.31</v>
      </c>
      <c r="Q124" s="4"/>
      <c r="R124" s="12">
        <f>IF(P$12=0,0,P124/P$12)</f>
        <v>0.10066255088477326</v>
      </c>
      <c r="S124" s="4"/>
      <c r="T124" s="4">
        <v>246087</v>
      </c>
      <c r="U124" s="4"/>
      <c r="V124" s="12">
        <f>IF(T$12=0,0,T124/T$12)</f>
        <v>0.12042374171094916</v>
      </c>
      <c r="W124" s="4"/>
      <c r="X124" s="4">
        <f>+P124-T124</f>
        <v>-48676.69</v>
      </c>
      <c r="Y124" s="4"/>
      <c r="Z124" s="12">
        <f>IF(T124=0,0,X124/T124)</f>
        <v>-0.19780276893944013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8" t="s">
        <v>4</v>
      </c>
      <c r="C126" s="28"/>
      <c r="D126" s="31">
        <f>+D122-D124</f>
        <v>18117.819999999967</v>
      </c>
      <c r="E126" s="14"/>
      <c r="F126" s="33">
        <f>IF(D$12=0,0,D126/D$12)</f>
        <v>0.57645795868602578</v>
      </c>
      <c r="G126" s="14"/>
      <c r="H126" s="31">
        <f>+H122-H124</f>
        <v>-35113.66961037225</v>
      </c>
      <c r="I126" s="14"/>
      <c r="J126" s="33">
        <f>IF(H$12=0,0,H126/H$12)</f>
        <v>-0.94953135777101816</v>
      </c>
      <c r="K126" s="16"/>
      <c r="L126" s="31">
        <f>D126-H126</f>
        <v>53231.489610372213</v>
      </c>
      <c r="M126" s="16"/>
      <c r="N126" s="33">
        <f>IF(H126=0,0,L126/H126)</f>
        <v>-1.5159762622659105</v>
      </c>
      <c r="O126" s="29"/>
      <c r="P126" s="31">
        <f>+P122-P124</f>
        <v>327035.28999999998</v>
      </c>
      <c r="Q126" s="14"/>
      <c r="R126" s="33">
        <f>IF(P$12=0,0,P126/P$12)</f>
        <v>0.16676032027274351</v>
      </c>
      <c r="S126" s="14"/>
      <c r="T126" s="31">
        <f>+T122-T124</f>
        <v>192025.83232965972</v>
      </c>
      <c r="U126" s="14"/>
      <c r="V126" s="33">
        <f>IF(T$12=0,0,T126/T$12)</f>
        <v>9.3968674632536345E-2</v>
      </c>
      <c r="W126" s="16"/>
      <c r="X126" s="31">
        <f>P126-T126</f>
        <v>135009.45767034026</v>
      </c>
      <c r="Y126" s="16"/>
      <c r="Z126" s="33">
        <f>IF(T126=0,0,X126/T126)</f>
        <v>0.70307966398272503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8" t="s">
        <v>5</v>
      </c>
      <c r="C129" s="28"/>
      <c r="D129" s="32">
        <f>SUM(D126:D128)</f>
        <v>18117.819999999967</v>
      </c>
      <c r="E129" s="14"/>
      <c r="F129" s="34">
        <f>IF(D$12=0,0,D129/D$12)</f>
        <v>0.57645795868602578</v>
      </c>
      <c r="G129" s="14"/>
      <c r="H129" s="32">
        <f>SUM(H126:H128)</f>
        <v>-35113.66961037225</v>
      </c>
      <c r="I129" s="14"/>
      <c r="J129" s="34">
        <f>IF(H$12=0,0,H129/H$12)</f>
        <v>-0.94953135777101816</v>
      </c>
      <c r="K129" s="16"/>
      <c r="L129" s="32">
        <f>+D129-H129</f>
        <v>53231.489610372213</v>
      </c>
      <c r="M129" s="16"/>
      <c r="N129" s="34">
        <f>IF(H129=0,0,L129/H129)</f>
        <v>-1.5159762622659105</v>
      </c>
      <c r="O129" s="29"/>
      <c r="P129" s="32">
        <f>SUM(P126:P128)</f>
        <v>327035.28999999998</v>
      </c>
      <c r="Q129" s="14"/>
      <c r="R129" s="34">
        <f>IF(P$12=0,0,P129/P$12)</f>
        <v>0.16676032027274351</v>
      </c>
      <c r="S129" s="14"/>
      <c r="T129" s="32">
        <f>SUM(T126:T128)</f>
        <v>192025.83232965972</v>
      </c>
      <c r="U129" s="14"/>
      <c r="V129" s="34">
        <f>IF(T$12=0,0,T129/T$12)</f>
        <v>9.3968674632536345E-2</v>
      </c>
      <c r="W129" s="16"/>
      <c r="X129" s="32">
        <f>+P129-T129</f>
        <v>135009.45767034026</v>
      </c>
      <c r="Y129" s="16"/>
      <c r="Z129" s="34">
        <f>IF(T129=0,0,X129/T129)</f>
        <v>0.70307966398272503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25">
      <c r="A131" s="9"/>
      <c r="B131" s="60">
        <v>43791.348141932867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25">
      <c r="A132" s="9"/>
      <c r="B132" s="54" t="s">
        <v>314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5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11239.18</v>
      </c>
      <c r="E12" s="4"/>
      <c r="F12" s="12"/>
      <c r="G12" s="4"/>
      <c r="H12" s="4">
        <f>SUM(OSRRefH13x_0)</f>
        <v>14500</v>
      </c>
      <c r="I12" s="4"/>
      <c r="J12" s="12"/>
      <c r="K12" s="4"/>
      <c r="L12" s="4">
        <f t="shared" ref="L12:L15" si="0">+D12-H12</f>
        <v>-3260.8199999999997</v>
      </c>
      <c r="M12" s="4"/>
      <c r="N12" s="12">
        <f t="shared" ref="N12:N15" si="1">IF(H12=0,0,L12/H12)</f>
        <v>-0.22488413793103446</v>
      </c>
      <c r="O12" s="10"/>
      <c r="P12" s="4">
        <f>SUM(OSRRefP13x_0)</f>
        <v>901285.69</v>
      </c>
      <c r="Q12" s="4"/>
      <c r="R12" s="12"/>
      <c r="S12" s="4"/>
      <c r="T12" s="4">
        <f>SUM(OSRRefT13x_0)</f>
        <v>1057000</v>
      </c>
      <c r="U12" s="4"/>
      <c r="V12" s="12"/>
      <c r="W12" s="4"/>
      <c r="X12" s="4">
        <f t="shared" ref="X12:X15" si="2">+P12-T12</f>
        <v>-155714.31000000006</v>
      </c>
      <c r="Y12" s="4"/>
      <c r="Z12" s="12">
        <f t="shared" ref="Z12:Z15" si="3">IF(T12=0,0,X12/T12)</f>
        <v>-0.14731722800378436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--4664.7</f>
        <v>4664.7</v>
      </c>
      <c r="E13" s="2"/>
      <c r="F13" s="19"/>
      <c r="G13" s="2"/>
      <c r="H13" s="2"/>
      <c r="I13" s="2"/>
      <c r="J13" s="19"/>
      <c r="K13" s="2"/>
      <c r="L13" s="2">
        <f t="shared" si="0"/>
        <v>4664.7</v>
      </c>
      <c r="M13" s="2"/>
      <c r="N13" s="19">
        <f t="shared" si="1"/>
        <v>0</v>
      </c>
      <c r="O13" s="11"/>
      <c r="P13" s="2">
        <f>--256370.31</f>
        <v>256370.31</v>
      </c>
      <c r="Q13" s="2"/>
      <c r="R13" s="19"/>
      <c r="S13" s="2"/>
      <c r="T13" s="2"/>
      <c r="U13" s="2"/>
      <c r="V13" s="19"/>
      <c r="W13" s="2"/>
      <c r="X13" s="2">
        <f t="shared" si="2"/>
        <v>256370.31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--2860.58</f>
        <v>2860.58</v>
      </c>
      <c r="E14" s="2"/>
      <c r="F14" s="19"/>
      <c r="G14" s="2"/>
      <c r="H14" s="2"/>
      <c r="I14" s="2"/>
      <c r="J14" s="19"/>
      <c r="K14" s="2"/>
      <c r="L14" s="2">
        <f t="shared" si="0"/>
        <v>2860.58</v>
      </c>
      <c r="M14" s="2"/>
      <c r="N14" s="19">
        <f t="shared" si="1"/>
        <v>0</v>
      </c>
      <c r="O14" s="11"/>
      <c r="P14" s="2">
        <f>--309533.71</f>
        <v>309533.71000000002</v>
      </c>
      <c r="Q14" s="2"/>
      <c r="R14" s="19"/>
      <c r="S14" s="2"/>
      <c r="T14" s="2"/>
      <c r="U14" s="2"/>
      <c r="V14" s="19"/>
      <c r="W14" s="2"/>
      <c r="X14" s="2">
        <f t="shared" si="2"/>
        <v>309533.71000000002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--3713.9</f>
        <v>3713.9</v>
      </c>
      <c r="E15" s="2"/>
      <c r="F15" s="19"/>
      <c r="G15" s="2"/>
      <c r="H15" s="2">
        <v>14500</v>
      </c>
      <c r="I15" s="2"/>
      <c r="J15" s="19"/>
      <c r="K15" s="2"/>
      <c r="L15" s="2">
        <f t="shared" si="0"/>
        <v>-10786.1</v>
      </c>
      <c r="M15" s="2"/>
      <c r="N15" s="19">
        <f t="shared" si="1"/>
        <v>-0.74386896551724135</v>
      </c>
      <c r="O15" s="11"/>
      <c r="P15" s="2">
        <f>--335381.67</f>
        <v>335381.67</v>
      </c>
      <c r="Q15" s="2"/>
      <c r="R15" s="19"/>
      <c r="S15" s="2"/>
      <c r="T15" s="2">
        <v>1057000</v>
      </c>
      <c r="U15" s="2"/>
      <c r="V15" s="19"/>
      <c r="W15" s="2"/>
      <c r="X15" s="2">
        <f t="shared" si="2"/>
        <v>-721618.33000000007</v>
      </c>
      <c r="Y15" s="2"/>
      <c r="Z15" s="19">
        <f t="shared" si="3"/>
        <v>-0.68270419110690639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8412.64</v>
      </c>
      <c r="E17" s="4"/>
      <c r="F17" s="12">
        <f t="shared" ref="F17:F20" si="4">IF(D$12=0,0,D17/D$12)</f>
        <v>0.74851012262460426</v>
      </c>
      <c r="G17" s="4"/>
      <c r="H17" s="4">
        <f>SUM(OSRRefH16x_0)</f>
        <v>10693.02</v>
      </c>
      <c r="I17" s="4"/>
      <c r="J17" s="12">
        <f t="shared" ref="J17:J20" si="5">IF(H$12=0,0,H17/H$12)</f>
        <v>0.73744965517241379</v>
      </c>
      <c r="K17" s="4"/>
      <c r="L17" s="4">
        <f t="shared" ref="L17:L20" si="6">+D17-H17</f>
        <v>-2280.380000000001</v>
      </c>
      <c r="M17" s="4"/>
      <c r="N17" s="12">
        <f t="shared" ref="N17:N20" si="7">IF(H17=0,0,L17/H17)</f>
        <v>-0.21325874261901698</v>
      </c>
      <c r="O17" s="10"/>
      <c r="P17" s="4">
        <f>SUM(OSRRefP16x_0)</f>
        <v>682773.27</v>
      </c>
      <c r="Q17" s="4"/>
      <c r="R17" s="12">
        <f t="shared" ref="R17:R20" si="8">IF(P$12=0,0,P17/P$12)</f>
        <v>0.7575547660143146</v>
      </c>
      <c r="S17" s="4"/>
      <c r="T17" s="4">
        <f>SUM(OSRRefT16x_0)</f>
        <v>770426.67</v>
      </c>
      <c r="U17" s="4"/>
      <c r="V17" s="12">
        <f t="shared" ref="V17:V20" si="9">IF(T$12=0,0,T17/T$12)</f>
        <v>0.72888048249763482</v>
      </c>
      <c r="W17" s="4"/>
      <c r="X17" s="4">
        <f t="shared" ref="X17:X20" si="10">+P17-T17</f>
        <v>-87653.400000000023</v>
      </c>
      <c r="Y17" s="4"/>
      <c r="Z17" s="12">
        <f t="shared" ref="Z17:Z20" si="11">IF(T17=0,0,X17/T17)</f>
        <v>-0.11377254112970936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10693.02</v>
      </c>
      <c r="I18" s="2"/>
      <c r="J18" s="19">
        <f t="shared" si="5"/>
        <v>0.73744965517241379</v>
      </c>
      <c r="K18" s="2"/>
      <c r="L18" s="2">
        <f t="shared" si="6"/>
        <v>-10693.02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770426.67</v>
      </c>
      <c r="U18" s="2"/>
      <c r="V18" s="19">
        <f t="shared" si="9"/>
        <v>0.72888048249763482</v>
      </c>
      <c r="W18" s="2"/>
      <c r="X18" s="2">
        <f t="shared" si="10"/>
        <v>-770426.67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5342.77</v>
      </c>
      <c r="E19" s="2"/>
      <c r="F19" s="19">
        <f t="shared" si="4"/>
        <v>0.47537008927697577</v>
      </c>
      <c r="G19" s="2"/>
      <c r="H19" s="2"/>
      <c r="I19" s="2"/>
      <c r="J19" s="19">
        <f t="shared" si="5"/>
        <v>0</v>
      </c>
      <c r="K19" s="2"/>
      <c r="L19" s="2">
        <f t="shared" si="6"/>
        <v>5342.77</v>
      </c>
      <c r="M19" s="2"/>
      <c r="N19" s="19">
        <f t="shared" si="7"/>
        <v>0</v>
      </c>
      <c r="O19" s="11"/>
      <c r="P19" s="2">
        <v>308300.27</v>
      </c>
      <c r="Q19" s="2"/>
      <c r="R19" s="19">
        <f t="shared" si="8"/>
        <v>0.34206719736113866</v>
      </c>
      <c r="S19" s="2"/>
      <c r="T19" s="2"/>
      <c r="U19" s="2"/>
      <c r="V19" s="19">
        <f t="shared" si="9"/>
        <v>0</v>
      </c>
      <c r="W19" s="2"/>
      <c r="X19" s="2">
        <f t="shared" si="10"/>
        <v>308300.27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3069.87</v>
      </c>
      <c r="E20" s="2"/>
      <c r="F20" s="19">
        <f t="shared" si="4"/>
        <v>0.27314003334762854</v>
      </c>
      <c r="G20" s="2"/>
      <c r="H20" s="2"/>
      <c r="I20" s="2"/>
      <c r="J20" s="19">
        <f t="shared" si="5"/>
        <v>0</v>
      </c>
      <c r="K20" s="2"/>
      <c r="L20" s="2">
        <f t="shared" si="6"/>
        <v>3069.87</v>
      </c>
      <c r="M20" s="2"/>
      <c r="N20" s="19">
        <f t="shared" si="7"/>
        <v>0</v>
      </c>
      <c r="O20" s="11"/>
      <c r="P20" s="2">
        <v>374473</v>
      </c>
      <c r="Q20" s="2"/>
      <c r="R20" s="19">
        <f t="shared" si="8"/>
        <v>0.41548756865317593</v>
      </c>
      <c r="S20" s="2"/>
      <c r="T20" s="2"/>
      <c r="U20" s="2"/>
      <c r="V20" s="19">
        <f t="shared" si="9"/>
        <v>0</v>
      </c>
      <c r="W20" s="2"/>
      <c r="X20" s="2">
        <f t="shared" si="10"/>
        <v>374473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2826.5400000000009</v>
      </c>
      <c r="E22" s="14"/>
      <c r="F22" s="20">
        <f>IF(D$12=0,0,D22/D$12)</f>
        <v>0.2514898773753958</v>
      </c>
      <c r="G22" s="14"/>
      <c r="H22" s="22">
        <f>H12-H17</f>
        <v>3806.9799999999996</v>
      </c>
      <c r="I22" s="14"/>
      <c r="J22" s="20">
        <f>IF(H$12=0,0,H22/H$12)</f>
        <v>0.26255034482758616</v>
      </c>
      <c r="K22" s="16"/>
      <c r="L22" s="22">
        <f>+D22-H22</f>
        <v>-980.43999999999869</v>
      </c>
      <c r="M22" s="16"/>
      <c r="N22" s="20">
        <f>IF(H22=0,0,L22/H22)</f>
        <v>-0.25753747064602356</v>
      </c>
      <c r="O22" s="29"/>
      <c r="P22" s="22">
        <f>P12-P17</f>
        <v>218512.41999999993</v>
      </c>
      <c r="Q22" s="14"/>
      <c r="R22" s="20">
        <f>IF(P$12=0,0,P22/P$12)</f>
        <v>0.24244523398568543</v>
      </c>
      <c r="S22" s="14"/>
      <c r="T22" s="22">
        <f>T12-T17</f>
        <v>286573.32999999996</v>
      </c>
      <c r="U22" s="14"/>
      <c r="V22" s="20">
        <f>IF(T$12=0,0,T22/T$12)</f>
        <v>0.27111951750236513</v>
      </c>
      <c r="W22" s="16"/>
      <c r="X22" s="22">
        <f>+P22-T22</f>
        <v>-68060.910000000033</v>
      </c>
      <c r="Y22" s="16"/>
      <c r="Z22" s="20">
        <f>IF(T22=0,0,X22/T22)</f>
        <v>-0.23749910712207603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SUM(0)</f>
        <v>0</v>
      </c>
      <c r="E24" s="21"/>
      <c r="F24" s="35">
        <f>IF(D$12=0,0,D24/D$12)</f>
        <v>0</v>
      </c>
      <c r="G24" s="21"/>
      <c r="H24" s="21">
        <f>SUM(0)</f>
        <v>0</v>
      </c>
      <c r="I24" s="21"/>
      <c r="J24" s="35">
        <f>IF(H$12=0,0,H24/H$12)</f>
        <v>0</v>
      </c>
      <c r="K24" s="4"/>
      <c r="L24" s="21">
        <f>+D24-H24</f>
        <v>0</v>
      </c>
      <c r="M24" s="4"/>
      <c r="N24" s="35">
        <f>IF(H24=0,0,L24/H24)</f>
        <v>0</v>
      </c>
      <c r="O24" s="10"/>
      <c r="P24" s="21">
        <f>SUM(0)</f>
        <v>0</v>
      </c>
      <c r="Q24" s="21"/>
      <c r="R24" s="35">
        <f>IF(P$12=0,0,P24/P$12)</f>
        <v>0</v>
      </c>
      <c r="S24" s="21"/>
      <c r="T24" s="21">
        <f>SUM(0)</f>
        <v>0</v>
      </c>
      <c r="U24" s="21"/>
      <c r="V24" s="35">
        <f>IF(T$12=0,0,T24/T$12)</f>
        <v>0</v>
      </c>
      <c r="W24" s="4"/>
      <c r="X24" s="21">
        <f>+P24-T24</f>
        <v>0</v>
      </c>
      <c r="Y24" s="4"/>
      <c r="Z24" s="35">
        <f>IF(T24=0,0,X24/T24)</f>
        <v>0</v>
      </c>
    </row>
    <row r="25" spans="1:26" s="61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3</v>
      </c>
      <c r="C28" s="28"/>
      <c r="D28" s="22">
        <f>+D22-D24+D26</f>
        <v>2826.5400000000009</v>
      </c>
      <c r="E28" s="14"/>
      <c r="F28" s="20">
        <f>IF(D$12=0,0,D28/D$12)</f>
        <v>0.2514898773753958</v>
      </c>
      <c r="G28" s="14"/>
      <c r="H28" s="22">
        <f>+H22-H24+H26</f>
        <v>3806.9799999999996</v>
      </c>
      <c r="I28" s="14"/>
      <c r="J28" s="20">
        <f>IF(H$12=0,0,H28/H$12)</f>
        <v>0.26255034482758616</v>
      </c>
      <c r="K28" s="16"/>
      <c r="L28" s="22">
        <f>+D28-H28</f>
        <v>-980.43999999999869</v>
      </c>
      <c r="M28" s="16"/>
      <c r="N28" s="20">
        <f>IF(H28=0,0,L28/H28)</f>
        <v>-0.25753747064602356</v>
      </c>
      <c r="O28" s="29"/>
      <c r="P28" s="22">
        <f>+P22-P24+P26</f>
        <v>218512.41999999993</v>
      </c>
      <c r="Q28" s="14"/>
      <c r="R28" s="20">
        <f>IF(P$12=0,0,P28/P$12)</f>
        <v>0.24244523398568543</v>
      </c>
      <c r="S28" s="14"/>
      <c r="T28" s="22">
        <f>+T22-T24+T26</f>
        <v>286573.32999999996</v>
      </c>
      <c r="U28" s="14"/>
      <c r="V28" s="20">
        <f>IF(T$12=0,0,T28/T$12)</f>
        <v>0.27111951750236513</v>
      </c>
      <c r="W28" s="16"/>
      <c r="X28" s="22">
        <f>+P28-T28</f>
        <v>-68060.910000000033</v>
      </c>
      <c r="Y28" s="16"/>
      <c r="Z28" s="20">
        <f>IF(T28=0,0,X28/T28)</f>
        <v>-0.23749910712207603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-4877.07</v>
      </c>
      <c r="E30" s="4"/>
      <c r="F30" s="12">
        <f>IF(D$12=0,0,D30/D$12)</f>
        <v>-0.43393468206755292</v>
      </c>
      <c r="G30" s="4"/>
      <c r="H30" s="4">
        <v>-4573</v>
      </c>
      <c r="I30" s="4"/>
      <c r="J30" s="12">
        <f>IF(H$12=0,0,H30/H$12)</f>
        <v>-0.31537931034482758</v>
      </c>
      <c r="K30" s="4"/>
      <c r="L30" s="4">
        <f>+D30-H30</f>
        <v>-304.06999999999971</v>
      </c>
      <c r="M30" s="4"/>
      <c r="N30" s="12">
        <f>IF(H30=0,0,L30/H30)</f>
        <v>6.6492455718346749E-2</v>
      </c>
      <c r="O30" s="10"/>
      <c r="P30" s="4">
        <v>90725.72</v>
      </c>
      <c r="Q30" s="4"/>
      <c r="R30" s="12">
        <f>IF(P$12=0,0,P30/P$12)</f>
        <v>0.10066255462238617</v>
      </c>
      <c r="S30" s="4"/>
      <c r="T30" s="4">
        <v>127287</v>
      </c>
      <c r="U30" s="4"/>
      <c r="V30" s="12">
        <f>IF(T$12=0,0,T30/T$12)</f>
        <v>0.1204228949858089</v>
      </c>
      <c r="W30" s="4"/>
      <c r="X30" s="4">
        <f>+P30-T30</f>
        <v>-36561.279999999999</v>
      </c>
      <c r="Y30" s="4"/>
      <c r="Z30" s="12">
        <f>IF(T30=0,0,X30/T30)</f>
        <v>-0.28723498864770164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4</v>
      </c>
      <c r="C32" s="28"/>
      <c r="D32" s="31">
        <f>+D28-D30</f>
        <v>7703.6100000000006</v>
      </c>
      <c r="E32" s="14"/>
      <c r="F32" s="33">
        <f>IF(D$12=0,0,D32/D$12)</f>
        <v>0.68542455944294867</v>
      </c>
      <c r="G32" s="14"/>
      <c r="H32" s="31">
        <f>+H28-H30</f>
        <v>8379.98</v>
      </c>
      <c r="I32" s="14"/>
      <c r="J32" s="33">
        <f>IF(H$12=0,0,H32/H$12)</f>
        <v>0.57792965517241379</v>
      </c>
      <c r="K32" s="16"/>
      <c r="L32" s="31">
        <f>D32-H32</f>
        <v>-676.36999999999898</v>
      </c>
      <c r="M32" s="16"/>
      <c r="N32" s="33">
        <f>IF(H32=0,0,L32/H32)</f>
        <v>-8.0712603132704258E-2</v>
      </c>
      <c r="O32" s="29"/>
      <c r="P32" s="31">
        <f>+P28-P30</f>
        <v>127786.69999999992</v>
      </c>
      <c r="Q32" s="14"/>
      <c r="R32" s="33">
        <f>IF(P$12=0,0,P32/P$12)</f>
        <v>0.14178267936329925</v>
      </c>
      <c r="S32" s="14"/>
      <c r="T32" s="31">
        <f>+T28-T30</f>
        <v>159286.32999999996</v>
      </c>
      <c r="U32" s="14"/>
      <c r="V32" s="33">
        <f>IF(T$12=0,0,T32/T$12)</f>
        <v>0.15069662251655624</v>
      </c>
      <c r="W32" s="16"/>
      <c r="X32" s="31">
        <f>P32-T32</f>
        <v>-31499.630000000034</v>
      </c>
      <c r="Y32" s="16"/>
      <c r="Z32" s="33">
        <f>IF(T32=0,0,X32/T32)</f>
        <v>-0.19775476024841582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5</v>
      </c>
      <c r="C35" s="28"/>
      <c r="D35" s="32">
        <f>SUM(D32:D34)</f>
        <v>7703.6100000000006</v>
      </c>
      <c r="E35" s="14"/>
      <c r="F35" s="34">
        <f>IF(D$12=0,0,D35/D$12)</f>
        <v>0.68542455944294867</v>
      </c>
      <c r="G35" s="14"/>
      <c r="H35" s="32">
        <f>SUM(H32:H34)</f>
        <v>8379.98</v>
      </c>
      <c r="I35" s="14"/>
      <c r="J35" s="34">
        <f>IF(H$12=0,0,H35/H$12)</f>
        <v>0.57792965517241379</v>
      </c>
      <c r="K35" s="16"/>
      <c r="L35" s="32">
        <f>+D35-H35</f>
        <v>-676.36999999999898</v>
      </c>
      <c r="M35" s="16"/>
      <c r="N35" s="34">
        <f>IF(H35=0,0,L35/H35)</f>
        <v>-8.0712603132704258E-2</v>
      </c>
      <c r="O35" s="29"/>
      <c r="P35" s="32">
        <f>SUM(P32:P34)</f>
        <v>127786.69999999992</v>
      </c>
      <c r="Q35" s="14"/>
      <c r="R35" s="34">
        <f>IF(P$12=0,0,P35/P$12)</f>
        <v>0.14178267936329925</v>
      </c>
      <c r="S35" s="14"/>
      <c r="T35" s="32">
        <f>SUM(T32:T34)</f>
        <v>159286.32999999996</v>
      </c>
      <c r="U35" s="14"/>
      <c r="V35" s="34">
        <f>IF(T$12=0,0,T35/T$12)</f>
        <v>0.15069662251655624</v>
      </c>
      <c r="W35" s="16"/>
      <c r="X35" s="32">
        <f>+P35-T35</f>
        <v>-31499.630000000034</v>
      </c>
      <c r="Y35" s="16"/>
      <c r="Z35" s="34">
        <f>IF(T35=0,0,X35/T35)</f>
        <v>-0.19775476024841582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60">
        <v>43791.348353935187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4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5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304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262812.51999999996</v>
      </c>
      <c r="E12" s="4"/>
      <c r="F12" s="12"/>
      <c r="G12" s="4"/>
      <c r="H12" s="4">
        <f>SUM(OSRRefH13x_0)</f>
        <v>251853.60866</v>
      </c>
      <c r="I12" s="4"/>
      <c r="J12" s="12"/>
      <c r="K12" s="4"/>
      <c r="L12" s="4">
        <f t="shared" ref="L12:L40" si="0">+D12-H12</f>
        <v>10958.911339999962</v>
      </c>
      <c r="M12" s="4"/>
      <c r="N12" s="12">
        <f t="shared" ref="N12:N40" si="1">IF(H12=0,0,L12/H12)</f>
        <v>4.3513020910470213E-2</v>
      </c>
      <c r="O12" s="10"/>
      <c r="P12" s="4">
        <f>SUM(OSRRefP13x_0)</f>
        <v>1122395.96</v>
      </c>
      <c r="Q12" s="4"/>
      <c r="R12" s="12"/>
      <c r="S12" s="4"/>
      <c r="T12" s="4">
        <f>SUM(OSRRefT13x_0)</f>
        <v>1080959.8838599999</v>
      </c>
      <c r="U12" s="4"/>
      <c r="V12" s="12"/>
      <c r="W12" s="4"/>
      <c r="X12" s="4">
        <f t="shared" ref="X12:X40" si="2">+P12-T12</f>
        <v>41436.076140000019</v>
      </c>
      <c r="Y12" s="4"/>
      <c r="Z12" s="12">
        <f t="shared" ref="Z12:Z40" si="3">IF(T12=0,0,X12/T12)</f>
        <v>3.8332667806353665E-2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251853.60866</v>
      </c>
      <c r="I13" s="2"/>
      <c r="J13" s="19"/>
      <c r="K13" s="2"/>
      <c r="L13" s="2">
        <f t="shared" si="0"/>
        <v>-251853.60866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1080959.8838599999</v>
      </c>
      <c r="U13" s="2"/>
      <c r="V13" s="19"/>
      <c r="W13" s="2"/>
      <c r="X13" s="2">
        <f t="shared" si="2"/>
        <v>-1080959.8838599999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--16.56</f>
        <v>16.559999999999999</v>
      </c>
      <c r="E14" s="2"/>
      <c r="F14" s="19"/>
      <c r="G14" s="2"/>
      <c r="H14" s="2"/>
      <c r="I14" s="2"/>
      <c r="J14" s="19"/>
      <c r="K14" s="2"/>
      <c r="L14" s="2">
        <f t="shared" si="0"/>
        <v>16.559999999999999</v>
      </c>
      <c r="M14" s="2"/>
      <c r="N14" s="19">
        <f t="shared" si="1"/>
        <v>0</v>
      </c>
      <c r="O14" s="11"/>
      <c r="P14" s="2">
        <f>--100.28</f>
        <v>100.28</v>
      </c>
      <c r="Q14" s="2"/>
      <c r="R14" s="19"/>
      <c r="S14" s="2"/>
      <c r="T14" s="2"/>
      <c r="U14" s="2"/>
      <c r="V14" s="19"/>
      <c r="W14" s="2"/>
      <c r="X14" s="2">
        <f t="shared" si="2"/>
        <v>100.28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--215340.93</f>
        <v>215340.93</v>
      </c>
      <c r="E16" s="2"/>
      <c r="F16" s="19"/>
      <c r="G16" s="2"/>
      <c r="H16" s="2"/>
      <c r="I16" s="2"/>
      <c r="J16" s="19"/>
      <c r="K16" s="2"/>
      <c r="L16" s="2">
        <f t="shared" si="0"/>
        <v>215340.93</v>
      </c>
      <c r="M16" s="2"/>
      <c r="N16" s="19">
        <f t="shared" si="1"/>
        <v>0</v>
      </c>
      <c r="O16" s="11"/>
      <c r="P16" s="2">
        <f>--848240.45</f>
        <v>848240.45</v>
      </c>
      <c r="Q16" s="2"/>
      <c r="R16" s="19"/>
      <c r="S16" s="2"/>
      <c r="T16" s="2"/>
      <c r="U16" s="2"/>
      <c r="V16" s="19"/>
      <c r="W16" s="2"/>
      <c r="X16" s="2">
        <f t="shared" si="2"/>
        <v>848240.45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--25701.24</f>
        <v>25701.24</v>
      </c>
      <c r="E17" s="2"/>
      <c r="F17" s="19"/>
      <c r="G17" s="2"/>
      <c r="H17" s="2"/>
      <c r="I17" s="2"/>
      <c r="J17" s="19"/>
      <c r="K17" s="2"/>
      <c r="L17" s="2">
        <f t="shared" si="0"/>
        <v>25701.24</v>
      </c>
      <c r="M17" s="2"/>
      <c r="N17" s="19">
        <f t="shared" si="1"/>
        <v>0</v>
      </c>
      <c r="O17" s="11"/>
      <c r="P17" s="2">
        <f>--132039.65</f>
        <v>132039.65</v>
      </c>
      <c r="Q17" s="2"/>
      <c r="R17" s="19"/>
      <c r="S17" s="2"/>
      <c r="T17" s="2"/>
      <c r="U17" s="2"/>
      <c r="V17" s="19"/>
      <c r="W17" s="2"/>
      <c r="X17" s="2">
        <f t="shared" si="2"/>
        <v>132039.65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--17031.77</f>
        <v>17031.77</v>
      </c>
      <c r="E18" s="2"/>
      <c r="F18" s="19"/>
      <c r="G18" s="2"/>
      <c r="H18" s="2"/>
      <c r="I18" s="2"/>
      <c r="J18" s="19"/>
      <c r="K18" s="2"/>
      <c r="L18" s="2">
        <f t="shared" si="0"/>
        <v>17031.77</v>
      </c>
      <c r="M18" s="2"/>
      <c r="N18" s="19">
        <f t="shared" si="1"/>
        <v>0</v>
      </c>
      <c r="O18" s="11"/>
      <c r="P18" s="2">
        <f>--92392.15</f>
        <v>92392.15</v>
      </c>
      <c r="Q18" s="2"/>
      <c r="R18" s="19"/>
      <c r="S18" s="2"/>
      <c r="T18" s="2"/>
      <c r="U18" s="2"/>
      <c r="V18" s="19"/>
      <c r="W18" s="2"/>
      <c r="X18" s="2">
        <f t="shared" si="2"/>
        <v>92392.15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--60.49</f>
        <v>60.49</v>
      </c>
      <c r="E19" s="2"/>
      <c r="F19" s="19"/>
      <c r="G19" s="2"/>
      <c r="H19" s="2"/>
      <c r="I19" s="2"/>
      <c r="J19" s="19"/>
      <c r="K19" s="2"/>
      <c r="L19" s="2">
        <f t="shared" si="0"/>
        <v>60.49</v>
      </c>
      <c r="M19" s="2"/>
      <c r="N19" s="19">
        <f t="shared" si="1"/>
        <v>0</v>
      </c>
      <c r="O19" s="11"/>
      <c r="P19" s="2">
        <f>--422.57</f>
        <v>422.57</v>
      </c>
      <c r="Q19" s="2"/>
      <c r="R19" s="19"/>
      <c r="S19" s="2"/>
      <c r="T19" s="2"/>
      <c r="U19" s="2"/>
      <c r="V19" s="19"/>
      <c r="W19" s="2"/>
      <c r="X19" s="2">
        <f t="shared" si="2"/>
        <v>422.57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--4838.74</f>
        <v>4838.74</v>
      </c>
      <c r="E20" s="2"/>
      <c r="F20" s="19"/>
      <c r="G20" s="2"/>
      <c r="H20" s="2"/>
      <c r="I20" s="2"/>
      <c r="J20" s="19"/>
      <c r="K20" s="2"/>
      <c r="L20" s="2">
        <f t="shared" si="0"/>
        <v>4838.74</v>
      </c>
      <c r="M20" s="2"/>
      <c r="N20" s="19">
        <f t="shared" si="1"/>
        <v>0</v>
      </c>
      <c r="O20" s="11"/>
      <c r="P20" s="2">
        <f>--33067.15</f>
        <v>33067.15</v>
      </c>
      <c r="Q20" s="2"/>
      <c r="R20" s="19"/>
      <c r="S20" s="2"/>
      <c r="T20" s="2"/>
      <c r="U20" s="2"/>
      <c r="V20" s="19"/>
      <c r="W20" s="2"/>
      <c r="X20" s="2">
        <f t="shared" si="2"/>
        <v>33067.15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--4525.99</f>
        <v>4525.99</v>
      </c>
      <c r="E21" s="2"/>
      <c r="F21" s="19"/>
      <c r="G21" s="2"/>
      <c r="H21" s="2"/>
      <c r="I21" s="2"/>
      <c r="J21" s="19"/>
      <c r="K21" s="2"/>
      <c r="L21" s="2">
        <f t="shared" si="0"/>
        <v>4525.99</v>
      </c>
      <c r="M21" s="2"/>
      <c r="N21" s="19">
        <f t="shared" si="1"/>
        <v>0</v>
      </c>
      <c r="O21" s="11"/>
      <c r="P21" s="2">
        <f>--35853.1</f>
        <v>35853.1</v>
      </c>
      <c r="Q21" s="2"/>
      <c r="R21" s="19"/>
      <c r="S21" s="2"/>
      <c r="T21" s="2"/>
      <c r="U21" s="2"/>
      <c r="V21" s="19"/>
      <c r="W21" s="2"/>
      <c r="X21" s="2">
        <f t="shared" si="2"/>
        <v>35853.1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--2.97</f>
        <v>2.97</v>
      </c>
      <c r="E23" s="2"/>
      <c r="F23" s="19"/>
      <c r="G23" s="2"/>
      <c r="H23" s="2"/>
      <c r="I23" s="2"/>
      <c r="J23" s="19"/>
      <c r="K23" s="2"/>
      <c r="L23" s="2">
        <f t="shared" si="0"/>
        <v>2.97</v>
      </c>
      <c r="M23" s="2"/>
      <c r="N23" s="19">
        <f t="shared" si="1"/>
        <v>0</v>
      </c>
      <c r="O23" s="11"/>
      <c r="P23" s="2">
        <f>--26.73</f>
        <v>26.73</v>
      </c>
      <c r="Q23" s="2"/>
      <c r="R23" s="19"/>
      <c r="S23" s="2"/>
      <c r="T23" s="2"/>
      <c r="U23" s="2"/>
      <c r="V23" s="19"/>
      <c r="W23" s="2"/>
      <c r="X23" s="2">
        <f t="shared" si="2"/>
        <v>26.73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--12</f>
        <v>12</v>
      </c>
      <c r="E24" s="2"/>
      <c r="F24" s="19"/>
      <c r="G24" s="2"/>
      <c r="H24" s="2"/>
      <c r="I24" s="2"/>
      <c r="J24" s="19"/>
      <c r="K24" s="2"/>
      <c r="L24" s="2">
        <f t="shared" si="0"/>
        <v>12</v>
      </c>
      <c r="M24" s="2"/>
      <c r="N24" s="19">
        <f t="shared" si="1"/>
        <v>0</v>
      </c>
      <c r="O24" s="11"/>
      <c r="P24" s="2">
        <f>--85.5</f>
        <v>85.5</v>
      </c>
      <c r="Q24" s="2"/>
      <c r="R24" s="19"/>
      <c r="S24" s="2"/>
      <c r="T24" s="2"/>
      <c r="U24" s="2"/>
      <c r="V24" s="19"/>
      <c r="W24" s="2"/>
      <c r="X24" s="2">
        <f t="shared" si="2"/>
        <v>85.5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--4377.82</f>
        <v>4377.82</v>
      </c>
      <c r="E25" s="2"/>
      <c r="F25" s="19"/>
      <c r="G25" s="2"/>
      <c r="H25" s="2"/>
      <c r="I25" s="2"/>
      <c r="J25" s="19"/>
      <c r="K25" s="2"/>
      <c r="L25" s="2">
        <f t="shared" si="0"/>
        <v>4377.82</v>
      </c>
      <c r="M25" s="2"/>
      <c r="N25" s="19">
        <f t="shared" si="1"/>
        <v>0</v>
      </c>
      <c r="O25" s="11"/>
      <c r="P25" s="2">
        <f>--12635.52</f>
        <v>12635.52</v>
      </c>
      <c r="Q25" s="2"/>
      <c r="R25" s="19"/>
      <c r="S25" s="2"/>
      <c r="T25" s="2"/>
      <c r="U25" s="2"/>
      <c r="V25" s="19"/>
      <c r="W25" s="2"/>
      <c r="X25" s="2">
        <f t="shared" si="2"/>
        <v>12635.52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"4141", " - ", "NON-TAXABLE SALES-LOGO GIFTS")</f>
        <v xml:space="preserve">          4141 - NON-TAXABLE SALES-LOGO GIFTS</v>
      </c>
      <c r="C26" s="11"/>
      <c r="D26" s="2">
        <f>--581.29</f>
        <v>581.29</v>
      </c>
      <c r="E26" s="2"/>
      <c r="F26" s="19"/>
      <c r="G26" s="2"/>
      <c r="H26" s="2"/>
      <c r="I26" s="2"/>
      <c r="J26" s="19"/>
      <c r="K26" s="2"/>
      <c r="L26" s="2">
        <f t="shared" si="0"/>
        <v>581.29</v>
      </c>
      <c r="M26" s="2"/>
      <c r="N26" s="19">
        <f t="shared" si="1"/>
        <v>0</v>
      </c>
      <c r="O26" s="11"/>
      <c r="P26" s="2">
        <f>--1243.18</f>
        <v>1243.18</v>
      </c>
      <c r="Q26" s="2"/>
      <c r="R26" s="19"/>
      <c r="S26" s="2"/>
      <c r="T26" s="2"/>
      <c r="U26" s="2"/>
      <c r="V26" s="19"/>
      <c r="W26" s="2"/>
      <c r="X26" s="2">
        <f t="shared" si="2"/>
        <v>1243.18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--636.31</f>
        <v>636.30999999999995</v>
      </c>
      <c r="E27" s="2"/>
      <c r="F27" s="19"/>
      <c r="G27" s="2"/>
      <c r="H27" s="2"/>
      <c r="I27" s="2"/>
      <c r="J27" s="19"/>
      <c r="K27" s="2"/>
      <c r="L27" s="2">
        <f t="shared" si="0"/>
        <v>636.30999999999995</v>
      </c>
      <c r="M27" s="2"/>
      <c r="N27" s="19">
        <f t="shared" si="1"/>
        <v>0</v>
      </c>
      <c r="O27" s="11"/>
      <c r="P27" s="2">
        <f>--1571.31</f>
        <v>1571.31</v>
      </c>
      <c r="Q27" s="2"/>
      <c r="R27" s="19"/>
      <c r="S27" s="2"/>
      <c r="T27" s="2"/>
      <c r="U27" s="2"/>
      <c r="V27" s="19"/>
      <c r="W27" s="2"/>
      <c r="X27" s="2">
        <f t="shared" si="2"/>
        <v>1571.31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"4144", " - ", "NON-TAXABLE SALES-ACCESSORIES")</f>
        <v xml:space="preserve">          4144 - NON-TAXABLE SALES-ACCESSORIES</v>
      </c>
      <c r="C28" s="11"/>
      <c r="D28" s="2">
        <f>--71.85</f>
        <v>71.849999999999994</v>
      </c>
      <c r="E28" s="2"/>
      <c r="F28" s="19"/>
      <c r="G28" s="2"/>
      <c r="H28" s="2"/>
      <c r="I28" s="2"/>
      <c r="J28" s="19"/>
      <c r="K28" s="2"/>
      <c r="L28" s="2">
        <f t="shared" si="0"/>
        <v>71.849999999999994</v>
      </c>
      <c r="M28" s="2"/>
      <c r="N28" s="19">
        <f t="shared" si="1"/>
        <v>0</v>
      </c>
      <c r="O28" s="11"/>
      <c r="P28" s="2">
        <f>--211.61</f>
        <v>211.61</v>
      </c>
      <c r="Q28" s="2"/>
      <c r="R28" s="19"/>
      <c r="S28" s="2"/>
      <c r="T28" s="2"/>
      <c r="U28" s="2"/>
      <c r="V28" s="19"/>
      <c r="W28" s="2"/>
      <c r="X28" s="2">
        <f t="shared" si="2"/>
        <v>211.61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--90</f>
        <v>90</v>
      </c>
      <c r="Q29" s="2"/>
      <c r="R29" s="19"/>
      <c r="S29" s="2"/>
      <c r="T29" s="2"/>
      <c r="U29" s="2"/>
      <c r="V29" s="19"/>
      <c r="W29" s="2"/>
      <c r="X29" s="2">
        <f t="shared" si="2"/>
        <v>90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>-134.8</f>
        <v>-134.80000000000001</v>
      </c>
      <c r="E30" s="2"/>
      <c r="F30" s="19"/>
      <c r="G30" s="2"/>
      <c r="H30" s="2"/>
      <c r="I30" s="2"/>
      <c r="J30" s="19"/>
      <c r="K30" s="2"/>
      <c r="L30" s="2">
        <f t="shared" si="0"/>
        <v>-134.80000000000001</v>
      </c>
      <c r="M30" s="2"/>
      <c r="N30" s="19">
        <f t="shared" si="1"/>
        <v>0</v>
      </c>
      <c r="O30" s="11"/>
      <c r="P30" s="2">
        <f>-134.8</f>
        <v>-134.80000000000001</v>
      </c>
      <c r="Q30" s="2"/>
      <c r="R30" s="19"/>
      <c r="S30" s="2"/>
      <c r="T30" s="2"/>
      <c r="U30" s="2"/>
      <c r="V30" s="19"/>
      <c r="W30" s="2"/>
      <c r="X30" s="2">
        <f t="shared" si="2"/>
        <v>-134.80000000000001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-9501.82</f>
        <v>-9501.82</v>
      </c>
      <c r="E31" s="2"/>
      <c r="F31" s="19"/>
      <c r="G31" s="2"/>
      <c r="H31" s="2"/>
      <c r="I31" s="2"/>
      <c r="J31" s="19"/>
      <c r="K31" s="2"/>
      <c r="L31" s="2">
        <f t="shared" si="0"/>
        <v>-9501.82</v>
      </c>
      <c r="M31" s="2"/>
      <c r="N31" s="19">
        <f t="shared" si="1"/>
        <v>0</v>
      </c>
      <c r="O31" s="11"/>
      <c r="P31" s="2">
        <f>-30294.8</f>
        <v>-30294.799999999999</v>
      </c>
      <c r="Q31" s="2"/>
      <c r="R31" s="19"/>
      <c r="S31" s="2"/>
      <c r="T31" s="2"/>
      <c r="U31" s="2"/>
      <c r="V31" s="19"/>
      <c r="W31" s="2"/>
      <c r="X31" s="2">
        <f t="shared" si="2"/>
        <v>-30294.799999999999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-306.07</f>
        <v>-306.07</v>
      </c>
      <c r="E32" s="2"/>
      <c r="F32" s="19"/>
      <c r="G32" s="2"/>
      <c r="H32" s="2"/>
      <c r="I32" s="2"/>
      <c r="J32" s="19"/>
      <c r="K32" s="2"/>
      <c r="L32" s="2">
        <f t="shared" si="0"/>
        <v>-306.07</v>
      </c>
      <c r="M32" s="2"/>
      <c r="N32" s="19">
        <f t="shared" si="1"/>
        <v>0</v>
      </c>
      <c r="O32" s="11"/>
      <c r="P32" s="2">
        <f>-2083.2</f>
        <v>-2083.1999999999998</v>
      </c>
      <c r="Q32" s="2"/>
      <c r="R32" s="19"/>
      <c r="S32" s="2"/>
      <c r="T32" s="2"/>
      <c r="U32" s="2"/>
      <c r="V32" s="19"/>
      <c r="W32" s="2"/>
      <c r="X32" s="2">
        <f t="shared" si="2"/>
        <v>-2083.1999999999998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-165.1</f>
        <v>-165.1</v>
      </c>
      <c r="E33" s="2"/>
      <c r="F33" s="19"/>
      <c r="G33" s="2"/>
      <c r="H33" s="2"/>
      <c r="I33" s="2"/>
      <c r="J33" s="19"/>
      <c r="K33" s="2"/>
      <c r="L33" s="2">
        <f t="shared" si="0"/>
        <v>-165.1</v>
      </c>
      <c r="M33" s="2"/>
      <c r="N33" s="19">
        <f t="shared" si="1"/>
        <v>0</v>
      </c>
      <c r="O33" s="11"/>
      <c r="P33" s="2">
        <f>-1143.37</f>
        <v>-1143.3699999999999</v>
      </c>
      <c r="Q33" s="2"/>
      <c r="R33" s="19"/>
      <c r="S33" s="2"/>
      <c r="T33" s="2"/>
      <c r="U33" s="2"/>
      <c r="V33" s="19"/>
      <c r="W33" s="2"/>
      <c r="X33" s="2">
        <f t="shared" si="2"/>
        <v>-1143.3699999999999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"4243", " - ", "SALES RETURN TAXABLE-CARDS")</f>
        <v xml:space="preserve">          4243 - SALES RETURN TAXABLE-CARDS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-4.5</f>
        <v>-4.5</v>
      </c>
      <c r="Q34" s="2"/>
      <c r="R34" s="19"/>
      <c r="S34" s="2"/>
      <c r="T34" s="2"/>
      <c r="U34" s="2"/>
      <c r="V34" s="19"/>
      <c r="W34" s="2"/>
      <c r="X34" s="2">
        <f t="shared" si="2"/>
        <v>-4.5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"4244", " - ", "SALES RETURN TAXABLE-ACCESSORI")</f>
        <v xml:space="preserve">          4244 - SALES RETURN TAXABLE-ACCESSORI</v>
      </c>
      <c r="C35" s="11"/>
      <c r="D35" s="2">
        <f>-177.85</f>
        <v>-177.85</v>
      </c>
      <c r="E35" s="2"/>
      <c r="F35" s="19"/>
      <c r="G35" s="2"/>
      <c r="H35" s="2"/>
      <c r="I35" s="2"/>
      <c r="J35" s="19"/>
      <c r="K35" s="2"/>
      <c r="L35" s="2">
        <f t="shared" si="0"/>
        <v>-177.85</v>
      </c>
      <c r="M35" s="2"/>
      <c r="N35" s="19">
        <f t="shared" si="1"/>
        <v>0</v>
      </c>
      <c r="O35" s="11"/>
      <c r="P35" s="2">
        <f>-1432.36</f>
        <v>-1432.36</v>
      </c>
      <c r="Q35" s="2"/>
      <c r="R35" s="19"/>
      <c r="S35" s="2"/>
      <c r="T35" s="2"/>
      <c r="U35" s="2"/>
      <c r="V35" s="19"/>
      <c r="W35" s="2"/>
      <c r="X35" s="2">
        <f t="shared" si="2"/>
        <v>-1432.36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"4245", " - ", "SALES RETURN TAXABLE-SPECIAL O")</f>
        <v xml:space="preserve">          4245 - SALES RETURN TAXABLE-SPECIAL O</v>
      </c>
      <c r="C36" s="11"/>
      <c r="D36" s="2">
        <f t="shared" ref="D36:D38" si="4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-91.96</f>
        <v>-91.96</v>
      </c>
      <c r="Q36" s="2"/>
      <c r="R36" s="19"/>
      <c r="S36" s="2"/>
      <c r="T36" s="2"/>
      <c r="U36" s="2"/>
      <c r="V36" s="19"/>
      <c r="W36" s="2"/>
      <c r="X36" s="2">
        <f t="shared" si="2"/>
        <v>-91.96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"4295", " - ", "SALES RETURN TAXABLE-CUSTOMER")</f>
        <v xml:space="preserve">          4295 - SALES RETURN TAXABLE-CUSTOMER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--0.99</f>
        <v>0.99</v>
      </c>
      <c r="Q37" s="2"/>
      <c r="R37" s="19"/>
      <c r="S37" s="2"/>
      <c r="T37" s="2"/>
      <c r="U37" s="2"/>
      <c r="V37" s="19"/>
      <c r="W37" s="2"/>
      <c r="X37" s="2">
        <f t="shared" si="2"/>
        <v>0.99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"4340", " - ", "SALES RETURN NON TAXABLE-LOGO")</f>
        <v xml:space="preserve">          4340 - SALES RETURN NON TAXABLE-LOGO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-293.45</f>
        <v>-293.45</v>
      </c>
      <c r="Q38" s="2"/>
      <c r="R38" s="19"/>
      <c r="S38" s="2"/>
      <c r="T38" s="2"/>
      <c r="U38" s="2"/>
      <c r="V38" s="19"/>
      <c r="W38" s="2"/>
      <c r="X38" s="2">
        <f t="shared" si="2"/>
        <v>-293.45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"4341", " - ", "SALES RETURN NON TAXABLE-LOGO")</f>
        <v xml:space="preserve">          4341 - SALES RETURN NON TAXABLE-LOGO</v>
      </c>
      <c r="C39" s="11"/>
      <c r="D39" s="2">
        <f>-6.95</f>
        <v>-6.95</v>
      </c>
      <c r="E39" s="2"/>
      <c r="F39" s="19"/>
      <c r="G39" s="2"/>
      <c r="H39" s="2"/>
      <c r="I39" s="2"/>
      <c r="J39" s="19"/>
      <c r="K39" s="2"/>
      <c r="L39" s="2">
        <f t="shared" si="0"/>
        <v>-6.95</v>
      </c>
      <c r="M39" s="2"/>
      <c r="N39" s="19">
        <f t="shared" si="1"/>
        <v>0</v>
      </c>
      <c r="O39" s="11"/>
      <c r="P39" s="2">
        <f>-10.9</f>
        <v>-10.9</v>
      </c>
      <c r="Q39" s="2"/>
      <c r="R39" s="19"/>
      <c r="S39" s="2"/>
      <c r="T39" s="2"/>
      <c r="U39" s="2"/>
      <c r="V39" s="19"/>
      <c r="W39" s="2"/>
      <c r="X39" s="2">
        <f t="shared" si="2"/>
        <v>-10.9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"4342", " - ", "SALES RETURN NON TAXABLE-EVERY")</f>
        <v xml:space="preserve">          4342 - SALES RETURN NON TAXABLE-EVERY</v>
      </c>
      <c r="C40" s="11"/>
      <c r="D40" s="2">
        <f>-92.85</f>
        <v>-92.85</v>
      </c>
      <c r="E40" s="2"/>
      <c r="F40" s="19"/>
      <c r="G40" s="2"/>
      <c r="H40" s="2"/>
      <c r="I40" s="2"/>
      <c r="J40" s="19"/>
      <c r="K40" s="2"/>
      <c r="L40" s="2">
        <f t="shared" si="0"/>
        <v>-92.85</v>
      </c>
      <c r="M40" s="2"/>
      <c r="N40" s="19">
        <f t="shared" si="1"/>
        <v>0</v>
      </c>
      <c r="O40" s="11"/>
      <c r="P40" s="2">
        <f>-102.85</f>
        <v>-102.85</v>
      </c>
      <c r="Q40" s="2"/>
      <c r="R40" s="19"/>
      <c r="S40" s="2"/>
      <c r="T40" s="2"/>
      <c r="U40" s="2"/>
      <c r="V40" s="19"/>
      <c r="W40" s="2"/>
      <c r="X40" s="2">
        <f t="shared" si="2"/>
        <v>-102.85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121203.68000000001</v>
      </c>
      <c r="E42" s="4"/>
      <c r="F42" s="12">
        <f t="shared" ref="F42:F64" si="5">IF(D$12=0,0,D42/D$12)</f>
        <v>0.46117924671168642</v>
      </c>
      <c r="G42" s="4"/>
      <c r="H42" s="4">
        <f>SUM(OSRRefH16x_0)</f>
        <v>113400.43127999999</v>
      </c>
      <c r="I42" s="4"/>
      <c r="J42" s="12">
        <f t="shared" ref="J42:J64" si="6">IF(H$12=0,0,H42/H$12)</f>
        <v>0.4502632774783446</v>
      </c>
      <c r="K42" s="4"/>
      <c r="L42" s="4">
        <f t="shared" ref="L42:L64" si="7">+D42-H42</f>
        <v>7803.2487200000178</v>
      </c>
      <c r="M42" s="4"/>
      <c r="N42" s="12">
        <f t="shared" ref="N42:N64" si="8">IF(H42=0,0,L42/H42)</f>
        <v>6.8811455405604335E-2</v>
      </c>
      <c r="O42" s="10"/>
      <c r="P42" s="4">
        <f>SUM(OSRRefP16x_0)</f>
        <v>511221.28999999992</v>
      </c>
      <c r="Q42" s="4"/>
      <c r="R42" s="12">
        <f t="shared" ref="R42:R64" si="9">IF(P$12=0,0,P42/P$12)</f>
        <v>0.45547320929416024</v>
      </c>
      <c r="S42" s="4"/>
      <c r="T42" s="4">
        <f>SUM(OSRRefT16x_0)</f>
        <v>492398.04846999998</v>
      </c>
      <c r="U42" s="4"/>
      <c r="V42" s="12">
        <f t="shared" ref="V42:V64" si="10">IF(T$12=0,0,T42/T$12)</f>
        <v>0.45551926192829251</v>
      </c>
      <c r="W42" s="4"/>
      <c r="X42" s="4">
        <f t="shared" ref="X42:X64" si="11">+P42-T42</f>
        <v>18823.241529999941</v>
      </c>
      <c r="Y42" s="4"/>
      <c r="Z42" s="12">
        <f t="shared" ref="Z42:Z64" si="12">IF(T42=0,0,X42/T42)</f>
        <v>3.8227693201645117E-2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113400.43127999999</v>
      </c>
      <c r="I43" s="2"/>
      <c r="J43" s="19">
        <f t="shared" si="6"/>
        <v>0.4502632774783446</v>
      </c>
      <c r="K43" s="2"/>
      <c r="L43" s="2">
        <f t="shared" si="7"/>
        <v>-113400.43127999999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492398.04846999998</v>
      </c>
      <c r="U43" s="2"/>
      <c r="V43" s="19">
        <f t="shared" si="10"/>
        <v>0.45551926192829251</v>
      </c>
      <c r="W43" s="2"/>
      <c r="X43" s="2">
        <f t="shared" si="11"/>
        <v>-492398.04846999998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"5026", " - ", "PURCHASES @ COST-WRITING INSTR")</f>
        <v xml:space="preserve">          5026 - PURCHASES @ COST-WRITING INSTR</v>
      </c>
      <c r="C44" s="11"/>
      <c r="D44" s="2">
        <v>28.56</v>
      </c>
      <c r="E44" s="2"/>
      <c r="F44" s="19">
        <f t="shared" si="5"/>
        <v>1.0867062193231892E-4</v>
      </c>
      <c r="G44" s="2"/>
      <c r="H44" s="2"/>
      <c r="I44" s="2"/>
      <c r="J44" s="19">
        <f t="shared" si="6"/>
        <v>0</v>
      </c>
      <c r="K44" s="2"/>
      <c r="L44" s="2">
        <f t="shared" si="7"/>
        <v>28.56</v>
      </c>
      <c r="M44" s="2"/>
      <c r="N44" s="19">
        <f t="shared" si="8"/>
        <v>0</v>
      </c>
      <c r="O44" s="11"/>
      <c r="P44" s="2">
        <v>-36.369999999999997</v>
      </c>
      <c r="Q44" s="2"/>
      <c r="R44" s="19">
        <f t="shared" si="9"/>
        <v>-3.2403894254929426E-5</v>
      </c>
      <c r="S44" s="2"/>
      <c r="T44" s="2"/>
      <c r="U44" s="2"/>
      <c r="V44" s="19">
        <f t="shared" si="10"/>
        <v>0</v>
      </c>
      <c r="W44" s="2"/>
      <c r="X44" s="2">
        <f t="shared" si="11"/>
        <v>-36.369999999999997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"5027", " - ", "PURCHASES @ COST-SCHOOL SUPPLI")</f>
        <v xml:space="preserve">          5027 - PURCHASES @ COST-SCHOOL SUPPLI</v>
      </c>
      <c r="C45" s="11"/>
      <c r="D45" s="2">
        <v>18.54</v>
      </c>
      <c r="E45" s="2"/>
      <c r="F45" s="19">
        <f t="shared" si="5"/>
        <v>7.0544584405644002E-5</v>
      </c>
      <c r="G45" s="2"/>
      <c r="H45" s="2"/>
      <c r="I45" s="2"/>
      <c r="J45" s="19">
        <f t="shared" si="6"/>
        <v>0</v>
      </c>
      <c r="K45" s="2"/>
      <c r="L45" s="2">
        <f t="shared" si="7"/>
        <v>18.54</v>
      </c>
      <c r="M45" s="2"/>
      <c r="N45" s="19">
        <f t="shared" si="8"/>
        <v>0</v>
      </c>
      <c r="O45" s="11"/>
      <c r="P45" s="2">
        <v>47</v>
      </c>
      <c r="Q45" s="2"/>
      <c r="R45" s="19">
        <f t="shared" si="9"/>
        <v>4.1874705251077351E-5</v>
      </c>
      <c r="S45" s="2"/>
      <c r="T45" s="2"/>
      <c r="U45" s="2"/>
      <c r="V45" s="19">
        <f t="shared" si="10"/>
        <v>0</v>
      </c>
      <c r="W45" s="2"/>
      <c r="X45" s="2">
        <f t="shared" si="11"/>
        <v>47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"5037", " - ", "PURCHASES @ COST-WATER")</f>
        <v xml:space="preserve">          5037 - PURCHASES @ COST-WATER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29.76</v>
      </c>
      <c r="Q46" s="2"/>
      <c r="R46" s="19">
        <f t="shared" si="9"/>
        <v>2.6514706984511956E-5</v>
      </c>
      <c r="S46" s="2"/>
      <c r="T46" s="2"/>
      <c r="U46" s="2"/>
      <c r="V46" s="19">
        <f t="shared" si="10"/>
        <v>0</v>
      </c>
      <c r="W46" s="2"/>
      <c r="X46" s="2">
        <f t="shared" si="11"/>
        <v>29.76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"5040", " - ", "PURCHASES @ COST-LOGO CLOTHING")</f>
        <v xml:space="preserve">          5040 - PURCHASES @ COST-LOGO CLOTHING</v>
      </c>
      <c r="C47" s="11"/>
      <c r="D47" s="2">
        <v>176749.05</v>
      </c>
      <c r="E47" s="2"/>
      <c r="F47" s="19">
        <f t="shared" si="5"/>
        <v>0.67252903324392621</v>
      </c>
      <c r="G47" s="2"/>
      <c r="H47" s="2"/>
      <c r="I47" s="2"/>
      <c r="J47" s="19">
        <f t="shared" si="6"/>
        <v>0</v>
      </c>
      <c r="K47" s="2"/>
      <c r="L47" s="2">
        <f t="shared" si="7"/>
        <v>176749.05</v>
      </c>
      <c r="M47" s="2"/>
      <c r="N47" s="19">
        <f t="shared" si="8"/>
        <v>0</v>
      </c>
      <c r="O47" s="11"/>
      <c r="P47" s="2">
        <v>512600.91000000003</v>
      </c>
      <c r="Q47" s="2"/>
      <c r="R47" s="19">
        <f t="shared" si="9"/>
        <v>0.45670238335497931</v>
      </c>
      <c r="S47" s="2"/>
      <c r="T47" s="2"/>
      <c r="U47" s="2"/>
      <c r="V47" s="19">
        <f t="shared" si="10"/>
        <v>0</v>
      </c>
      <c r="W47" s="2"/>
      <c r="X47" s="2">
        <f t="shared" si="11"/>
        <v>512600.91000000003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"5041", " - ", "PURCHASES @ COST-LOGO GIFTS")</f>
        <v xml:space="preserve">          5041 - PURCHASES @ COST-LOGO GIFTS</v>
      </c>
      <c r="C48" s="11"/>
      <c r="D48" s="2">
        <v>27759.98</v>
      </c>
      <c r="E48" s="2"/>
      <c r="F48" s="19">
        <f t="shared" si="5"/>
        <v>0.10562655082033384</v>
      </c>
      <c r="G48" s="2"/>
      <c r="H48" s="2"/>
      <c r="I48" s="2"/>
      <c r="J48" s="19">
        <f t="shared" si="6"/>
        <v>0</v>
      </c>
      <c r="K48" s="2"/>
      <c r="L48" s="2">
        <f t="shared" si="7"/>
        <v>27759.98</v>
      </c>
      <c r="M48" s="2"/>
      <c r="N48" s="19">
        <f t="shared" si="8"/>
        <v>0</v>
      </c>
      <c r="O48" s="11"/>
      <c r="P48" s="2">
        <v>70456.460000000006</v>
      </c>
      <c r="Q48" s="2"/>
      <c r="R48" s="19">
        <f t="shared" si="9"/>
        <v>6.277326586243237E-2</v>
      </c>
      <c r="S48" s="2"/>
      <c r="T48" s="2"/>
      <c r="U48" s="2"/>
      <c r="V48" s="19">
        <f t="shared" si="10"/>
        <v>0</v>
      </c>
      <c r="W48" s="2"/>
      <c r="X48" s="2">
        <f t="shared" si="11"/>
        <v>70456.460000000006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"5042", " - ", "PURCHASES @ COST-EVERYDAY GIFT")</f>
        <v xml:space="preserve">          5042 - PURCHASES @ COST-EVERYDAY GIFT</v>
      </c>
      <c r="C49" s="11"/>
      <c r="D49" s="2">
        <v>13956.79</v>
      </c>
      <c r="E49" s="2"/>
      <c r="F49" s="19">
        <f t="shared" si="5"/>
        <v>5.3105498931329459E-2</v>
      </c>
      <c r="G49" s="2"/>
      <c r="H49" s="2"/>
      <c r="I49" s="2"/>
      <c r="J49" s="19">
        <f t="shared" si="6"/>
        <v>0</v>
      </c>
      <c r="K49" s="2"/>
      <c r="L49" s="2">
        <f t="shared" si="7"/>
        <v>13956.79</v>
      </c>
      <c r="M49" s="2"/>
      <c r="N49" s="19">
        <f t="shared" si="8"/>
        <v>0</v>
      </c>
      <c r="O49" s="11"/>
      <c r="P49" s="2">
        <v>49248.47</v>
      </c>
      <c r="Q49" s="2"/>
      <c r="R49" s="19">
        <f t="shared" si="9"/>
        <v>4.3877982240777137E-2</v>
      </c>
      <c r="S49" s="2"/>
      <c r="T49" s="2"/>
      <c r="U49" s="2"/>
      <c r="V49" s="19">
        <f t="shared" si="10"/>
        <v>0</v>
      </c>
      <c r="W49" s="2"/>
      <c r="X49" s="2">
        <f t="shared" si="11"/>
        <v>49248.47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"5043", " - ", "PURCHASES @ COST-CARDS")</f>
        <v xml:space="preserve">          5043 - PURCHASES @ COST-CARDS</v>
      </c>
      <c r="C50" s="11"/>
      <c r="D50" s="2">
        <v>331.09</v>
      </c>
      <c r="E50" s="2"/>
      <c r="F50" s="19">
        <f t="shared" si="5"/>
        <v>1.2597953856992811E-3</v>
      </c>
      <c r="G50" s="2"/>
      <c r="H50" s="2"/>
      <c r="I50" s="2"/>
      <c r="J50" s="19">
        <f t="shared" si="6"/>
        <v>0</v>
      </c>
      <c r="K50" s="2"/>
      <c r="L50" s="2">
        <f t="shared" si="7"/>
        <v>331.09</v>
      </c>
      <c r="M50" s="2"/>
      <c r="N50" s="19">
        <f t="shared" si="8"/>
        <v>0</v>
      </c>
      <c r="O50" s="11"/>
      <c r="P50" s="2">
        <v>1340.08</v>
      </c>
      <c r="Q50" s="2"/>
      <c r="R50" s="19">
        <f t="shared" si="9"/>
        <v>1.1939458513375262E-3</v>
      </c>
      <c r="S50" s="2"/>
      <c r="T50" s="2"/>
      <c r="U50" s="2"/>
      <c r="V50" s="19">
        <f t="shared" si="10"/>
        <v>0</v>
      </c>
      <c r="W50" s="2"/>
      <c r="X50" s="2">
        <f t="shared" si="11"/>
        <v>1340.08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"5044", " - ", "PURCHASES @ COST-ACCESSORIES")</f>
        <v xml:space="preserve">          5044 - PURCHASES @ COST-ACCESSORIES</v>
      </c>
      <c r="C51" s="11"/>
      <c r="D51" s="2">
        <v>3747.48</v>
      </c>
      <c r="E51" s="2"/>
      <c r="F51" s="19">
        <f t="shared" si="5"/>
        <v>1.4259138034976419E-2</v>
      </c>
      <c r="G51" s="2"/>
      <c r="H51" s="2"/>
      <c r="I51" s="2"/>
      <c r="J51" s="19">
        <f t="shared" si="6"/>
        <v>0</v>
      </c>
      <c r="K51" s="2"/>
      <c r="L51" s="2">
        <f t="shared" si="7"/>
        <v>3747.48</v>
      </c>
      <c r="M51" s="2"/>
      <c r="N51" s="19">
        <f t="shared" si="8"/>
        <v>0</v>
      </c>
      <c r="O51" s="11"/>
      <c r="P51" s="2">
        <v>24151.129999999997</v>
      </c>
      <c r="Q51" s="2"/>
      <c r="R51" s="19">
        <f t="shared" si="9"/>
        <v>2.1517477664477692E-2</v>
      </c>
      <c r="S51" s="2"/>
      <c r="T51" s="2"/>
      <c r="U51" s="2"/>
      <c r="V51" s="19">
        <f t="shared" si="10"/>
        <v>0</v>
      </c>
      <c r="W51" s="2"/>
      <c r="X51" s="2">
        <f t="shared" si="11"/>
        <v>24151.129999999997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"5045", " - ", "PURCHASES @ COST-SPECIAL ORDER")</f>
        <v xml:space="preserve">          5045 - PURCHASES @ COST-SPECIAL ORDER</v>
      </c>
      <c r="C52" s="11"/>
      <c r="D52" s="2">
        <v>3599.17</v>
      </c>
      <c r="E52" s="2"/>
      <c r="F52" s="19">
        <f t="shared" si="5"/>
        <v>1.3694819409668917E-2</v>
      </c>
      <c r="G52" s="2"/>
      <c r="H52" s="2"/>
      <c r="I52" s="2"/>
      <c r="J52" s="19">
        <f t="shared" si="6"/>
        <v>0</v>
      </c>
      <c r="K52" s="2"/>
      <c r="L52" s="2">
        <f t="shared" si="7"/>
        <v>3599.17</v>
      </c>
      <c r="M52" s="2"/>
      <c r="N52" s="19">
        <f t="shared" si="8"/>
        <v>0</v>
      </c>
      <c r="O52" s="11"/>
      <c r="P52" s="2">
        <v>28063.200000000001</v>
      </c>
      <c r="Q52" s="2"/>
      <c r="R52" s="19">
        <f t="shared" si="9"/>
        <v>2.5002941029830507E-2</v>
      </c>
      <c r="S52" s="2"/>
      <c r="T52" s="2"/>
      <c r="U52" s="2"/>
      <c r="V52" s="19">
        <f t="shared" si="10"/>
        <v>0</v>
      </c>
      <c r="W52" s="2"/>
      <c r="X52" s="2">
        <f t="shared" si="11"/>
        <v>28063.200000000001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"5083", " - ", "PURCHASES @ COST-COMPUTER EQUI")</f>
        <v xml:space="preserve">          5083 - PURCHASES @ COST-COMPUTER EQUI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39.950000000000003</v>
      </c>
      <c r="Q53" s="2"/>
      <c r="R53" s="19">
        <f t="shared" si="9"/>
        <v>3.5593499463415752E-5</v>
      </c>
      <c r="S53" s="2"/>
      <c r="T53" s="2"/>
      <c r="U53" s="2"/>
      <c r="V53" s="19">
        <f t="shared" si="10"/>
        <v>0</v>
      </c>
      <c r="W53" s="2"/>
      <c r="X53" s="2">
        <f t="shared" si="11"/>
        <v>39.950000000000003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"5092", " - ", "PURCHASES @ COST-GRAD MERCH")</f>
        <v xml:space="preserve">          5092 - PURCHASES @ COST-GRAD MERCH</v>
      </c>
      <c r="C54" s="11"/>
      <c r="D54" s="2">
        <v>-47.4</v>
      </c>
      <c r="E54" s="2"/>
      <c r="F54" s="19">
        <f t="shared" si="5"/>
        <v>-1.8035670446750409E-4</v>
      </c>
      <c r="G54" s="2"/>
      <c r="H54" s="2"/>
      <c r="I54" s="2"/>
      <c r="J54" s="19">
        <f t="shared" si="6"/>
        <v>0</v>
      </c>
      <c r="K54" s="2"/>
      <c r="L54" s="2">
        <f t="shared" si="7"/>
        <v>-47.4</v>
      </c>
      <c r="M54" s="2"/>
      <c r="N54" s="19">
        <f t="shared" si="8"/>
        <v>0</v>
      </c>
      <c r="O54" s="11"/>
      <c r="P54" s="2">
        <v>-60.35</v>
      </c>
      <c r="Q54" s="2"/>
      <c r="R54" s="19">
        <f t="shared" si="9"/>
        <v>-5.3768903444734426E-5</v>
      </c>
      <c r="S54" s="2"/>
      <c r="T54" s="2"/>
      <c r="U54" s="2"/>
      <c r="V54" s="19">
        <f t="shared" si="10"/>
        <v>0</v>
      </c>
      <c r="W54" s="2"/>
      <c r="X54" s="2">
        <f t="shared" si="11"/>
        <v>-60.35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"5095", " - ", "PURCHASES @ COST-CUSTOMER SERV")</f>
        <v xml:space="preserve">          5095 - PURCHASES @ COST-CUSTOMER SERV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-11.85</v>
      </c>
      <c r="Q55" s="2"/>
      <c r="R55" s="19">
        <f t="shared" si="9"/>
        <v>-1.0557771430324821E-5</v>
      </c>
      <c r="S55" s="2"/>
      <c r="T55" s="2"/>
      <c r="U55" s="2"/>
      <c r="V55" s="19">
        <f t="shared" si="10"/>
        <v>0</v>
      </c>
      <c r="W55" s="2"/>
      <c r="X55" s="2">
        <f t="shared" si="11"/>
        <v>-11.85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"5200", " - ", "PURCHASES OFFSET")</f>
        <v xml:space="preserve">          5200 - PURCHASES OFFSET</v>
      </c>
      <c r="C56" s="11"/>
      <c r="D56" s="2">
        <v>-236869.00000000003</v>
      </c>
      <c r="E56" s="2"/>
      <c r="F56" s="19">
        <f t="shared" si="5"/>
        <v>-0.90128506815428755</v>
      </c>
      <c r="G56" s="2"/>
      <c r="H56" s="2"/>
      <c r="I56" s="2"/>
      <c r="J56" s="19">
        <f t="shared" si="6"/>
        <v>0</v>
      </c>
      <c r="K56" s="2"/>
      <c r="L56" s="2">
        <f t="shared" si="7"/>
        <v>-236869.00000000003</v>
      </c>
      <c r="M56" s="2"/>
      <c r="N56" s="19">
        <f t="shared" si="8"/>
        <v>0</v>
      </c>
      <c r="O56" s="11"/>
      <c r="P56" s="2">
        <v>-702994</v>
      </c>
      <c r="Q56" s="2"/>
      <c r="R56" s="19">
        <f t="shared" si="9"/>
        <v>-0.62633333070799724</v>
      </c>
      <c r="S56" s="2"/>
      <c r="T56" s="2"/>
      <c r="U56" s="2"/>
      <c r="V56" s="19">
        <f t="shared" si="10"/>
        <v>0</v>
      </c>
      <c r="W56" s="2"/>
      <c r="X56" s="2">
        <f t="shared" si="11"/>
        <v>-702994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"5300", " - ", "COG$ OFFSET")</f>
        <v xml:space="preserve">          5300 - COG$ OFFSET</v>
      </c>
      <c r="C57" s="11"/>
      <c r="D57" s="2">
        <v>121175</v>
      </c>
      <c r="E57" s="2"/>
      <c r="F57" s="19">
        <f t="shared" si="5"/>
        <v>0.46107011949050225</v>
      </c>
      <c r="G57" s="2"/>
      <c r="H57" s="2"/>
      <c r="I57" s="2"/>
      <c r="J57" s="19">
        <f t="shared" si="6"/>
        <v>0</v>
      </c>
      <c r="K57" s="2"/>
      <c r="L57" s="2">
        <f t="shared" si="7"/>
        <v>121175</v>
      </c>
      <c r="M57" s="2"/>
      <c r="N57" s="19">
        <f t="shared" si="8"/>
        <v>0</v>
      </c>
      <c r="O57" s="11"/>
      <c r="P57" s="2">
        <v>511195.00000000006</v>
      </c>
      <c r="Q57" s="2"/>
      <c r="R57" s="19">
        <f t="shared" si="9"/>
        <v>0.45544978618775506</v>
      </c>
      <c r="S57" s="2"/>
      <c r="T57" s="2"/>
      <c r="U57" s="2"/>
      <c r="V57" s="19">
        <f t="shared" si="10"/>
        <v>0</v>
      </c>
      <c r="W57" s="2"/>
      <c r="X57" s="2">
        <f t="shared" si="11"/>
        <v>511195.00000000006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"5500", " - ", "FREIGHT-IN")</f>
        <v xml:space="preserve">          5500 - FREIGHT-IN</v>
      </c>
      <c r="C58" s="11"/>
      <c r="D58" s="2">
        <v>29.23</v>
      </c>
      <c r="E58" s="2"/>
      <c r="F58" s="19">
        <f t="shared" si="5"/>
        <v>1.1121996775496085E-4</v>
      </c>
      <c r="G58" s="2"/>
      <c r="H58" s="2"/>
      <c r="I58" s="2"/>
      <c r="J58" s="19">
        <f t="shared" si="6"/>
        <v>0</v>
      </c>
      <c r="K58" s="2"/>
      <c r="L58" s="2">
        <f t="shared" si="7"/>
        <v>29.23</v>
      </c>
      <c r="M58" s="2"/>
      <c r="N58" s="19">
        <f t="shared" si="8"/>
        <v>0</v>
      </c>
      <c r="O58" s="11"/>
      <c r="P58" s="2">
        <v>29.23</v>
      </c>
      <c r="Q58" s="2"/>
      <c r="R58" s="19">
        <f t="shared" si="9"/>
        <v>2.6042502861467892E-5</v>
      </c>
      <c r="S58" s="2"/>
      <c r="T58" s="2"/>
      <c r="U58" s="2"/>
      <c r="V58" s="19">
        <f t="shared" si="10"/>
        <v>0</v>
      </c>
      <c r="W58" s="2"/>
      <c r="X58" s="2">
        <f t="shared" si="11"/>
        <v>29.23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"5540", " - ", "FREIGHT-IN-LOGO CLOTHING")</f>
        <v xml:space="preserve">          5540 - FREIGHT-IN-LOGO CLOTHING</v>
      </c>
      <c r="C59" s="11"/>
      <c r="D59" s="2">
        <v>9102.58</v>
      </c>
      <c r="E59" s="2"/>
      <c r="F59" s="19">
        <f t="shared" si="5"/>
        <v>3.4635260146662732E-2</v>
      </c>
      <c r="G59" s="2"/>
      <c r="H59" s="2"/>
      <c r="I59" s="2"/>
      <c r="J59" s="19">
        <f t="shared" si="6"/>
        <v>0</v>
      </c>
      <c r="K59" s="2"/>
      <c r="L59" s="2">
        <f t="shared" si="7"/>
        <v>9102.58</v>
      </c>
      <c r="M59" s="2"/>
      <c r="N59" s="19">
        <f t="shared" si="8"/>
        <v>0</v>
      </c>
      <c r="O59" s="11"/>
      <c r="P59" s="2">
        <v>14107.44</v>
      </c>
      <c r="Q59" s="2"/>
      <c r="R59" s="19">
        <f t="shared" si="9"/>
        <v>1.2569040252069332E-2</v>
      </c>
      <c r="S59" s="2"/>
      <c r="T59" s="2"/>
      <c r="U59" s="2"/>
      <c r="V59" s="19">
        <f t="shared" si="10"/>
        <v>0</v>
      </c>
      <c r="W59" s="2"/>
      <c r="X59" s="2">
        <f t="shared" si="11"/>
        <v>14107.44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"5541", " - ", "FREIGHT-IN-LOGO GIFTS")</f>
        <v xml:space="preserve">          5541 - FREIGHT-IN-LOGO GIFTS</v>
      </c>
      <c r="C60" s="11"/>
      <c r="D60" s="2">
        <v>718.84</v>
      </c>
      <c r="E60" s="2"/>
      <c r="F60" s="19">
        <f t="shared" si="5"/>
        <v>2.7351817181312374E-3</v>
      </c>
      <c r="G60" s="2"/>
      <c r="H60" s="2"/>
      <c r="I60" s="2"/>
      <c r="J60" s="19">
        <f t="shared" si="6"/>
        <v>0</v>
      </c>
      <c r="K60" s="2"/>
      <c r="L60" s="2">
        <f t="shared" si="7"/>
        <v>718.84</v>
      </c>
      <c r="M60" s="2"/>
      <c r="N60" s="19">
        <f t="shared" si="8"/>
        <v>0</v>
      </c>
      <c r="O60" s="11"/>
      <c r="P60" s="2">
        <v>1536.85</v>
      </c>
      <c r="Q60" s="2"/>
      <c r="R60" s="19">
        <f t="shared" si="9"/>
        <v>1.3692583141514515E-3</v>
      </c>
      <c r="S60" s="2"/>
      <c r="T60" s="2"/>
      <c r="U60" s="2"/>
      <c r="V60" s="19">
        <f t="shared" si="10"/>
        <v>0</v>
      </c>
      <c r="W60" s="2"/>
      <c r="X60" s="2">
        <f t="shared" si="11"/>
        <v>1536.85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"5542", " - ", "FREIGHT-IN-EVERYDAY GIFTS")</f>
        <v xml:space="preserve">          5542 - FREIGHT-IN-EVERYDAY GIFTS</v>
      </c>
      <c r="C61" s="11"/>
      <c r="D61" s="2">
        <v>596.04999999999995</v>
      </c>
      <c r="E61" s="2"/>
      <c r="F61" s="19">
        <f t="shared" si="5"/>
        <v>2.2679665337100381E-3</v>
      </c>
      <c r="G61" s="2"/>
      <c r="H61" s="2"/>
      <c r="I61" s="2"/>
      <c r="J61" s="19">
        <f t="shared" si="6"/>
        <v>0</v>
      </c>
      <c r="K61" s="2"/>
      <c r="L61" s="2">
        <f t="shared" si="7"/>
        <v>596.04999999999995</v>
      </c>
      <c r="M61" s="2"/>
      <c r="N61" s="19">
        <f t="shared" si="8"/>
        <v>0</v>
      </c>
      <c r="O61" s="11"/>
      <c r="P61" s="2">
        <v>767.73</v>
      </c>
      <c r="Q61" s="2"/>
      <c r="R61" s="19">
        <f t="shared" si="9"/>
        <v>6.8400994600871523E-4</v>
      </c>
      <c r="S61" s="2"/>
      <c r="T61" s="2"/>
      <c r="U61" s="2"/>
      <c r="V61" s="19">
        <f t="shared" si="10"/>
        <v>0</v>
      </c>
      <c r="W61" s="2"/>
      <c r="X61" s="2">
        <f t="shared" si="11"/>
        <v>767.73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"5543", " - ", "FREIGHT-IN-CARDS")</f>
        <v xml:space="preserve">          5543 - FREIGHT-IN-CARDS</v>
      </c>
      <c r="C62" s="11"/>
      <c r="D62" s="2"/>
      <c r="E62" s="2"/>
      <c r="F62" s="19">
        <f t="shared" si="5"/>
        <v>0</v>
      </c>
      <c r="G62" s="2"/>
      <c r="H62" s="2"/>
      <c r="I62" s="2"/>
      <c r="J62" s="19">
        <f t="shared" si="6"/>
        <v>0</v>
      </c>
      <c r="K62" s="2"/>
      <c r="L62" s="2">
        <f t="shared" si="7"/>
        <v>0</v>
      </c>
      <c r="M62" s="2"/>
      <c r="N62" s="19">
        <f t="shared" si="8"/>
        <v>0</v>
      </c>
      <c r="O62" s="11"/>
      <c r="P62" s="2">
        <v>4.58</v>
      </c>
      <c r="Q62" s="2"/>
      <c r="R62" s="19">
        <f t="shared" si="9"/>
        <v>4.0805563840411545E-6</v>
      </c>
      <c r="S62" s="2"/>
      <c r="T62" s="2"/>
      <c r="U62" s="2"/>
      <c r="V62" s="19">
        <f t="shared" si="10"/>
        <v>0</v>
      </c>
      <c r="W62" s="2"/>
      <c r="X62" s="2">
        <f t="shared" si="11"/>
        <v>4.58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"5544", " - ", "FREIGHT-IN-ACCESSORIES")</f>
        <v xml:space="preserve">          5544 - FREIGHT-IN-ACCESSORIES</v>
      </c>
      <c r="C63" s="11"/>
      <c r="D63" s="2">
        <v>223.25</v>
      </c>
      <c r="E63" s="2"/>
      <c r="F63" s="19">
        <f t="shared" si="5"/>
        <v>8.4946485806688368E-4</v>
      </c>
      <c r="G63" s="2"/>
      <c r="H63" s="2"/>
      <c r="I63" s="2"/>
      <c r="J63" s="19">
        <f t="shared" si="6"/>
        <v>0</v>
      </c>
      <c r="K63" s="2"/>
      <c r="L63" s="2">
        <f t="shared" si="7"/>
        <v>223.25</v>
      </c>
      <c r="M63" s="2"/>
      <c r="N63" s="19">
        <f t="shared" si="8"/>
        <v>0</v>
      </c>
      <c r="O63" s="11"/>
      <c r="P63" s="2">
        <v>359.09</v>
      </c>
      <c r="Q63" s="2"/>
      <c r="R63" s="19">
        <f t="shared" si="9"/>
        <v>3.1993165762998646E-4</v>
      </c>
      <c r="S63" s="2"/>
      <c r="T63" s="2"/>
      <c r="U63" s="2"/>
      <c r="V63" s="19">
        <f t="shared" si="10"/>
        <v>0</v>
      </c>
      <c r="W63" s="2"/>
      <c r="X63" s="2">
        <f t="shared" si="11"/>
        <v>359.09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"5545", " - ", "FREIGHT-IN-SPECIAL ORDERS")</f>
        <v xml:space="preserve">          5545 - FREIGHT-IN-SPECIAL ORDERS</v>
      </c>
      <c r="C64" s="11"/>
      <c r="D64" s="2">
        <v>84.47</v>
      </c>
      <c r="E64" s="2"/>
      <c r="F64" s="19">
        <f t="shared" si="5"/>
        <v>3.2140782334114072E-4</v>
      </c>
      <c r="G64" s="2"/>
      <c r="H64" s="2"/>
      <c r="I64" s="2"/>
      <c r="J64" s="19">
        <f t="shared" si="6"/>
        <v>0</v>
      </c>
      <c r="K64" s="2"/>
      <c r="L64" s="2">
        <f t="shared" si="7"/>
        <v>84.47</v>
      </c>
      <c r="M64" s="2"/>
      <c r="N64" s="19">
        <f t="shared" si="8"/>
        <v>0</v>
      </c>
      <c r="O64" s="11"/>
      <c r="P64" s="2">
        <v>346.98</v>
      </c>
      <c r="Q64" s="2"/>
      <c r="R64" s="19">
        <f t="shared" si="9"/>
        <v>3.091422388940174E-4</v>
      </c>
      <c r="S64" s="2"/>
      <c r="T64" s="2"/>
      <c r="U64" s="2"/>
      <c r="V64" s="19">
        <f t="shared" si="10"/>
        <v>0</v>
      </c>
      <c r="W64" s="2"/>
      <c r="X64" s="2">
        <f t="shared" si="11"/>
        <v>346.98</v>
      </c>
      <c r="Y64" s="2"/>
      <c r="Z64" s="19">
        <f t="shared" si="12"/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6</v>
      </c>
      <c r="C66" s="28"/>
      <c r="D66" s="22">
        <f>D12-D42</f>
        <v>141608.83999999997</v>
      </c>
      <c r="E66" s="14"/>
      <c r="F66" s="20">
        <f>IF(D$12=0,0,D66/D$12)</f>
        <v>0.53882075328831358</v>
      </c>
      <c r="G66" s="14"/>
      <c r="H66" s="22">
        <f>H12-H42</f>
        <v>138453.17738000001</v>
      </c>
      <c r="I66" s="14"/>
      <c r="J66" s="20">
        <f>IF(H$12=0,0,H66/H$12)</f>
        <v>0.5497367225216554</v>
      </c>
      <c r="K66" s="16"/>
      <c r="L66" s="22">
        <f>+D66-H66</f>
        <v>3155.6626199999591</v>
      </c>
      <c r="M66" s="16"/>
      <c r="N66" s="20">
        <f>IF(H66=0,0,L66/H66)</f>
        <v>2.2792273024828426E-2</v>
      </c>
      <c r="O66" s="29"/>
      <c r="P66" s="22">
        <f>P12-P42</f>
        <v>611174.67000000004</v>
      </c>
      <c r="Q66" s="14"/>
      <c r="R66" s="20">
        <f>IF(P$12=0,0,P66/P$12)</f>
        <v>0.54452679070583976</v>
      </c>
      <c r="S66" s="14"/>
      <c r="T66" s="22">
        <f>T12-T42</f>
        <v>588561.83538999991</v>
      </c>
      <c r="U66" s="14"/>
      <c r="V66" s="20">
        <f>IF(T$12=0,0,T66/T$12)</f>
        <v>0.54448073807170738</v>
      </c>
      <c r="W66" s="16"/>
      <c r="X66" s="22">
        <f>+P66-T66</f>
        <v>22612.834610000136</v>
      </c>
      <c r="Y66" s="16"/>
      <c r="Z66" s="20">
        <f>IF(T66=0,0,X66/T66)</f>
        <v>3.8420490847858237E-2</v>
      </c>
    </row>
    <row r="67" spans="1:26" x14ac:dyDescent="0.25">
      <c r="A67" s="9"/>
      <c r="B67" s="10"/>
      <c r="C67" s="9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9</v>
      </c>
      <c r="C68" s="10"/>
      <c r="D68" s="21">
        <f>SUM(OSRRefD22x_0)</f>
        <v>106445.06999999998</v>
      </c>
      <c r="E68" s="21"/>
      <c r="F68" s="35">
        <f t="shared" ref="F68:F78" si="13">IF(D$12=0,0,D68/D$12)</f>
        <v>0.40502282767959452</v>
      </c>
      <c r="G68" s="21"/>
      <c r="H68" s="21">
        <f>SUM(OSRRefH22x_0)</f>
        <v>82045.516374468745</v>
      </c>
      <c r="I68" s="21"/>
      <c r="J68" s="35">
        <f t="shared" ref="J68:J78" si="14">IF(H$12=0,0,H68/H$12)</f>
        <v>0.32576668966943184</v>
      </c>
      <c r="K68" s="4"/>
      <c r="L68" s="21">
        <f t="shared" ref="L68:L78" si="15">+D68-H68</f>
        <v>24399.553625531233</v>
      </c>
      <c r="M68" s="4"/>
      <c r="N68" s="35">
        <f t="shared" ref="N68:N78" si="16">IF(H68=0,0,L68/H68)</f>
        <v>0.29739045719656149</v>
      </c>
      <c r="O68" s="10"/>
      <c r="P68" s="21">
        <f>SUM(OSRRefP22x_0)</f>
        <v>352065.39</v>
      </c>
      <c r="Q68" s="21"/>
      <c r="R68" s="35">
        <f t="shared" ref="R68:R78" si="17">IF(P$12=0,0,P68/P$12)</f>
        <v>0.31367307309267223</v>
      </c>
      <c r="S68" s="21"/>
      <c r="T68" s="21">
        <f>SUM(OSRRefT22x_0)</f>
        <v>328660.93572558754</v>
      </c>
      <c r="U68" s="21"/>
      <c r="V68" s="35">
        <f t="shared" ref="V68:V78" si="18">IF(T$12=0,0,T68/T$12)</f>
        <v>0.30404545130016492</v>
      </c>
      <c r="W68" s="4"/>
      <c r="X68" s="21">
        <f t="shared" ref="X68:X78" si="19">+P68-T68</f>
        <v>23404.454274412477</v>
      </c>
      <c r="Y68" s="4"/>
      <c r="Z68" s="35">
        <f t="shared" ref="Z68:Z78" si="20">IF(T68=0,0,X68/T68)</f>
        <v>7.1211548834491892E-2</v>
      </c>
    </row>
    <row r="69" spans="1:26" s="26" customFormat="1" outlineLevel="1" collapsed="1" x14ac:dyDescent="0.25">
      <c r="A69" s="25"/>
      <c r="B69" s="13" t="str">
        <f>CONCATENATE("     ","*Benefits                                         ")</f>
        <v xml:space="preserve">     *Benefits                                         </v>
      </c>
      <c r="C69" s="13"/>
      <c r="D69" s="1">
        <f>SUM(OSRRefD22_0x_0)</f>
        <v>11896.04</v>
      </c>
      <c r="E69" s="1"/>
      <c r="F69" s="5">
        <f t="shared" si="13"/>
        <v>4.526435802982294E-2</v>
      </c>
      <c r="G69" s="1"/>
      <c r="H69" s="1">
        <f>SUM(OSRRefH22_0x_0)</f>
        <v>6641.0743432187501</v>
      </c>
      <c r="I69" s="1"/>
      <c r="J69" s="5">
        <f t="shared" si="14"/>
        <v>2.6368787719790579E-2</v>
      </c>
      <c r="K69" s="1"/>
      <c r="L69" s="1">
        <f t="shared" si="15"/>
        <v>5254.9656567812508</v>
      </c>
      <c r="M69" s="1"/>
      <c r="N69" s="5">
        <f t="shared" si="16"/>
        <v>0.79128246202320185</v>
      </c>
      <c r="O69" s="13"/>
      <c r="P69" s="1">
        <f>SUM(OSRRefP22_0x_0)</f>
        <v>39151.39</v>
      </c>
      <c r="Q69" s="1"/>
      <c r="R69" s="5">
        <f t="shared" si="17"/>
        <v>3.4881976945105898E-2</v>
      </c>
      <c r="S69" s="1"/>
      <c r="T69" s="1">
        <f>SUM(OSRRefT22_0x_0)</f>
        <v>27849.444413087502</v>
      </c>
      <c r="U69" s="1"/>
      <c r="V69" s="5">
        <f t="shared" si="18"/>
        <v>2.5763624375809317E-2</v>
      </c>
      <c r="W69" s="1"/>
      <c r="X69" s="1">
        <f t="shared" si="19"/>
        <v>11301.945586912498</v>
      </c>
      <c r="Y69" s="1"/>
      <c r="Z69" s="5">
        <f t="shared" si="20"/>
        <v>0.40582301820000721</v>
      </c>
    </row>
    <row r="70" spans="1:26" s="24" customFormat="1" hidden="1" outlineLevel="2" x14ac:dyDescent="0.25">
      <c r="A70" s="27"/>
      <c r="B70" s="11" t="str">
        <f>CONCATENATE("          ", "6111", " - ", "F.I.C.A.")</f>
        <v xml:space="preserve">          6111 - F.I.C.A.</v>
      </c>
      <c r="C70" s="11"/>
      <c r="D70" s="6">
        <v>2915.47</v>
      </c>
      <c r="E70" s="2"/>
      <c r="F70" s="7">
        <f t="shared" si="13"/>
        <v>1.1093345172444601E-2</v>
      </c>
      <c r="G70" s="2"/>
      <c r="H70" s="6">
        <v>1227.0846507187498</v>
      </c>
      <c r="I70" s="2"/>
      <c r="J70" s="7">
        <f t="shared" si="14"/>
        <v>4.8722138914249289E-3</v>
      </c>
      <c r="K70" s="2"/>
      <c r="L70" s="6">
        <f t="shared" si="15"/>
        <v>1688.38534928125</v>
      </c>
      <c r="M70" s="2"/>
      <c r="N70" s="7">
        <f t="shared" si="16"/>
        <v>1.3759322539747352</v>
      </c>
      <c r="O70" s="11"/>
      <c r="P70" s="6">
        <v>9184.4</v>
      </c>
      <c r="Q70" s="2"/>
      <c r="R70" s="7">
        <f t="shared" si="17"/>
        <v>8.1828519767658467E-3</v>
      </c>
      <c r="S70" s="2"/>
      <c r="T70" s="6">
        <v>7136.3669200874992</v>
      </c>
      <c r="U70" s="2"/>
      <c r="V70" s="7">
        <f t="shared" si="18"/>
        <v>6.6018795208238855E-3</v>
      </c>
      <c r="W70" s="2"/>
      <c r="X70" s="6">
        <f t="shared" si="19"/>
        <v>2048.0330799125004</v>
      </c>
      <c r="Y70" s="2"/>
      <c r="Z70" s="7">
        <f t="shared" si="20"/>
        <v>0.28698539506813775</v>
      </c>
    </row>
    <row r="71" spans="1:26" s="24" customFormat="1" hidden="1" outlineLevel="2" x14ac:dyDescent="0.25">
      <c r="A71" s="27"/>
      <c r="B71" s="11" t="str">
        <f>CONCATENATE("          ", "6112", " - ", "COMPENSATION INSURANCE")</f>
        <v xml:space="preserve">          6112 - COMPENSATION INSURANCE</v>
      </c>
      <c r="C71" s="11"/>
      <c r="D71" s="6">
        <v>201.28</v>
      </c>
      <c r="E71" s="2"/>
      <c r="F71" s="7">
        <f t="shared" si="13"/>
        <v>7.6586914504681903E-4</v>
      </c>
      <c r="G71" s="2"/>
      <c r="H71" s="6">
        <v>672.22540312499996</v>
      </c>
      <c r="I71" s="2"/>
      <c r="J71" s="7">
        <f t="shared" si="14"/>
        <v>2.6691116585607394E-3</v>
      </c>
      <c r="K71" s="2"/>
      <c r="L71" s="6">
        <f t="shared" si="15"/>
        <v>-470.94540312499998</v>
      </c>
      <c r="M71" s="2"/>
      <c r="N71" s="7">
        <f t="shared" si="16"/>
        <v>-0.70057662345947957</v>
      </c>
      <c r="O71" s="11"/>
      <c r="P71" s="6">
        <v>2148.94</v>
      </c>
      <c r="Q71" s="2"/>
      <c r="R71" s="7">
        <f t="shared" si="17"/>
        <v>1.9146006191968119E-3</v>
      </c>
      <c r="S71" s="2"/>
      <c r="T71" s="6">
        <v>2466.43795125</v>
      </c>
      <c r="U71" s="2"/>
      <c r="V71" s="7">
        <f t="shared" si="18"/>
        <v>2.2817109016502963E-3</v>
      </c>
      <c r="W71" s="2"/>
      <c r="X71" s="6">
        <f t="shared" si="19"/>
        <v>-317.49795124999991</v>
      </c>
      <c r="Y71" s="2"/>
      <c r="Z71" s="7">
        <f t="shared" si="20"/>
        <v>-0.12872732155661601</v>
      </c>
    </row>
    <row r="72" spans="1:26" s="24" customFormat="1" hidden="1" outlineLevel="2" x14ac:dyDescent="0.25">
      <c r="A72" s="27"/>
      <c r="B72" s="11" t="str">
        <f>CONCATENATE("          ", "6113", " - ", "GROUP INSURANCE")</f>
        <v xml:space="preserve">          6113 - GROUP INSURANCE</v>
      </c>
      <c r="C72" s="11"/>
      <c r="D72" s="6">
        <v>4241.18</v>
      </c>
      <c r="E72" s="2"/>
      <c r="F72" s="7">
        <f t="shared" si="13"/>
        <v>1.6137663456824665E-2</v>
      </c>
      <c r="G72" s="2"/>
      <c r="H72" s="6">
        <v>2863.75</v>
      </c>
      <c r="I72" s="2"/>
      <c r="J72" s="7">
        <f t="shared" si="14"/>
        <v>1.1370692741854002E-2</v>
      </c>
      <c r="K72" s="2"/>
      <c r="L72" s="6">
        <f t="shared" si="15"/>
        <v>1377.4300000000003</v>
      </c>
      <c r="M72" s="2"/>
      <c r="N72" s="7">
        <f t="shared" si="16"/>
        <v>0.48098821475338288</v>
      </c>
      <c r="O72" s="11"/>
      <c r="P72" s="6">
        <v>13531.75</v>
      </c>
      <c r="Q72" s="2"/>
      <c r="R72" s="7">
        <f t="shared" si="17"/>
        <v>1.2056128569814169E-2</v>
      </c>
      <c r="S72" s="2"/>
      <c r="T72" s="6">
        <v>11455</v>
      </c>
      <c r="U72" s="2"/>
      <c r="V72" s="7">
        <f t="shared" si="18"/>
        <v>1.0597063009494244E-2</v>
      </c>
      <c r="W72" s="2"/>
      <c r="X72" s="6">
        <f t="shared" si="19"/>
        <v>2076.75</v>
      </c>
      <c r="Y72" s="2"/>
      <c r="Z72" s="7">
        <f t="shared" si="20"/>
        <v>0.18129637712789176</v>
      </c>
    </row>
    <row r="73" spans="1:26" s="24" customFormat="1" hidden="1" outlineLevel="2" x14ac:dyDescent="0.25">
      <c r="A73" s="27"/>
      <c r="B73" s="11" t="str">
        <f>CONCATENATE("          ", "6114", " - ", "STATE UNEMPLOYMENT INSURANCE")</f>
        <v xml:space="preserve">          6114 - STATE UNEMPLOYMENT INSURANCE</v>
      </c>
      <c r="C73" s="11"/>
      <c r="D73" s="6">
        <v>121.58</v>
      </c>
      <c r="E73" s="2"/>
      <c r="F73" s="7">
        <f t="shared" si="13"/>
        <v>4.6261114196538284E-4</v>
      </c>
      <c r="G73" s="2"/>
      <c r="H73" s="6">
        <v>91.988739374999994</v>
      </c>
      <c r="I73" s="2"/>
      <c r="J73" s="7">
        <f t="shared" si="14"/>
        <v>3.6524685853989066E-4</v>
      </c>
      <c r="K73" s="2"/>
      <c r="L73" s="6">
        <f t="shared" si="15"/>
        <v>29.591260625000004</v>
      </c>
      <c r="M73" s="2"/>
      <c r="N73" s="7">
        <f t="shared" si="16"/>
        <v>0.32168351067806994</v>
      </c>
      <c r="O73" s="11"/>
      <c r="P73" s="6">
        <v>379.36</v>
      </c>
      <c r="Q73" s="2"/>
      <c r="R73" s="7">
        <f t="shared" si="17"/>
        <v>3.3799123795848305E-4</v>
      </c>
      <c r="S73" s="2"/>
      <c r="T73" s="6">
        <v>337.51256175000003</v>
      </c>
      <c r="U73" s="2"/>
      <c r="V73" s="7">
        <f t="shared" si="18"/>
        <v>3.1223412338372478E-4</v>
      </c>
      <c r="W73" s="2"/>
      <c r="X73" s="6">
        <f t="shared" si="19"/>
        <v>41.847438249999982</v>
      </c>
      <c r="Y73" s="2"/>
      <c r="Z73" s="7">
        <f t="shared" si="20"/>
        <v>0.12398779480390697</v>
      </c>
    </row>
    <row r="74" spans="1:26" s="24" customFormat="1" hidden="1" outlineLevel="2" x14ac:dyDescent="0.25">
      <c r="A74" s="27"/>
      <c r="B74" s="11" t="str">
        <f>CONCATENATE("          ", "6115", " - ", "P.E.R.S.")</f>
        <v xml:space="preserve">          6115 - P.E.R.S.</v>
      </c>
      <c r="C74" s="11"/>
      <c r="D74" s="6">
        <v>1878.17</v>
      </c>
      <c r="E74" s="2"/>
      <c r="F74" s="7">
        <f t="shared" si="13"/>
        <v>7.1464251398677672E-3</v>
      </c>
      <c r="G74" s="2"/>
      <c r="H74" s="6">
        <v>977.54883124999992</v>
      </c>
      <c r="I74" s="2"/>
      <c r="J74" s="7">
        <f t="shared" si="14"/>
        <v>3.8814168137240456E-3</v>
      </c>
      <c r="K74" s="2"/>
      <c r="L74" s="6">
        <f t="shared" si="15"/>
        <v>900.62116875000015</v>
      </c>
      <c r="M74" s="2"/>
      <c r="N74" s="7">
        <f t="shared" si="16"/>
        <v>0.92130555524102897</v>
      </c>
      <c r="O74" s="11"/>
      <c r="P74" s="6">
        <v>4675.9799999999996</v>
      </c>
      <c r="Q74" s="2"/>
      <c r="R74" s="7">
        <f t="shared" si="17"/>
        <v>4.1660698778709076E-3</v>
      </c>
      <c r="S74" s="2"/>
      <c r="T74" s="6">
        <v>3519.1757925000002</v>
      </c>
      <c r="U74" s="2"/>
      <c r="V74" s="7">
        <f t="shared" si="18"/>
        <v>3.2556025852998119E-3</v>
      </c>
      <c r="W74" s="2"/>
      <c r="X74" s="6">
        <f t="shared" si="19"/>
        <v>1156.8042074999994</v>
      </c>
      <c r="Y74" s="2"/>
      <c r="Z74" s="7">
        <f t="shared" si="20"/>
        <v>0.32871452740876378</v>
      </c>
    </row>
    <row r="75" spans="1:26" s="24" customFormat="1" hidden="1" outlineLevel="2" x14ac:dyDescent="0.25">
      <c r="A75" s="27"/>
      <c r="B75" s="11" t="str">
        <f>CONCATENATE("          ", "6116", " - ", "EDUCATIONAL BENEFITS")</f>
        <v xml:space="preserve">          6116 - EDUCATIONAL BENEFITS</v>
      </c>
      <c r="C75" s="11"/>
      <c r="D75" s="6"/>
      <c r="E75" s="2"/>
      <c r="F75" s="7">
        <f t="shared" si="13"/>
        <v>0</v>
      </c>
      <c r="G75" s="2"/>
      <c r="H75" s="6">
        <v>0</v>
      </c>
      <c r="I75" s="2"/>
      <c r="J75" s="7">
        <f t="shared" si="14"/>
        <v>0</v>
      </c>
      <c r="K75" s="2"/>
      <c r="L75" s="6">
        <f t="shared" si="15"/>
        <v>0</v>
      </c>
      <c r="M75" s="2"/>
      <c r="N75" s="7">
        <f t="shared" si="16"/>
        <v>0</v>
      </c>
      <c r="O75" s="11"/>
      <c r="P75" s="6"/>
      <c r="Q75" s="2"/>
      <c r="R75" s="7">
        <f t="shared" si="17"/>
        <v>0</v>
      </c>
      <c r="S75" s="2"/>
      <c r="T75" s="6">
        <v>0</v>
      </c>
      <c r="U75" s="2"/>
      <c r="V75" s="7">
        <f t="shared" si="18"/>
        <v>0</v>
      </c>
      <c r="W75" s="2"/>
      <c r="X75" s="6">
        <f t="shared" si="19"/>
        <v>0</v>
      </c>
      <c r="Y75" s="2"/>
      <c r="Z75" s="7">
        <f t="shared" si="20"/>
        <v>0</v>
      </c>
    </row>
    <row r="76" spans="1:26" s="24" customFormat="1" hidden="1" outlineLevel="2" x14ac:dyDescent="0.25">
      <c r="A76" s="27"/>
      <c r="B76" s="11" t="str">
        <f>CONCATENATE("          ", "6118", " - ", "VACATION")</f>
        <v xml:space="preserve">          6118 - VACATION</v>
      </c>
      <c r="C76" s="11"/>
      <c r="D76" s="6">
        <v>1269</v>
      </c>
      <c r="E76" s="2"/>
      <c r="F76" s="7">
        <f t="shared" si="13"/>
        <v>4.8285370879591286E-3</v>
      </c>
      <c r="G76" s="2"/>
      <c r="H76" s="6">
        <v>341.00540625000019</v>
      </c>
      <c r="I76" s="2"/>
      <c r="J76" s="7">
        <f t="shared" si="14"/>
        <v>1.3539826094386214E-3</v>
      </c>
      <c r="K76" s="2"/>
      <c r="L76" s="6">
        <f t="shared" si="15"/>
        <v>927.99459374999981</v>
      </c>
      <c r="M76" s="2"/>
      <c r="N76" s="7">
        <f t="shared" si="16"/>
        <v>2.7213486259794433</v>
      </c>
      <c r="O76" s="11"/>
      <c r="P76" s="6">
        <v>4021.76</v>
      </c>
      <c r="Q76" s="2"/>
      <c r="R76" s="7">
        <f t="shared" si="17"/>
        <v>3.5831917997994223E-3</v>
      </c>
      <c r="S76" s="2"/>
      <c r="T76" s="6">
        <v>1227.6194625000001</v>
      </c>
      <c r="U76" s="2"/>
      <c r="V76" s="7">
        <f t="shared" si="18"/>
        <v>1.1356753204534227E-3</v>
      </c>
      <c r="W76" s="2"/>
      <c r="X76" s="6">
        <f t="shared" si="19"/>
        <v>2794.1405375000004</v>
      </c>
      <c r="Y76" s="2"/>
      <c r="Z76" s="7">
        <f t="shared" si="20"/>
        <v>2.2760640596311825</v>
      </c>
    </row>
    <row r="77" spans="1:26" s="24" customFormat="1" hidden="1" outlineLevel="2" x14ac:dyDescent="0.25">
      <c r="A77" s="27"/>
      <c r="B77" s="11" t="str">
        <f>CONCATENATE("          ", "6119", " - ", "SICK LEAVE")</f>
        <v xml:space="preserve">          6119 - SICK LEAVE</v>
      </c>
      <c r="C77" s="11"/>
      <c r="D77" s="6">
        <v>864.6</v>
      </c>
      <c r="E77" s="2"/>
      <c r="F77" s="7">
        <f t="shared" si="13"/>
        <v>3.2897976093376378E-3</v>
      </c>
      <c r="G77" s="2"/>
      <c r="H77" s="6">
        <v>467.47131249999995</v>
      </c>
      <c r="I77" s="2"/>
      <c r="J77" s="7">
        <f t="shared" si="14"/>
        <v>1.8561231462483503E-3</v>
      </c>
      <c r="K77" s="2"/>
      <c r="L77" s="6">
        <f t="shared" si="15"/>
        <v>397.12868750000007</v>
      </c>
      <c r="M77" s="2"/>
      <c r="N77" s="7">
        <f t="shared" si="16"/>
        <v>0.84952525830127834</v>
      </c>
      <c r="O77" s="11"/>
      <c r="P77" s="6">
        <v>4095.07</v>
      </c>
      <c r="Q77" s="2"/>
      <c r="R77" s="7">
        <f t="shared" si="17"/>
        <v>3.6485074304793475E-3</v>
      </c>
      <c r="S77" s="2"/>
      <c r="T77" s="6">
        <v>1707.331725</v>
      </c>
      <c r="U77" s="2"/>
      <c r="V77" s="7">
        <f t="shared" si="18"/>
        <v>1.5794589147039284E-3</v>
      </c>
      <c r="W77" s="2"/>
      <c r="X77" s="6">
        <f t="shared" si="19"/>
        <v>2387.7382750000002</v>
      </c>
      <c r="Y77" s="2"/>
      <c r="Z77" s="7">
        <f t="shared" si="20"/>
        <v>1.3985204164117551</v>
      </c>
    </row>
    <row r="78" spans="1:26" s="24" customFormat="1" hidden="1" outlineLevel="2" x14ac:dyDescent="0.25">
      <c r="A78" s="27"/>
      <c r="B78" s="11" t="str">
        <f>CONCATENATE("          ", "6156", " - ", "EMPLOYEE MEALS")</f>
        <v xml:space="preserve">          6156 - EMPLOYEE MEALS</v>
      </c>
      <c r="C78" s="11"/>
      <c r="D78" s="6">
        <v>404.76</v>
      </c>
      <c r="E78" s="2"/>
      <c r="F78" s="7">
        <f t="shared" si="13"/>
        <v>1.54010927637694E-3</v>
      </c>
      <c r="G78" s="2"/>
      <c r="H78" s="6"/>
      <c r="I78" s="2"/>
      <c r="J78" s="7">
        <f t="shared" si="14"/>
        <v>0</v>
      </c>
      <c r="K78" s="2"/>
      <c r="L78" s="6">
        <f t="shared" si="15"/>
        <v>404.76</v>
      </c>
      <c r="M78" s="2"/>
      <c r="N78" s="7">
        <f t="shared" si="16"/>
        <v>0</v>
      </c>
      <c r="O78" s="11"/>
      <c r="P78" s="6">
        <v>1114.1300000000001</v>
      </c>
      <c r="Q78" s="2"/>
      <c r="R78" s="7">
        <f t="shared" si="17"/>
        <v>9.9263543322091093E-4</v>
      </c>
      <c r="S78" s="2"/>
      <c r="T78" s="6"/>
      <c r="U78" s="2"/>
      <c r="V78" s="7">
        <f t="shared" si="18"/>
        <v>0</v>
      </c>
      <c r="W78" s="2"/>
      <c r="X78" s="6">
        <f t="shared" si="19"/>
        <v>1114.1300000000001</v>
      </c>
      <c r="Y78" s="2"/>
      <c r="Z78" s="7">
        <f t="shared" si="20"/>
        <v>0</v>
      </c>
    </row>
    <row r="79" spans="1:26" s="26" customFormat="1" outlineLevel="1" collapsed="1" x14ac:dyDescent="0.25">
      <c r="A79" s="25"/>
      <c r="B79" s="13" t="str">
        <f>CONCATENATE("     ","*Payroll                                          ")</f>
        <v xml:space="preserve">     *Payroll                                          </v>
      </c>
      <c r="C79" s="13"/>
      <c r="D79" s="1">
        <f>SUM(OSRRefD22_1x_0)</f>
        <v>44649.46</v>
      </c>
      <c r="E79" s="1"/>
      <c r="F79" s="5">
        <f t="shared" ref="F79:F89" si="21">IF(D$12=0,0,D79/D$12)</f>
        <v>0.16989091691674357</v>
      </c>
      <c r="G79" s="1"/>
      <c r="H79" s="1">
        <f>SUM(OSRRefH22_1x_0)</f>
        <v>34811.942031250001</v>
      </c>
      <c r="I79" s="1"/>
      <c r="J79" s="5">
        <f t="shared" ref="J79:J89" si="22">IF(H$12=0,0,H79/H$12)</f>
        <v>0.13822292329448332</v>
      </c>
      <c r="K79" s="1"/>
      <c r="L79" s="1">
        <f t="shared" ref="L79:L89" si="23">+D79-H79</f>
        <v>9837.5179687499985</v>
      </c>
      <c r="M79" s="1"/>
      <c r="N79" s="5">
        <f t="shared" ref="N79:N89" si="24">IF(H79=0,0,L79/H79)</f>
        <v>0.28259032374347431</v>
      </c>
      <c r="O79" s="13"/>
      <c r="P79" s="1">
        <f>SUM(OSRRefP22_1x_0)</f>
        <v>151748.22999999998</v>
      </c>
      <c r="Q79" s="1"/>
      <c r="R79" s="5">
        <f t="shared" ref="R79:R89" si="25">IF(P$12=0,0,P79/P$12)</f>
        <v>0.13520026390686579</v>
      </c>
      <c r="S79" s="1"/>
      <c r="T79" s="1">
        <f>SUM(OSRRefT22_1x_0)</f>
        <v>127766.4913125</v>
      </c>
      <c r="U79" s="1"/>
      <c r="V79" s="5">
        <f t="shared" ref="V79:V89" si="26">IF(T$12=0,0,T79/T$12)</f>
        <v>0.11819725525452304</v>
      </c>
      <c r="W79" s="1"/>
      <c r="X79" s="1">
        <f t="shared" ref="X79:X89" si="27">+P79-T79</f>
        <v>23981.738687499979</v>
      </c>
      <c r="Y79" s="1"/>
      <c r="Z79" s="5">
        <f t="shared" ref="Z79:Z89" si="28">IF(T79=0,0,X79/T79)</f>
        <v>0.18769975164179634</v>
      </c>
    </row>
    <row r="80" spans="1:26" s="24" customFormat="1" hidden="1" outlineLevel="2" x14ac:dyDescent="0.25">
      <c r="A80" s="27"/>
      <c r="B80" s="11" t="str">
        <f>CONCATENATE("          ", "6001", " - ", "ADMINISTRATIVE SALARIES")</f>
        <v xml:space="preserve">          6001 - ADMINISTRATIVE SALARIES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4" customFormat="1" hidden="1" outlineLevel="2" x14ac:dyDescent="0.25">
      <c r="A81" s="27"/>
      <c r="B81" s="11" t="str">
        <f>CONCATENATE("          ", "6002", " - ", "STAFF SALARIES")</f>
        <v xml:space="preserve">          6002 - STAFF SALARIES</v>
      </c>
      <c r="C81" s="11"/>
      <c r="D81" s="6">
        <v>14306.98</v>
      </c>
      <c r="E81" s="2"/>
      <c r="F81" s="7">
        <f t="shared" si="21"/>
        <v>5.4437969697942859E-2</v>
      </c>
      <c r="G81" s="2"/>
      <c r="H81" s="6">
        <v>10798.504531250001</v>
      </c>
      <c r="I81" s="2"/>
      <c r="J81" s="7">
        <f t="shared" si="22"/>
        <v>4.2876115965556322E-2</v>
      </c>
      <c r="K81" s="2"/>
      <c r="L81" s="6">
        <f t="shared" si="23"/>
        <v>3508.475468749999</v>
      </c>
      <c r="M81" s="2"/>
      <c r="N81" s="7">
        <f t="shared" si="24"/>
        <v>0.32490382891415698</v>
      </c>
      <c r="O81" s="11"/>
      <c r="P81" s="6">
        <v>44888.51</v>
      </c>
      <c r="Q81" s="2"/>
      <c r="R81" s="7">
        <f t="shared" si="25"/>
        <v>3.9993470753405064E-2</v>
      </c>
      <c r="S81" s="2"/>
      <c r="T81" s="6">
        <v>38874.616312500002</v>
      </c>
      <c r="U81" s="2"/>
      <c r="V81" s="7">
        <f t="shared" si="26"/>
        <v>3.5963051814358389E-2</v>
      </c>
      <c r="W81" s="2"/>
      <c r="X81" s="6">
        <f t="shared" si="27"/>
        <v>6013.8936874999999</v>
      </c>
      <c r="Y81" s="2"/>
      <c r="Z81" s="7">
        <f t="shared" si="28"/>
        <v>0.15469975675531625</v>
      </c>
    </row>
    <row r="82" spans="1:26" s="24" customFormat="1" hidden="1" outlineLevel="2" x14ac:dyDescent="0.25">
      <c r="A82" s="27"/>
      <c r="B82" s="11" t="str">
        <f>CONCATENATE("          ", "6003", " - ", "STAFF HOURLY-9 MONTH")</f>
        <v xml:space="preserve">          6003 - STAFF HOURLY-9 MONTH</v>
      </c>
      <c r="C82" s="11"/>
      <c r="D82" s="6"/>
      <c r="E82" s="2"/>
      <c r="F82" s="7">
        <f t="shared" si="21"/>
        <v>0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0</v>
      </c>
      <c r="M82" s="2"/>
      <c r="N82" s="7">
        <f t="shared" si="24"/>
        <v>0</v>
      </c>
      <c r="O82" s="11"/>
      <c r="P82" s="6"/>
      <c r="Q82" s="2"/>
      <c r="R82" s="7">
        <f t="shared" si="25"/>
        <v>0</v>
      </c>
      <c r="S82" s="2"/>
      <c r="T82" s="6">
        <v>0</v>
      </c>
      <c r="U82" s="2"/>
      <c r="V82" s="7">
        <f t="shared" si="26"/>
        <v>0</v>
      </c>
      <c r="W82" s="2"/>
      <c r="X82" s="6">
        <f t="shared" si="27"/>
        <v>0</v>
      </c>
      <c r="Y82" s="2"/>
      <c r="Z82" s="7">
        <f t="shared" si="28"/>
        <v>0</v>
      </c>
    </row>
    <row r="83" spans="1:26" s="24" customFormat="1" hidden="1" outlineLevel="2" x14ac:dyDescent="0.25">
      <c r="A83" s="27"/>
      <c r="B83" s="11" t="str">
        <f>CONCATENATE("          ", "6004", " - ", "STAFF HOURLY")</f>
        <v xml:space="preserve">          6004 - STAFF HOURLY</v>
      </c>
      <c r="C83" s="11"/>
      <c r="D83" s="6"/>
      <c r="E83" s="2"/>
      <c r="F83" s="7">
        <f t="shared" si="21"/>
        <v>0</v>
      </c>
      <c r="G83" s="2"/>
      <c r="H83" s="6">
        <v>4667.1875</v>
      </c>
      <c r="I83" s="2"/>
      <c r="J83" s="7">
        <f t="shared" si="22"/>
        <v>1.8531350512831678E-2</v>
      </c>
      <c r="K83" s="2"/>
      <c r="L83" s="6">
        <f t="shared" si="23"/>
        <v>-4667.1875</v>
      </c>
      <c r="M83" s="2"/>
      <c r="N83" s="7">
        <f t="shared" si="24"/>
        <v>-1</v>
      </c>
      <c r="O83" s="11"/>
      <c r="P83" s="6"/>
      <c r="Q83" s="2"/>
      <c r="R83" s="7">
        <f t="shared" si="25"/>
        <v>0</v>
      </c>
      <c r="S83" s="2"/>
      <c r="T83" s="6">
        <v>16801.875</v>
      </c>
      <c r="U83" s="2"/>
      <c r="V83" s="7">
        <f t="shared" si="26"/>
        <v>1.5543476914242349E-2</v>
      </c>
      <c r="W83" s="2"/>
      <c r="X83" s="6">
        <f t="shared" si="27"/>
        <v>-16801.875</v>
      </c>
      <c r="Y83" s="2"/>
      <c r="Z83" s="7">
        <f t="shared" si="28"/>
        <v>-1</v>
      </c>
    </row>
    <row r="84" spans="1:26" s="24" customFormat="1" hidden="1" outlineLevel="2" x14ac:dyDescent="0.25">
      <c r="A84" s="27"/>
      <c r="B84" s="11" t="str">
        <f>CONCATENATE("          ", "6005", " - ", "TEMPORARY WAGES-HOURLY")</f>
        <v xml:space="preserve">          6005 - TEMPORARY WAGES-HOURLY</v>
      </c>
      <c r="C84" s="11"/>
      <c r="D84" s="6">
        <v>5934.48</v>
      </c>
      <c r="E84" s="2"/>
      <c r="F84" s="7">
        <f t="shared" si="21"/>
        <v>2.2580659399331508E-2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5934.48</v>
      </c>
      <c r="M84" s="2"/>
      <c r="N84" s="7">
        <f t="shared" si="24"/>
        <v>0</v>
      </c>
      <c r="O84" s="11"/>
      <c r="P84" s="6">
        <v>16619.02</v>
      </c>
      <c r="Q84" s="2"/>
      <c r="R84" s="7">
        <f t="shared" si="25"/>
        <v>1.480673540556935E-2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16619.02</v>
      </c>
      <c r="Y84" s="2"/>
      <c r="Z84" s="7">
        <f t="shared" si="28"/>
        <v>0</v>
      </c>
    </row>
    <row r="85" spans="1:26" s="24" customFormat="1" hidden="1" outlineLevel="2" x14ac:dyDescent="0.25">
      <c r="A85" s="27"/>
      <c r="B85" s="11" t="str">
        <f>CONCATENATE("          ", "6006", " - ", "TEMPORARY PART TIME")</f>
        <v xml:space="preserve">          6006 - TEMPORARY PART TIME</v>
      </c>
      <c r="C85" s="11"/>
      <c r="D85" s="6">
        <v>66.5</v>
      </c>
      <c r="E85" s="2"/>
      <c r="F85" s="7">
        <f t="shared" si="21"/>
        <v>2.5303208538162493E-4</v>
      </c>
      <c r="G85" s="2"/>
      <c r="H85" s="6">
        <v>0</v>
      </c>
      <c r="I85" s="2"/>
      <c r="J85" s="7">
        <f t="shared" si="22"/>
        <v>0</v>
      </c>
      <c r="K85" s="2"/>
      <c r="L85" s="6">
        <f t="shared" si="23"/>
        <v>66.5</v>
      </c>
      <c r="M85" s="2"/>
      <c r="N85" s="7">
        <f t="shared" si="24"/>
        <v>0</v>
      </c>
      <c r="O85" s="11"/>
      <c r="P85" s="6">
        <v>66.5</v>
      </c>
      <c r="Q85" s="2"/>
      <c r="R85" s="7">
        <f t="shared" si="25"/>
        <v>5.9248253174396675E-5</v>
      </c>
      <c r="S85" s="2"/>
      <c r="T85" s="6">
        <v>0</v>
      </c>
      <c r="U85" s="2"/>
      <c r="V85" s="7">
        <f t="shared" si="26"/>
        <v>0</v>
      </c>
      <c r="W85" s="2"/>
      <c r="X85" s="6">
        <f t="shared" si="27"/>
        <v>66.5</v>
      </c>
      <c r="Y85" s="2"/>
      <c r="Z85" s="7">
        <f t="shared" si="28"/>
        <v>0</v>
      </c>
    </row>
    <row r="86" spans="1:26" s="24" customFormat="1" hidden="1" outlineLevel="2" x14ac:dyDescent="0.25">
      <c r="A86" s="27"/>
      <c r="B86" s="11" t="str">
        <f>CONCATENATE("          ", "6007", " - ", "STUDENT HOURLY")</f>
        <v xml:space="preserve">          6007 - STUDENT HOURLY</v>
      </c>
      <c r="C86" s="11"/>
      <c r="D86" s="6">
        <v>24341.5</v>
      </c>
      <c r="E86" s="2"/>
      <c r="F86" s="7">
        <f t="shared" si="21"/>
        <v>9.2619255734087566E-2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24341.5</v>
      </c>
      <c r="M86" s="2"/>
      <c r="N86" s="7">
        <f t="shared" si="24"/>
        <v>0</v>
      </c>
      <c r="O86" s="11"/>
      <c r="P86" s="6">
        <v>89979.199999999997</v>
      </c>
      <c r="Q86" s="2"/>
      <c r="R86" s="7">
        <f t="shared" si="25"/>
        <v>8.01670740154838E-2</v>
      </c>
      <c r="S86" s="2"/>
      <c r="T86" s="6">
        <v>35526.75</v>
      </c>
      <c r="U86" s="2"/>
      <c r="V86" s="7">
        <f t="shared" si="26"/>
        <v>3.2865928264735896E-2</v>
      </c>
      <c r="W86" s="2"/>
      <c r="X86" s="6">
        <f t="shared" si="27"/>
        <v>54452.45</v>
      </c>
      <c r="Y86" s="2"/>
      <c r="Z86" s="7">
        <f t="shared" si="28"/>
        <v>1.5327168964231177</v>
      </c>
    </row>
    <row r="87" spans="1:26" s="24" customFormat="1" hidden="1" outlineLevel="2" x14ac:dyDescent="0.25">
      <c r="A87" s="27"/>
      <c r="B87" s="11" t="str">
        <f>CONCATENATE("          ", "6008", " - ", "STUDENT HOURLY-FICA EXEMPT")</f>
        <v xml:space="preserve">          6008 - STUDENT HOURLY-FICA EXEMPT</v>
      </c>
      <c r="C87" s="11"/>
      <c r="D87" s="6"/>
      <c r="E87" s="2"/>
      <c r="F87" s="7">
        <f t="shared" si="21"/>
        <v>0</v>
      </c>
      <c r="G87" s="2"/>
      <c r="H87" s="6">
        <v>19346.25</v>
      </c>
      <c r="I87" s="2"/>
      <c r="J87" s="7">
        <f t="shared" si="22"/>
        <v>7.6815456816095321E-2</v>
      </c>
      <c r="K87" s="2"/>
      <c r="L87" s="6">
        <f t="shared" si="23"/>
        <v>-19346.25</v>
      </c>
      <c r="M87" s="2"/>
      <c r="N87" s="7">
        <f t="shared" si="24"/>
        <v>-1</v>
      </c>
      <c r="O87" s="11"/>
      <c r="P87" s="6">
        <v>195</v>
      </c>
      <c r="Q87" s="2"/>
      <c r="R87" s="7">
        <f t="shared" si="25"/>
        <v>1.7373547923319325E-4</v>
      </c>
      <c r="S87" s="2"/>
      <c r="T87" s="6">
        <v>36563.25</v>
      </c>
      <c r="U87" s="2"/>
      <c r="V87" s="7">
        <f t="shared" si="26"/>
        <v>3.3824798261186423E-2</v>
      </c>
      <c r="W87" s="2"/>
      <c r="X87" s="6">
        <f t="shared" si="27"/>
        <v>-36368.25</v>
      </c>
      <c r="Y87" s="2"/>
      <c r="Z87" s="7">
        <f t="shared" si="28"/>
        <v>-0.99466677606613196</v>
      </c>
    </row>
    <row r="88" spans="1:26" s="24" customFormat="1" hidden="1" outlineLevel="2" x14ac:dyDescent="0.25">
      <c r="A88" s="27"/>
      <c r="B88" s="11" t="str">
        <f>CONCATENATE("          ", "6009", " - ", "TEMPORARY-SEASONAL")</f>
        <v xml:space="preserve">          6009 - TEMPORARY-SEASONAL</v>
      </c>
      <c r="C88" s="11"/>
      <c r="D88" s="6"/>
      <c r="E88" s="2"/>
      <c r="F88" s="7">
        <f t="shared" si="21"/>
        <v>0</v>
      </c>
      <c r="G88" s="2"/>
      <c r="H88" s="6">
        <v>0</v>
      </c>
      <c r="I88" s="2"/>
      <c r="J88" s="7">
        <f t="shared" si="22"/>
        <v>0</v>
      </c>
      <c r="K88" s="2"/>
      <c r="L88" s="6">
        <f t="shared" si="23"/>
        <v>0</v>
      </c>
      <c r="M88" s="2"/>
      <c r="N88" s="7">
        <f t="shared" si="24"/>
        <v>0</v>
      </c>
      <c r="O88" s="11"/>
      <c r="P88" s="6"/>
      <c r="Q88" s="2"/>
      <c r="R88" s="7">
        <f t="shared" si="25"/>
        <v>0</v>
      </c>
      <c r="S88" s="2"/>
      <c r="T88" s="6">
        <v>0</v>
      </c>
      <c r="U88" s="2"/>
      <c r="V88" s="7">
        <f t="shared" si="26"/>
        <v>0</v>
      </c>
      <c r="W88" s="2"/>
      <c r="X88" s="6">
        <f t="shared" si="27"/>
        <v>0</v>
      </c>
      <c r="Y88" s="2"/>
      <c r="Z88" s="7">
        <f t="shared" si="28"/>
        <v>0</v>
      </c>
    </row>
    <row r="89" spans="1:26" s="24" customFormat="1" hidden="1" outlineLevel="2" x14ac:dyDescent="0.25">
      <c r="A89" s="27"/>
      <c r="B89" s="11" t="str">
        <f>CONCATENATE("          ", "6010", " - ", "GRATUITY")</f>
        <v xml:space="preserve">          6010 - GRATUITY</v>
      </c>
      <c r="C89" s="11"/>
      <c r="D89" s="6"/>
      <c r="E89" s="2"/>
      <c r="F89" s="7">
        <f t="shared" si="21"/>
        <v>0</v>
      </c>
      <c r="G89" s="2"/>
      <c r="H89" s="6">
        <v>0</v>
      </c>
      <c r="I89" s="2"/>
      <c r="J89" s="7">
        <f t="shared" si="22"/>
        <v>0</v>
      </c>
      <c r="K89" s="2"/>
      <c r="L89" s="6">
        <f t="shared" si="23"/>
        <v>0</v>
      </c>
      <c r="M89" s="2"/>
      <c r="N89" s="7">
        <f t="shared" si="24"/>
        <v>0</v>
      </c>
      <c r="O89" s="11"/>
      <c r="P89" s="6"/>
      <c r="Q89" s="2"/>
      <c r="R89" s="7">
        <f t="shared" si="25"/>
        <v>0</v>
      </c>
      <c r="S89" s="2"/>
      <c r="T89" s="6">
        <v>0</v>
      </c>
      <c r="U89" s="2"/>
      <c r="V89" s="7">
        <f t="shared" si="26"/>
        <v>0</v>
      </c>
      <c r="W89" s="2"/>
      <c r="X89" s="6">
        <f t="shared" si="27"/>
        <v>0</v>
      </c>
      <c r="Y89" s="2"/>
      <c r="Z89" s="7">
        <f t="shared" si="28"/>
        <v>0</v>
      </c>
    </row>
    <row r="90" spans="1:26" s="26" customFormat="1" outlineLevel="1" collapsed="1" x14ac:dyDescent="0.25">
      <c r="A90" s="25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3136.71</v>
      </c>
      <c r="E90" s="1"/>
      <c r="F90" s="5">
        <f t="shared" ref="F90:F94" si="29">IF(D$12=0,0,D90/D$12)</f>
        <v>1.193516199304356E-2</v>
      </c>
      <c r="G90" s="1"/>
      <c r="H90" s="1">
        <f>SUM(OSRRefH22_2x_0)</f>
        <v>900</v>
      </c>
      <c r="I90" s="1"/>
      <c r="J90" s="5">
        <f t="shared" ref="J90:J94" si="30">IF(H$12=0,0,H90/H$12)</f>
        <v>3.5735044845634574E-3</v>
      </c>
      <c r="K90" s="1"/>
      <c r="L90" s="1">
        <f t="shared" ref="L90:L94" si="31">+D90-H90</f>
        <v>2236.71</v>
      </c>
      <c r="M90" s="1"/>
      <c r="N90" s="5">
        <f t="shared" ref="N90:N94" si="32">IF(H90=0,0,L90/H90)</f>
        <v>2.4852333333333334</v>
      </c>
      <c r="O90" s="13"/>
      <c r="P90" s="1">
        <f>SUM(OSRRefP22_2x_0)</f>
        <v>6820.21</v>
      </c>
      <c r="Q90" s="1"/>
      <c r="R90" s="5">
        <f t="shared" ref="R90:R94" si="33">IF(P$12=0,0,P90/P$12)</f>
        <v>6.0764741170308565E-3</v>
      </c>
      <c r="S90" s="1"/>
      <c r="T90" s="1">
        <f>SUM(OSRRefT22_2x_0)</f>
        <v>3350</v>
      </c>
      <c r="U90" s="1"/>
      <c r="V90" s="5">
        <f t="shared" ref="V90:V94" si="34">IF(T$12=0,0,T90/T$12)</f>
        <v>3.0990974318468546E-3</v>
      </c>
      <c r="W90" s="1"/>
      <c r="X90" s="1">
        <f t="shared" ref="X90:X94" si="35">+P90-T90</f>
        <v>3470.21</v>
      </c>
      <c r="Y90" s="1"/>
      <c r="Z90" s="5">
        <f t="shared" ref="Z90:Z94" si="36">IF(T90=0,0,X90/T90)</f>
        <v>1.0358835820895522</v>
      </c>
    </row>
    <row r="91" spans="1:26" s="24" customFormat="1" hidden="1" outlineLevel="2" x14ac:dyDescent="0.25">
      <c r="A91" s="27"/>
      <c r="B91" s="11" t="str">
        <f>CONCATENATE("          ", "6362", " - ", "ADVERTISING EXPENSE")</f>
        <v xml:space="preserve">          6362 - ADVERTISING EXPENSE</v>
      </c>
      <c r="C91" s="11"/>
      <c r="D91" s="6">
        <v>3136.71</v>
      </c>
      <c r="E91" s="2"/>
      <c r="F91" s="7">
        <f t="shared" si="29"/>
        <v>1.193516199304356E-2</v>
      </c>
      <c r="G91" s="2"/>
      <c r="H91" s="6">
        <v>900</v>
      </c>
      <c r="I91" s="2"/>
      <c r="J91" s="7">
        <f t="shared" si="30"/>
        <v>3.5735044845634574E-3</v>
      </c>
      <c r="K91" s="2"/>
      <c r="L91" s="6">
        <f t="shared" si="31"/>
        <v>2236.71</v>
      </c>
      <c r="M91" s="2"/>
      <c r="N91" s="7">
        <f t="shared" si="32"/>
        <v>2.4852333333333334</v>
      </c>
      <c r="O91" s="11"/>
      <c r="P91" s="6">
        <v>6820.21</v>
      </c>
      <c r="Q91" s="2"/>
      <c r="R91" s="7">
        <f t="shared" si="33"/>
        <v>6.0764741170308565E-3</v>
      </c>
      <c r="S91" s="2"/>
      <c r="T91" s="6">
        <v>3350</v>
      </c>
      <c r="U91" s="2"/>
      <c r="V91" s="7">
        <f t="shared" si="34"/>
        <v>3.0990974318468546E-3</v>
      </c>
      <c r="W91" s="2"/>
      <c r="X91" s="6">
        <f t="shared" si="35"/>
        <v>3470.21</v>
      </c>
      <c r="Y91" s="2"/>
      <c r="Z91" s="7">
        <f t="shared" si="36"/>
        <v>1.0358835820895522</v>
      </c>
    </row>
    <row r="92" spans="1:26" s="26" customFormat="1" outlineLevel="1" collapsed="1" x14ac:dyDescent="0.25">
      <c r="A92" s="25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-6.68</v>
      </c>
      <c r="E92" s="1"/>
      <c r="F92" s="5">
        <f t="shared" si="29"/>
        <v>-2.5417358351116607E-5</v>
      </c>
      <c r="G92" s="1"/>
      <c r="H92" s="1">
        <f>SUM(OSRRefH22_3x_0)</f>
        <v>10</v>
      </c>
      <c r="I92" s="1"/>
      <c r="J92" s="5">
        <f t="shared" si="30"/>
        <v>3.9705605384038418E-5</v>
      </c>
      <c r="K92" s="1"/>
      <c r="L92" s="1">
        <f t="shared" si="31"/>
        <v>-16.68</v>
      </c>
      <c r="M92" s="1"/>
      <c r="N92" s="5">
        <f t="shared" si="32"/>
        <v>-1.6679999999999999</v>
      </c>
      <c r="O92" s="13"/>
      <c r="P92" s="1">
        <f>SUM(OSRRefP22_3x_0)</f>
        <v>23.03</v>
      </c>
      <c r="Q92" s="1"/>
      <c r="R92" s="5">
        <f t="shared" si="33"/>
        <v>2.0518605573027903E-5</v>
      </c>
      <c r="S92" s="1"/>
      <c r="T92" s="1">
        <f>SUM(OSRRefT22_3x_0)</f>
        <v>40</v>
      </c>
      <c r="U92" s="1"/>
      <c r="V92" s="5">
        <f t="shared" si="34"/>
        <v>3.7004148439962443E-5</v>
      </c>
      <c r="W92" s="1"/>
      <c r="X92" s="1">
        <f t="shared" si="35"/>
        <v>-16.97</v>
      </c>
      <c r="Y92" s="1"/>
      <c r="Z92" s="5">
        <f t="shared" si="36"/>
        <v>-0.42424999999999996</v>
      </c>
    </row>
    <row r="93" spans="1:26" s="24" customFormat="1" hidden="1" outlineLevel="2" x14ac:dyDescent="0.25">
      <c r="A93" s="27"/>
      <c r="B93" s="11" t="str">
        <f>CONCATENATE("          ", "6272", " - ", "CASH (OVER/SHORT)")</f>
        <v xml:space="preserve">          6272 - CASH (OVER/SHORT)</v>
      </c>
      <c r="C93" s="11"/>
      <c r="D93" s="6">
        <v>-6.68</v>
      </c>
      <c r="E93" s="2"/>
      <c r="F93" s="7">
        <f t="shared" si="29"/>
        <v>-2.5417358351116607E-5</v>
      </c>
      <c r="G93" s="2"/>
      <c r="H93" s="6"/>
      <c r="I93" s="2"/>
      <c r="J93" s="7">
        <f t="shared" si="30"/>
        <v>0</v>
      </c>
      <c r="K93" s="2"/>
      <c r="L93" s="6">
        <f t="shared" si="31"/>
        <v>-6.68</v>
      </c>
      <c r="M93" s="2"/>
      <c r="N93" s="7">
        <f t="shared" si="32"/>
        <v>0</v>
      </c>
      <c r="O93" s="11"/>
      <c r="P93" s="6">
        <v>23.03</v>
      </c>
      <c r="Q93" s="2"/>
      <c r="R93" s="7">
        <f t="shared" si="33"/>
        <v>2.0518605573027903E-5</v>
      </c>
      <c r="S93" s="2"/>
      <c r="T93" s="6"/>
      <c r="U93" s="2"/>
      <c r="V93" s="7">
        <f t="shared" si="34"/>
        <v>0</v>
      </c>
      <c r="W93" s="2"/>
      <c r="X93" s="6">
        <f t="shared" si="35"/>
        <v>23.03</v>
      </c>
      <c r="Y93" s="2"/>
      <c r="Z93" s="7">
        <f t="shared" si="36"/>
        <v>0</v>
      </c>
    </row>
    <row r="94" spans="1:26" s="24" customFormat="1" hidden="1" outlineLevel="2" x14ac:dyDescent="0.25">
      <c r="A94" s="27"/>
      <c r="B94" s="11" t="str">
        <f>CONCATENATE("          ", "6342", " - ", "BAD DEBT")</f>
        <v xml:space="preserve">          6342 - BAD DEBT</v>
      </c>
      <c r="C94" s="11"/>
      <c r="D94" s="6"/>
      <c r="E94" s="2"/>
      <c r="F94" s="7">
        <f t="shared" si="29"/>
        <v>0</v>
      </c>
      <c r="G94" s="2"/>
      <c r="H94" s="6">
        <v>10</v>
      </c>
      <c r="I94" s="2"/>
      <c r="J94" s="7">
        <f t="shared" si="30"/>
        <v>3.9705605384038418E-5</v>
      </c>
      <c r="K94" s="2"/>
      <c r="L94" s="6">
        <f t="shared" si="31"/>
        <v>-10</v>
      </c>
      <c r="M94" s="2"/>
      <c r="N94" s="7">
        <f t="shared" si="32"/>
        <v>-1</v>
      </c>
      <c r="O94" s="11"/>
      <c r="P94" s="6"/>
      <c r="Q94" s="2"/>
      <c r="R94" s="7">
        <f t="shared" si="33"/>
        <v>0</v>
      </c>
      <c r="S94" s="2"/>
      <c r="T94" s="6">
        <v>40</v>
      </c>
      <c r="U94" s="2"/>
      <c r="V94" s="7">
        <f t="shared" si="34"/>
        <v>3.7004148439962443E-5</v>
      </c>
      <c r="W94" s="2"/>
      <c r="X94" s="6">
        <f t="shared" si="35"/>
        <v>-40</v>
      </c>
      <c r="Y94" s="2"/>
      <c r="Z94" s="7">
        <f t="shared" si="36"/>
        <v>-1</v>
      </c>
    </row>
    <row r="95" spans="1:26" s="26" customFormat="1" outlineLevel="1" collapsed="1" x14ac:dyDescent="0.25">
      <c r="A95" s="25"/>
      <c r="B95" s="13" t="str">
        <f>CONCATENATE("     ","Bank/card Fees                                    ")</f>
        <v xml:space="preserve">     Bank/card Fees                                    </v>
      </c>
      <c r="C95" s="13"/>
      <c r="D95" s="1">
        <f>SUM(OSRRefD22_4x_0)</f>
        <v>566.46</v>
      </c>
      <c r="E95" s="1"/>
      <c r="F95" s="5">
        <f t="shared" ref="F95:F99" si="37">IF(D$12=0,0,D95/D$12)</f>
        <v>2.1553767681996281E-3</v>
      </c>
      <c r="G95" s="1"/>
      <c r="H95" s="1">
        <f>SUM(OSRRefH22_4x_0)</f>
        <v>550</v>
      </c>
      <c r="I95" s="1"/>
      <c r="J95" s="5">
        <f t="shared" ref="J95:J99" si="38">IF(H$12=0,0,H95/H$12)</f>
        <v>2.1838082961221127E-3</v>
      </c>
      <c r="K95" s="1"/>
      <c r="L95" s="1">
        <f t="shared" ref="L95:L99" si="39">+D95-H95</f>
        <v>16.460000000000036</v>
      </c>
      <c r="M95" s="1"/>
      <c r="N95" s="5">
        <f t="shared" ref="N95:N99" si="40">IF(H95=0,0,L95/H95)</f>
        <v>2.9927272727272792E-2</v>
      </c>
      <c r="O95" s="13"/>
      <c r="P95" s="1">
        <f>SUM(OSRRefP22_4x_0)</f>
        <v>2589.2399999999998</v>
      </c>
      <c r="Q95" s="1"/>
      <c r="R95" s="5">
        <f t="shared" ref="R95:R99" si="41">IF(P$12=0,0,P95/P$12)</f>
        <v>2.3068864217936063E-3</v>
      </c>
      <c r="S95" s="1"/>
      <c r="T95" s="1">
        <f>SUM(OSRRefT22_4x_0)</f>
        <v>2245</v>
      </c>
      <c r="U95" s="1"/>
      <c r="V95" s="5">
        <f t="shared" ref="V95:V99" si="42">IF(T$12=0,0,T95/T$12)</f>
        <v>2.076857831192892E-3</v>
      </c>
      <c r="W95" s="1"/>
      <c r="X95" s="1">
        <f t="shared" ref="X95:X99" si="43">+P95-T95</f>
        <v>344.23999999999978</v>
      </c>
      <c r="Y95" s="1"/>
      <c r="Z95" s="5">
        <f t="shared" ref="Z95:Z99" si="44">IF(T95=0,0,X95/T95)</f>
        <v>0.15333630289532285</v>
      </c>
    </row>
    <row r="96" spans="1:26" s="24" customFormat="1" hidden="1" outlineLevel="2" x14ac:dyDescent="0.25">
      <c r="A96" s="27"/>
      <c r="B96" s="11" t="str">
        <f>CONCATENATE("          ", "6381", " - ", "BANK/CREDIT CARD FEES")</f>
        <v xml:space="preserve">          6381 - BANK/CREDIT CARD FEES</v>
      </c>
      <c r="C96" s="11"/>
      <c r="D96" s="6">
        <v>566.46</v>
      </c>
      <c r="E96" s="2"/>
      <c r="F96" s="7">
        <f t="shared" si="37"/>
        <v>2.1553767681996281E-3</v>
      </c>
      <c r="G96" s="2"/>
      <c r="H96" s="6">
        <v>550</v>
      </c>
      <c r="I96" s="2"/>
      <c r="J96" s="7">
        <f t="shared" si="38"/>
        <v>2.1838082961221127E-3</v>
      </c>
      <c r="K96" s="2"/>
      <c r="L96" s="6">
        <f t="shared" si="39"/>
        <v>16.460000000000036</v>
      </c>
      <c r="M96" s="2"/>
      <c r="N96" s="7">
        <f t="shared" si="40"/>
        <v>2.9927272727272792E-2</v>
      </c>
      <c r="O96" s="11"/>
      <c r="P96" s="6">
        <v>2589.2399999999998</v>
      </c>
      <c r="Q96" s="2"/>
      <c r="R96" s="7">
        <f t="shared" si="41"/>
        <v>2.3068864217936063E-3</v>
      </c>
      <c r="S96" s="2"/>
      <c r="T96" s="6">
        <v>2245</v>
      </c>
      <c r="U96" s="2"/>
      <c r="V96" s="7">
        <f t="shared" si="42"/>
        <v>2.076857831192892E-3</v>
      </c>
      <c r="W96" s="2"/>
      <c r="X96" s="6">
        <f t="shared" si="43"/>
        <v>344.23999999999978</v>
      </c>
      <c r="Y96" s="2"/>
      <c r="Z96" s="7">
        <f t="shared" si="44"/>
        <v>0.15333630289532285</v>
      </c>
    </row>
    <row r="97" spans="1:26" s="26" customFormat="1" outlineLevel="1" collapsed="1" x14ac:dyDescent="0.25">
      <c r="A97" s="25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SUM(OSRRefD22_5x_0)</f>
        <v>31737.860000000004</v>
      </c>
      <c r="E97" s="1"/>
      <c r="F97" s="5">
        <f t="shared" si="37"/>
        <v>0.12076235941879788</v>
      </c>
      <c r="G97" s="1"/>
      <c r="H97" s="1">
        <f>SUM(OSRRefH22_5x_0)</f>
        <v>19000</v>
      </c>
      <c r="I97" s="1"/>
      <c r="J97" s="5">
        <f t="shared" si="38"/>
        <v>7.5440650229672987E-2</v>
      </c>
      <c r="K97" s="1"/>
      <c r="L97" s="1">
        <f t="shared" si="39"/>
        <v>12737.860000000004</v>
      </c>
      <c r="M97" s="1"/>
      <c r="N97" s="5">
        <f t="shared" si="40"/>
        <v>0.67041368421052649</v>
      </c>
      <c r="O97" s="13"/>
      <c r="P97" s="1">
        <f>SUM(OSRRefP22_5x_0)</f>
        <v>92629.67</v>
      </c>
      <c r="Q97" s="1"/>
      <c r="R97" s="5">
        <f t="shared" si="41"/>
        <v>8.2528513377756629E-2</v>
      </c>
      <c r="S97" s="1"/>
      <c r="T97" s="1">
        <f>SUM(OSRRefT22_5x_0)</f>
        <v>82000</v>
      </c>
      <c r="U97" s="1"/>
      <c r="V97" s="5">
        <f t="shared" si="42"/>
        <v>7.5858504301923008E-2</v>
      </c>
      <c r="W97" s="1"/>
      <c r="X97" s="1">
        <f t="shared" si="43"/>
        <v>10629.669999999998</v>
      </c>
      <c r="Y97" s="1"/>
      <c r="Z97" s="5">
        <f t="shared" si="44"/>
        <v>0.12963012195121948</v>
      </c>
    </row>
    <row r="98" spans="1:26" s="24" customFormat="1" hidden="1" outlineLevel="2" x14ac:dyDescent="0.25">
      <c r="A98" s="27"/>
      <c r="B98" s="11" t="str">
        <f>CONCATENATE("          ", "6382", " - ", "DISCOUNTS/MARK DOWNS")</f>
        <v xml:space="preserve">          6382 - DISCOUNTS/MARK DOWNS</v>
      </c>
      <c r="C98" s="11"/>
      <c r="D98" s="6">
        <v>31707.070000000003</v>
      </c>
      <c r="E98" s="2"/>
      <c r="F98" s="7">
        <f t="shared" si="37"/>
        <v>0.12064520366076931</v>
      </c>
      <c r="G98" s="2"/>
      <c r="H98" s="6">
        <v>19000</v>
      </c>
      <c r="I98" s="2"/>
      <c r="J98" s="7">
        <f t="shared" si="38"/>
        <v>7.5440650229672987E-2</v>
      </c>
      <c r="K98" s="2"/>
      <c r="L98" s="6">
        <f t="shared" si="39"/>
        <v>12707.070000000003</v>
      </c>
      <c r="M98" s="2"/>
      <c r="N98" s="7">
        <f t="shared" si="40"/>
        <v>0.66879315789473703</v>
      </c>
      <c r="O98" s="11"/>
      <c r="P98" s="6">
        <v>92637.14</v>
      </c>
      <c r="Q98" s="2"/>
      <c r="R98" s="7">
        <f t="shared" si="41"/>
        <v>8.2535168783038029E-2</v>
      </c>
      <c r="S98" s="2"/>
      <c r="T98" s="6">
        <v>82000</v>
      </c>
      <c r="U98" s="2"/>
      <c r="V98" s="7">
        <f t="shared" si="42"/>
        <v>7.5858504301923008E-2</v>
      </c>
      <c r="W98" s="2"/>
      <c r="X98" s="6">
        <f t="shared" si="43"/>
        <v>10637.14</v>
      </c>
      <c r="Y98" s="2"/>
      <c r="Z98" s="7">
        <f t="shared" si="44"/>
        <v>0.12972121951219512</v>
      </c>
    </row>
    <row r="99" spans="1:26" s="24" customFormat="1" hidden="1" outlineLevel="2" x14ac:dyDescent="0.25">
      <c r="A99" s="27"/>
      <c r="B99" s="11" t="str">
        <f>CONCATENATE("          ", "9175", " - ", "EARNED DISCOUNTS")</f>
        <v xml:space="preserve">          9175 - EARNED DISCOUNTS</v>
      </c>
      <c r="C99" s="11"/>
      <c r="D99" s="6">
        <v>30.79</v>
      </c>
      <c r="E99" s="2"/>
      <c r="F99" s="7">
        <f t="shared" si="37"/>
        <v>1.1715575802857491E-4</v>
      </c>
      <c r="G99" s="2"/>
      <c r="H99" s="6"/>
      <c r="I99" s="2"/>
      <c r="J99" s="7">
        <f t="shared" si="38"/>
        <v>0</v>
      </c>
      <c r="K99" s="2"/>
      <c r="L99" s="6">
        <f t="shared" si="39"/>
        <v>30.79</v>
      </c>
      <c r="M99" s="2"/>
      <c r="N99" s="7">
        <f t="shared" si="40"/>
        <v>0</v>
      </c>
      <c r="O99" s="11"/>
      <c r="P99" s="6">
        <v>-7.47</v>
      </c>
      <c r="Q99" s="2"/>
      <c r="R99" s="7">
        <f t="shared" si="41"/>
        <v>-6.6554052813946333E-6</v>
      </c>
      <c r="S99" s="2"/>
      <c r="T99" s="6"/>
      <c r="U99" s="2"/>
      <c r="V99" s="7">
        <f t="shared" si="42"/>
        <v>0</v>
      </c>
      <c r="W99" s="2"/>
      <c r="X99" s="6">
        <f t="shared" si="43"/>
        <v>-7.47</v>
      </c>
      <c r="Y99" s="2"/>
      <c r="Z99" s="7">
        <f t="shared" si="44"/>
        <v>0</v>
      </c>
    </row>
    <row r="100" spans="1:26" s="26" customFormat="1" outlineLevel="1" collapsed="1" x14ac:dyDescent="0.25">
      <c r="A100" s="25"/>
      <c r="B100" s="13" t="str">
        <f>CONCATENATE("     ","Donations                                         ")</f>
        <v xml:space="preserve">     Donations                                         </v>
      </c>
      <c r="C100" s="13"/>
      <c r="D100" s="1">
        <f>SUM(OSRRefD22_6x_0)</f>
        <v>0</v>
      </c>
      <c r="E100" s="1"/>
      <c r="F100" s="5">
        <f t="shared" ref="F100:F106" si="45">IF(D$12=0,0,D100/D$12)</f>
        <v>0</v>
      </c>
      <c r="G100" s="1"/>
      <c r="H100" s="1">
        <f>SUM(OSRRefH22_6x_0)</f>
        <v>25</v>
      </c>
      <c r="I100" s="1"/>
      <c r="J100" s="5">
        <f t="shared" ref="J100:J106" si="46">IF(H$12=0,0,H100/H$12)</f>
        <v>9.9264013460096038E-5</v>
      </c>
      <c r="K100" s="1"/>
      <c r="L100" s="1">
        <f t="shared" ref="L100:L106" si="47">+D100-H100</f>
        <v>-25</v>
      </c>
      <c r="M100" s="1"/>
      <c r="N100" s="5">
        <f t="shared" ref="N100:N106" si="48">IF(H100=0,0,L100/H100)</f>
        <v>-1</v>
      </c>
      <c r="O100" s="13"/>
      <c r="P100" s="1">
        <f>SUM(OSRRefP22_6x_0)</f>
        <v>0</v>
      </c>
      <c r="Q100" s="1"/>
      <c r="R100" s="5">
        <f t="shared" ref="R100:R106" si="49">IF(P$12=0,0,P100/P$12)</f>
        <v>0</v>
      </c>
      <c r="S100" s="1"/>
      <c r="T100" s="1">
        <f>SUM(OSRRefT22_6x_0)</f>
        <v>175</v>
      </c>
      <c r="U100" s="1"/>
      <c r="V100" s="5">
        <f t="shared" ref="V100:V106" si="50">IF(T$12=0,0,T100/T$12)</f>
        <v>1.6189314942483568E-4</v>
      </c>
      <c r="W100" s="1"/>
      <c r="X100" s="1">
        <f t="shared" ref="X100:X106" si="51">+P100-T100</f>
        <v>-175</v>
      </c>
      <c r="Y100" s="1"/>
      <c r="Z100" s="5">
        <f t="shared" ref="Z100:Z106" si="52">IF(T100=0,0,X100/T100)</f>
        <v>-1</v>
      </c>
    </row>
    <row r="101" spans="1:26" s="24" customFormat="1" hidden="1" outlineLevel="2" x14ac:dyDescent="0.25">
      <c r="A101" s="27"/>
      <c r="B101" s="11" t="str">
        <f>CONCATENATE("          ", "6395", " - ", "DONATION-OFF CAMPUS")</f>
        <v xml:space="preserve">          6395 - DONATION-OFF CAMPUS</v>
      </c>
      <c r="C101" s="11"/>
      <c r="D101" s="6"/>
      <c r="E101" s="2"/>
      <c r="F101" s="7">
        <f t="shared" si="45"/>
        <v>0</v>
      </c>
      <c r="G101" s="2"/>
      <c r="H101" s="6">
        <v>25</v>
      </c>
      <c r="I101" s="2"/>
      <c r="J101" s="7">
        <f t="shared" si="46"/>
        <v>9.9264013460096038E-5</v>
      </c>
      <c r="K101" s="2"/>
      <c r="L101" s="6">
        <f t="shared" si="47"/>
        <v>-25</v>
      </c>
      <c r="M101" s="2"/>
      <c r="N101" s="7">
        <f t="shared" si="48"/>
        <v>-1</v>
      </c>
      <c r="O101" s="11"/>
      <c r="P101" s="6"/>
      <c r="Q101" s="2"/>
      <c r="R101" s="7">
        <f t="shared" si="49"/>
        <v>0</v>
      </c>
      <c r="S101" s="2"/>
      <c r="T101" s="6">
        <v>175</v>
      </c>
      <c r="U101" s="2"/>
      <c r="V101" s="7">
        <f t="shared" si="50"/>
        <v>1.6189314942483568E-4</v>
      </c>
      <c r="W101" s="2"/>
      <c r="X101" s="6">
        <f t="shared" si="51"/>
        <v>-175</v>
      </c>
      <c r="Y101" s="2"/>
      <c r="Z101" s="7">
        <f t="shared" si="52"/>
        <v>-1</v>
      </c>
    </row>
    <row r="102" spans="1:26" s="26" customFormat="1" outlineLevel="1" collapsed="1" x14ac:dyDescent="0.25">
      <c r="A102" s="25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SUM(OSRRefD22_7x_0)</f>
        <v>60</v>
      </c>
      <c r="E102" s="1"/>
      <c r="F102" s="5">
        <f t="shared" si="45"/>
        <v>2.2829962590823302E-4</v>
      </c>
      <c r="G102" s="1"/>
      <c r="H102" s="1">
        <f>SUM(OSRRefH22_7x_0)</f>
        <v>200</v>
      </c>
      <c r="I102" s="1"/>
      <c r="J102" s="5">
        <f t="shared" si="46"/>
        <v>7.941121076807683E-4</v>
      </c>
      <c r="K102" s="1"/>
      <c r="L102" s="1">
        <f t="shared" si="47"/>
        <v>-140</v>
      </c>
      <c r="M102" s="1"/>
      <c r="N102" s="5">
        <f t="shared" si="48"/>
        <v>-0.7</v>
      </c>
      <c r="O102" s="13"/>
      <c r="P102" s="1">
        <f>SUM(OSRRefP22_7x_0)</f>
        <v>193.91</v>
      </c>
      <c r="Q102" s="1"/>
      <c r="R102" s="5">
        <f t="shared" si="49"/>
        <v>1.7276434245183848E-4</v>
      </c>
      <c r="S102" s="1"/>
      <c r="T102" s="1">
        <f>SUM(OSRRefT22_7x_0)</f>
        <v>800</v>
      </c>
      <c r="U102" s="1"/>
      <c r="V102" s="5">
        <f t="shared" si="50"/>
        <v>7.4008296879924881E-4</v>
      </c>
      <c r="W102" s="1"/>
      <c r="X102" s="1">
        <f t="shared" si="51"/>
        <v>-606.09</v>
      </c>
      <c r="Y102" s="1"/>
      <c r="Z102" s="5">
        <f t="shared" si="52"/>
        <v>-0.75761250000000002</v>
      </c>
    </row>
    <row r="103" spans="1:26" s="24" customFormat="1" hidden="1" outlineLevel="2" x14ac:dyDescent="0.25">
      <c r="A103" s="27"/>
      <c r="B103" s="11" t="str">
        <f>CONCATENATE("          ", "6277", " - ", "EMPLOYEE APPRECIATION")</f>
        <v xml:space="preserve">          6277 - EMPLOYEE APPRECIATION</v>
      </c>
      <c r="C103" s="11"/>
      <c r="D103" s="6">
        <v>60</v>
      </c>
      <c r="E103" s="2"/>
      <c r="F103" s="7">
        <f t="shared" si="45"/>
        <v>2.2829962590823302E-4</v>
      </c>
      <c r="G103" s="2"/>
      <c r="H103" s="6">
        <v>200</v>
      </c>
      <c r="I103" s="2"/>
      <c r="J103" s="7">
        <f t="shared" si="46"/>
        <v>7.941121076807683E-4</v>
      </c>
      <c r="K103" s="2"/>
      <c r="L103" s="6">
        <f t="shared" si="47"/>
        <v>-140</v>
      </c>
      <c r="M103" s="2"/>
      <c r="N103" s="7">
        <f t="shared" si="48"/>
        <v>-0.7</v>
      </c>
      <c r="O103" s="11"/>
      <c r="P103" s="6">
        <v>193.91</v>
      </c>
      <c r="Q103" s="2"/>
      <c r="R103" s="7">
        <f t="shared" si="49"/>
        <v>1.7276434245183848E-4</v>
      </c>
      <c r="S103" s="2"/>
      <c r="T103" s="6">
        <v>800</v>
      </c>
      <c r="U103" s="2"/>
      <c r="V103" s="7">
        <f t="shared" si="50"/>
        <v>7.4008296879924881E-4</v>
      </c>
      <c r="W103" s="2"/>
      <c r="X103" s="6">
        <f t="shared" si="51"/>
        <v>-606.09</v>
      </c>
      <c r="Y103" s="2"/>
      <c r="Z103" s="7">
        <f t="shared" si="52"/>
        <v>-0.75761250000000002</v>
      </c>
    </row>
    <row r="104" spans="1:26" s="26" customFormat="1" outlineLevel="1" collapsed="1" x14ac:dyDescent="0.25">
      <c r="A104" s="25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SUM(OSRRefD22_8x_0)</f>
        <v>70.5</v>
      </c>
      <c r="E104" s="1"/>
      <c r="F104" s="5">
        <f t="shared" si="45"/>
        <v>2.682520604421738E-4</v>
      </c>
      <c r="G104" s="1"/>
      <c r="H104" s="1">
        <f>SUM(OSRRefH22_8x_0)</f>
        <v>50</v>
      </c>
      <c r="I104" s="1"/>
      <c r="J104" s="5">
        <f t="shared" si="46"/>
        <v>1.9852802692019208E-4</v>
      </c>
      <c r="K104" s="1"/>
      <c r="L104" s="1">
        <f t="shared" si="47"/>
        <v>20.5</v>
      </c>
      <c r="M104" s="1"/>
      <c r="N104" s="5">
        <f t="shared" si="48"/>
        <v>0.41</v>
      </c>
      <c r="O104" s="13"/>
      <c r="P104" s="1">
        <f>SUM(OSRRefP22_8x_0)</f>
        <v>70.5</v>
      </c>
      <c r="Q104" s="1"/>
      <c r="R104" s="5">
        <f t="shared" si="49"/>
        <v>6.2812057876616024E-5</v>
      </c>
      <c r="S104" s="1"/>
      <c r="T104" s="1">
        <f>SUM(OSRRefT22_8x_0)</f>
        <v>200</v>
      </c>
      <c r="U104" s="1"/>
      <c r="V104" s="5">
        <f t="shared" si="50"/>
        <v>1.850207421998122E-4</v>
      </c>
      <c r="W104" s="1"/>
      <c r="X104" s="1">
        <f t="shared" si="51"/>
        <v>-129.5</v>
      </c>
      <c r="Y104" s="1"/>
      <c r="Z104" s="5">
        <f t="shared" si="52"/>
        <v>-0.64749999999999996</v>
      </c>
    </row>
    <row r="105" spans="1:26" s="24" customFormat="1" hidden="1" outlineLevel="2" x14ac:dyDescent="0.25">
      <c r="A105" s="27"/>
      <c r="B105" s="11" t="str">
        <f>CONCATENATE("          ", "6305", " - ", "FREIGHT OUT")</f>
        <v xml:space="preserve">          6305 - FREIGHT OUT</v>
      </c>
      <c r="C105" s="11"/>
      <c r="D105" s="6">
        <v>70</v>
      </c>
      <c r="E105" s="2"/>
      <c r="F105" s="7">
        <f t="shared" si="45"/>
        <v>2.6634956355960521E-4</v>
      </c>
      <c r="G105" s="2"/>
      <c r="H105" s="6">
        <v>50</v>
      </c>
      <c r="I105" s="2"/>
      <c r="J105" s="7">
        <f t="shared" si="46"/>
        <v>1.9852802692019208E-4</v>
      </c>
      <c r="K105" s="2"/>
      <c r="L105" s="6">
        <f t="shared" si="47"/>
        <v>20</v>
      </c>
      <c r="M105" s="2"/>
      <c r="N105" s="7">
        <f t="shared" si="48"/>
        <v>0.4</v>
      </c>
      <c r="O105" s="11"/>
      <c r="P105" s="6">
        <v>70</v>
      </c>
      <c r="Q105" s="2"/>
      <c r="R105" s="7">
        <f t="shared" si="49"/>
        <v>6.2366582288838598E-5</v>
      </c>
      <c r="S105" s="2"/>
      <c r="T105" s="6">
        <v>200</v>
      </c>
      <c r="U105" s="2"/>
      <c r="V105" s="7">
        <f t="shared" si="50"/>
        <v>1.850207421998122E-4</v>
      </c>
      <c r="W105" s="2"/>
      <c r="X105" s="6">
        <f t="shared" si="51"/>
        <v>-130</v>
      </c>
      <c r="Y105" s="2"/>
      <c r="Z105" s="7">
        <f t="shared" si="52"/>
        <v>-0.65</v>
      </c>
    </row>
    <row r="106" spans="1:26" s="24" customFormat="1" hidden="1" outlineLevel="2" x14ac:dyDescent="0.25">
      <c r="A106" s="27"/>
      <c r="B106" s="11" t="str">
        <f>CONCATENATE("          ", "6307", " - ", "POSTAGE")</f>
        <v xml:space="preserve">          6307 - POSTAGE</v>
      </c>
      <c r="C106" s="11"/>
      <c r="D106" s="6">
        <v>0.5</v>
      </c>
      <c r="E106" s="2"/>
      <c r="F106" s="7">
        <f t="shared" si="45"/>
        <v>1.9024968825686085E-6</v>
      </c>
      <c r="G106" s="2"/>
      <c r="H106" s="6"/>
      <c r="I106" s="2"/>
      <c r="J106" s="7">
        <f t="shared" si="46"/>
        <v>0</v>
      </c>
      <c r="K106" s="2"/>
      <c r="L106" s="6">
        <f t="shared" si="47"/>
        <v>0.5</v>
      </c>
      <c r="M106" s="2"/>
      <c r="N106" s="7">
        <f t="shared" si="48"/>
        <v>0</v>
      </c>
      <c r="O106" s="11"/>
      <c r="P106" s="6">
        <v>0.5</v>
      </c>
      <c r="Q106" s="2"/>
      <c r="R106" s="7">
        <f t="shared" si="49"/>
        <v>4.4547558777741861E-7</v>
      </c>
      <c r="S106" s="2"/>
      <c r="T106" s="6"/>
      <c r="U106" s="2"/>
      <c r="V106" s="7">
        <f t="shared" si="50"/>
        <v>0</v>
      </c>
      <c r="W106" s="2"/>
      <c r="X106" s="6">
        <f t="shared" si="51"/>
        <v>0.5</v>
      </c>
      <c r="Y106" s="2"/>
      <c r="Z106" s="7">
        <f t="shared" si="52"/>
        <v>0</v>
      </c>
    </row>
    <row r="107" spans="1:26" s="26" customFormat="1" outlineLevel="1" collapsed="1" x14ac:dyDescent="0.25">
      <c r="A107" s="25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SUM(OSRRefD22_9x_0)</f>
        <v>0</v>
      </c>
      <c r="E107" s="1"/>
      <c r="F107" s="5">
        <f t="shared" ref="F107:F119" si="53">IF(D$12=0,0,D107/D$12)</f>
        <v>0</v>
      </c>
      <c r="G107" s="1"/>
      <c r="H107" s="1">
        <f>SUM(OSRRefH22_9x_0)</f>
        <v>0</v>
      </c>
      <c r="I107" s="1"/>
      <c r="J107" s="5">
        <f t="shared" ref="J107:J119" si="54">IF(H$12=0,0,H107/H$12)</f>
        <v>0</v>
      </c>
      <c r="K107" s="1"/>
      <c r="L107" s="1">
        <f t="shared" ref="L107:L119" si="55">+D107-H107</f>
        <v>0</v>
      </c>
      <c r="M107" s="1"/>
      <c r="N107" s="5">
        <f t="shared" ref="N107:N119" si="56">IF(H107=0,0,L107/H107)</f>
        <v>0</v>
      </c>
      <c r="O107" s="13"/>
      <c r="P107" s="1">
        <f>SUM(OSRRefP22_9x_0)</f>
        <v>0</v>
      </c>
      <c r="Q107" s="1"/>
      <c r="R107" s="5">
        <f t="shared" ref="R107:R119" si="57">IF(P$12=0,0,P107/P$12)</f>
        <v>0</v>
      </c>
      <c r="S107" s="1"/>
      <c r="T107" s="1">
        <f>SUM(OSRRefT22_9x_0)</f>
        <v>240</v>
      </c>
      <c r="U107" s="1"/>
      <c r="V107" s="5">
        <f t="shared" ref="V107:V119" si="58">IF(T$12=0,0,T107/T$12)</f>
        <v>2.2202489063977466E-4</v>
      </c>
      <c r="W107" s="1"/>
      <c r="X107" s="1">
        <f t="shared" ref="X107:X119" si="59">+P107-T107</f>
        <v>-240</v>
      </c>
      <c r="Y107" s="1"/>
      <c r="Z107" s="5">
        <f t="shared" ref="Z107:Z119" si="60">IF(T107=0,0,X107/T107)</f>
        <v>-1</v>
      </c>
    </row>
    <row r="108" spans="1:26" s="24" customFormat="1" hidden="1" outlineLevel="2" x14ac:dyDescent="0.25">
      <c r="A108" s="27"/>
      <c r="B108" s="11" t="str">
        <f>CONCATENATE("          ", "6279", " - ", "GENERAL EXPENSE")</f>
        <v xml:space="preserve">          6279 - GENERAL EXPENSE</v>
      </c>
      <c r="C108" s="11"/>
      <c r="D108" s="6"/>
      <c r="E108" s="2"/>
      <c r="F108" s="7">
        <f t="shared" si="53"/>
        <v>0</v>
      </c>
      <c r="G108" s="2"/>
      <c r="H108" s="6">
        <v>0</v>
      </c>
      <c r="I108" s="2"/>
      <c r="J108" s="7">
        <f t="shared" si="54"/>
        <v>0</v>
      </c>
      <c r="K108" s="2"/>
      <c r="L108" s="6">
        <f t="shared" si="55"/>
        <v>0</v>
      </c>
      <c r="M108" s="2"/>
      <c r="N108" s="7">
        <f t="shared" si="56"/>
        <v>0</v>
      </c>
      <c r="O108" s="11"/>
      <c r="P108" s="6"/>
      <c r="Q108" s="2"/>
      <c r="R108" s="7">
        <f t="shared" si="57"/>
        <v>0</v>
      </c>
      <c r="S108" s="2"/>
      <c r="T108" s="6">
        <v>240</v>
      </c>
      <c r="U108" s="2"/>
      <c r="V108" s="7">
        <f t="shared" si="58"/>
        <v>2.2202489063977466E-4</v>
      </c>
      <c r="W108" s="2"/>
      <c r="X108" s="6">
        <f t="shared" si="59"/>
        <v>-240</v>
      </c>
      <c r="Y108" s="2"/>
      <c r="Z108" s="7">
        <f t="shared" si="60"/>
        <v>-1</v>
      </c>
    </row>
    <row r="109" spans="1:26" s="26" customFormat="1" outlineLevel="1" collapsed="1" x14ac:dyDescent="0.25">
      <c r="A109" s="25"/>
      <c r="B109" s="13" t="str">
        <f>CONCATENATE("     ","Insurance                                         ")</f>
        <v xml:space="preserve">     Insurance                                         </v>
      </c>
      <c r="C109" s="13"/>
      <c r="D109" s="1">
        <f>SUM(OSRRefD22_10x_0)</f>
        <v>161.18</v>
      </c>
      <c r="E109" s="1"/>
      <c r="F109" s="5">
        <f t="shared" si="53"/>
        <v>6.1328889506481667E-4</v>
      </c>
      <c r="G109" s="1"/>
      <c r="H109" s="1">
        <f>SUM(OSRRefH22_10x_0)</f>
        <v>155</v>
      </c>
      <c r="I109" s="1"/>
      <c r="J109" s="5">
        <f t="shared" si="54"/>
        <v>6.1543688345259539E-4</v>
      </c>
      <c r="K109" s="1"/>
      <c r="L109" s="1">
        <f t="shared" si="55"/>
        <v>6.1800000000000068</v>
      </c>
      <c r="M109" s="1"/>
      <c r="N109" s="5">
        <f t="shared" si="56"/>
        <v>3.9870967741935527E-2</v>
      </c>
      <c r="O109" s="13"/>
      <c r="P109" s="1">
        <f>SUM(OSRRefP22_10x_0)</f>
        <v>644.72</v>
      </c>
      <c r="Q109" s="1"/>
      <c r="R109" s="5">
        <f t="shared" si="57"/>
        <v>5.7441404190371464E-4</v>
      </c>
      <c r="S109" s="1"/>
      <c r="T109" s="1">
        <f>SUM(OSRRefT22_10x_0)</f>
        <v>620</v>
      </c>
      <c r="U109" s="1"/>
      <c r="V109" s="5">
        <f t="shared" si="58"/>
        <v>5.7356430081941781E-4</v>
      </c>
      <c r="W109" s="1"/>
      <c r="X109" s="1">
        <f t="shared" si="59"/>
        <v>24.720000000000027</v>
      </c>
      <c r="Y109" s="1"/>
      <c r="Z109" s="5">
        <f t="shared" si="60"/>
        <v>3.9870967741935527E-2</v>
      </c>
    </row>
    <row r="110" spans="1:26" s="24" customFormat="1" hidden="1" outlineLevel="2" x14ac:dyDescent="0.25">
      <c r="A110" s="27"/>
      <c r="B110" s="11" t="str">
        <f>CONCATENATE("          ", "6314", " - ", "LIABILITY INSURANCE")</f>
        <v xml:space="preserve">          6314 - LIABILITY INSURANCE</v>
      </c>
      <c r="C110" s="11"/>
      <c r="D110" s="6">
        <v>161.18</v>
      </c>
      <c r="E110" s="2"/>
      <c r="F110" s="7">
        <f t="shared" si="53"/>
        <v>6.1328889506481667E-4</v>
      </c>
      <c r="G110" s="2"/>
      <c r="H110" s="6">
        <v>155</v>
      </c>
      <c r="I110" s="2"/>
      <c r="J110" s="7">
        <f t="shared" si="54"/>
        <v>6.1543688345259539E-4</v>
      </c>
      <c r="K110" s="2"/>
      <c r="L110" s="6">
        <f t="shared" si="55"/>
        <v>6.1800000000000068</v>
      </c>
      <c r="M110" s="2"/>
      <c r="N110" s="7">
        <f t="shared" si="56"/>
        <v>3.9870967741935527E-2</v>
      </c>
      <c r="O110" s="11"/>
      <c r="P110" s="6">
        <v>644.72</v>
      </c>
      <c r="Q110" s="2"/>
      <c r="R110" s="7">
        <f t="shared" si="57"/>
        <v>5.7441404190371464E-4</v>
      </c>
      <c r="S110" s="2"/>
      <c r="T110" s="6">
        <v>620</v>
      </c>
      <c r="U110" s="2"/>
      <c r="V110" s="7">
        <f t="shared" si="58"/>
        <v>5.7356430081941781E-4</v>
      </c>
      <c r="W110" s="2"/>
      <c r="X110" s="6">
        <f t="shared" si="59"/>
        <v>24.720000000000027</v>
      </c>
      <c r="Y110" s="2"/>
      <c r="Z110" s="7">
        <f t="shared" si="60"/>
        <v>3.9870967741935527E-2</v>
      </c>
    </row>
    <row r="111" spans="1:26" s="26" customFormat="1" outlineLevel="1" collapsed="1" x14ac:dyDescent="0.25">
      <c r="A111" s="25"/>
      <c r="B111" s="13" t="str">
        <f>CONCATENATE("     ","Inventory Adjustment                              ")</f>
        <v xml:space="preserve">     Inventory Adjustment                              </v>
      </c>
      <c r="C111" s="13"/>
      <c r="D111" s="1">
        <f>SUM(OSRRefD22_11x_0)</f>
        <v>3150</v>
      </c>
      <c r="E111" s="1"/>
      <c r="F111" s="5">
        <f t="shared" si="53"/>
        <v>1.1985730360182233E-2</v>
      </c>
      <c r="G111" s="1"/>
      <c r="H111" s="1">
        <f>SUM(OSRRefH22_11x_0)</f>
        <v>3150</v>
      </c>
      <c r="I111" s="1"/>
      <c r="J111" s="5">
        <f t="shared" si="54"/>
        <v>1.2507265695972101E-2</v>
      </c>
      <c r="K111" s="1"/>
      <c r="L111" s="1">
        <f t="shared" si="55"/>
        <v>0</v>
      </c>
      <c r="M111" s="1"/>
      <c r="N111" s="5">
        <f t="shared" si="56"/>
        <v>0</v>
      </c>
      <c r="O111" s="13"/>
      <c r="P111" s="1">
        <f>SUM(OSRRefP22_11x_0)</f>
        <v>12600</v>
      </c>
      <c r="Q111" s="1"/>
      <c r="R111" s="5">
        <f t="shared" si="57"/>
        <v>1.1225984811990948E-2</v>
      </c>
      <c r="S111" s="1"/>
      <c r="T111" s="1">
        <f>SUM(OSRRefT22_11x_0)</f>
        <v>12600</v>
      </c>
      <c r="U111" s="1"/>
      <c r="V111" s="5">
        <f t="shared" si="58"/>
        <v>1.165630675858817E-2</v>
      </c>
      <c r="W111" s="1"/>
      <c r="X111" s="1">
        <f t="shared" si="59"/>
        <v>0</v>
      </c>
      <c r="Y111" s="1"/>
      <c r="Z111" s="5">
        <f t="shared" si="60"/>
        <v>0</v>
      </c>
    </row>
    <row r="112" spans="1:26" s="24" customFormat="1" hidden="1" outlineLevel="2" x14ac:dyDescent="0.25">
      <c r="A112" s="27"/>
      <c r="B112" s="11" t="str">
        <f>CONCATENATE("          ", "6408", " - ", "INVENTORY ADJUSTMENT")</f>
        <v xml:space="preserve">          6408 - INVENTORY ADJUSTMENT</v>
      </c>
      <c r="C112" s="11"/>
      <c r="D112" s="6">
        <v>3150</v>
      </c>
      <c r="E112" s="2"/>
      <c r="F112" s="7">
        <f t="shared" si="53"/>
        <v>1.1985730360182233E-2</v>
      </c>
      <c r="G112" s="2"/>
      <c r="H112" s="6">
        <v>3150</v>
      </c>
      <c r="I112" s="2"/>
      <c r="J112" s="7">
        <f t="shared" si="54"/>
        <v>1.2507265695972101E-2</v>
      </c>
      <c r="K112" s="2"/>
      <c r="L112" s="6">
        <f t="shared" si="55"/>
        <v>0</v>
      </c>
      <c r="M112" s="2"/>
      <c r="N112" s="7">
        <f t="shared" si="56"/>
        <v>0</v>
      </c>
      <c r="O112" s="11"/>
      <c r="P112" s="6">
        <v>12600</v>
      </c>
      <c r="Q112" s="2"/>
      <c r="R112" s="7">
        <f t="shared" si="57"/>
        <v>1.1225984811990948E-2</v>
      </c>
      <c r="S112" s="2"/>
      <c r="T112" s="6">
        <v>12600</v>
      </c>
      <c r="U112" s="2"/>
      <c r="V112" s="7">
        <f t="shared" si="58"/>
        <v>1.165630675858817E-2</v>
      </c>
      <c r="W112" s="2"/>
      <c r="X112" s="6">
        <f t="shared" si="59"/>
        <v>0</v>
      </c>
      <c r="Y112" s="2"/>
      <c r="Z112" s="7">
        <f t="shared" si="60"/>
        <v>0</v>
      </c>
    </row>
    <row r="113" spans="1:26" s="26" customFormat="1" outlineLevel="1" collapsed="1" x14ac:dyDescent="0.25">
      <c r="A113" s="25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SUM(OSRRefD22_12x_0)</f>
        <v>0</v>
      </c>
      <c r="E113" s="1"/>
      <c r="F113" s="5">
        <f t="shared" si="53"/>
        <v>0</v>
      </c>
      <c r="G113" s="1"/>
      <c r="H113" s="1">
        <f>SUM(OSRRefH22_12x_0)</f>
        <v>250</v>
      </c>
      <c r="I113" s="1"/>
      <c r="J113" s="5">
        <f t="shared" si="54"/>
        <v>9.926401346009603E-4</v>
      </c>
      <c r="K113" s="1"/>
      <c r="L113" s="1">
        <f t="shared" si="55"/>
        <v>-250</v>
      </c>
      <c r="M113" s="1"/>
      <c r="N113" s="5">
        <f t="shared" si="56"/>
        <v>-1</v>
      </c>
      <c r="O113" s="13"/>
      <c r="P113" s="1">
        <f>SUM(OSRRefP22_12x_0)</f>
        <v>750</v>
      </c>
      <c r="Q113" s="1"/>
      <c r="R113" s="5">
        <f t="shared" si="57"/>
        <v>6.6821338166612792E-4</v>
      </c>
      <c r="S113" s="1"/>
      <c r="T113" s="1">
        <f>SUM(OSRRefT22_12x_0)</f>
        <v>2650</v>
      </c>
      <c r="U113" s="1"/>
      <c r="V113" s="5">
        <f t="shared" si="58"/>
        <v>2.451524834147512E-3</v>
      </c>
      <c r="W113" s="1"/>
      <c r="X113" s="1">
        <f t="shared" si="59"/>
        <v>-1900</v>
      </c>
      <c r="Y113" s="1"/>
      <c r="Z113" s="5">
        <f t="shared" si="60"/>
        <v>-0.71698113207547165</v>
      </c>
    </row>
    <row r="114" spans="1:26" s="24" customFormat="1" hidden="1" outlineLevel="2" x14ac:dyDescent="0.25">
      <c r="A114" s="27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53"/>
        <v>0</v>
      </c>
      <c r="G114" s="2"/>
      <c r="H114" s="6">
        <v>250</v>
      </c>
      <c r="I114" s="2"/>
      <c r="J114" s="7">
        <f t="shared" si="54"/>
        <v>9.926401346009603E-4</v>
      </c>
      <c r="K114" s="2"/>
      <c r="L114" s="6">
        <f t="shared" si="55"/>
        <v>-250</v>
      </c>
      <c r="M114" s="2"/>
      <c r="N114" s="7">
        <f t="shared" si="56"/>
        <v>-1</v>
      </c>
      <c r="O114" s="11"/>
      <c r="P114" s="6">
        <v>750</v>
      </c>
      <c r="Q114" s="2"/>
      <c r="R114" s="7">
        <f t="shared" si="57"/>
        <v>6.6821338166612792E-4</v>
      </c>
      <c r="S114" s="2"/>
      <c r="T114" s="6">
        <v>2650</v>
      </c>
      <c r="U114" s="2"/>
      <c r="V114" s="7">
        <f t="shared" si="58"/>
        <v>2.451524834147512E-3</v>
      </c>
      <c r="W114" s="2"/>
      <c r="X114" s="6">
        <f t="shared" si="59"/>
        <v>-1900</v>
      </c>
      <c r="Y114" s="2"/>
      <c r="Z114" s="7">
        <f t="shared" si="60"/>
        <v>-0.71698113207547165</v>
      </c>
    </row>
    <row r="115" spans="1:26" s="26" customFormat="1" outlineLevel="1" collapsed="1" x14ac:dyDescent="0.25">
      <c r="A115" s="25"/>
      <c r="B115" s="13" t="str">
        <f>CONCATENATE("     ","Rent                                              ")</f>
        <v xml:space="preserve">     Rent                                              </v>
      </c>
      <c r="C115" s="13"/>
      <c r="D115" s="1">
        <f>SUM(OSRRefD22_13x_0)</f>
        <v>6900</v>
      </c>
      <c r="E115" s="1"/>
      <c r="F115" s="5">
        <f t="shared" si="53"/>
        <v>2.6254456979446797E-2</v>
      </c>
      <c r="G115" s="1"/>
      <c r="H115" s="1">
        <f>SUM(OSRRefH22_13x_0)</f>
        <v>7200</v>
      </c>
      <c r="I115" s="1"/>
      <c r="J115" s="5">
        <f t="shared" si="54"/>
        <v>2.8588035876507659E-2</v>
      </c>
      <c r="K115" s="1"/>
      <c r="L115" s="1">
        <f t="shared" si="55"/>
        <v>-300</v>
      </c>
      <c r="M115" s="1"/>
      <c r="N115" s="5">
        <f t="shared" si="56"/>
        <v>-4.1666666666666664E-2</v>
      </c>
      <c r="O115" s="13"/>
      <c r="P115" s="1">
        <f>SUM(OSRRefP22_13x_0)</f>
        <v>27600</v>
      </c>
      <c r="Q115" s="1"/>
      <c r="R115" s="5">
        <f t="shared" si="57"/>
        <v>2.4590252445313508E-2</v>
      </c>
      <c r="S115" s="1"/>
      <c r="T115" s="1">
        <f>SUM(OSRRefT22_13x_0)</f>
        <v>28800</v>
      </c>
      <c r="U115" s="1"/>
      <c r="V115" s="5">
        <f t="shared" si="58"/>
        <v>2.664298687677296E-2</v>
      </c>
      <c r="W115" s="1"/>
      <c r="X115" s="1">
        <f t="shared" si="59"/>
        <v>-1200</v>
      </c>
      <c r="Y115" s="1"/>
      <c r="Z115" s="5">
        <f t="shared" si="60"/>
        <v>-4.1666666666666664E-2</v>
      </c>
    </row>
    <row r="116" spans="1:26" s="24" customFormat="1" hidden="1" outlineLevel="2" x14ac:dyDescent="0.25">
      <c r="A116" s="27"/>
      <c r="B116" s="11" t="str">
        <f>CONCATENATE("          ", "6273", " - ", "RENT")</f>
        <v xml:space="preserve">          6273 - RENT</v>
      </c>
      <c r="C116" s="11"/>
      <c r="D116" s="6">
        <v>6900</v>
      </c>
      <c r="E116" s="2"/>
      <c r="F116" s="7">
        <f t="shared" si="53"/>
        <v>2.6254456979446797E-2</v>
      </c>
      <c r="G116" s="2"/>
      <c r="H116" s="6">
        <v>7200</v>
      </c>
      <c r="I116" s="2"/>
      <c r="J116" s="7">
        <f t="shared" si="54"/>
        <v>2.8588035876507659E-2</v>
      </c>
      <c r="K116" s="2"/>
      <c r="L116" s="6">
        <f t="shared" si="55"/>
        <v>-300</v>
      </c>
      <c r="M116" s="2"/>
      <c r="N116" s="7">
        <f t="shared" si="56"/>
        <v>-4.1666666666666664E-2</v>
      </c>
      <c r="O116" s="11"/>
      <c r="P116" s="6">
        <v>27600</v>
      </c>
      <c r="Q116" s="2"/>
      <c r="R116" s="7">
        <f t="shared" si="57"/>
        <v>2.4590252445313508E-2</v>
      </c>
      <c r="S116" s="2"/>
      <c r="T116" s="6">
        <v>28800</v>
      </c>
      <c r="U116" s="2"/>
      <c r="V116" s="7">
        <f t="shared" si="58"/>
        <v>2.664298687677296E-2</v>
      </c>
      <c r="W116" s="2"/>
      <c r="X116" s="6">
        <f t="shared" si="59"/>
        <v>-1200</v>
      </c>
      <c r="Y116" s="2"/>
      <c r="Z116" s="7">
        <f t="shared" si="60"/>
        <v>-4.1666666666666664E-2</v>
      </c>
    </row>
    <row r="117" spans="1:26" s="26" customFormat="1" outlineLevel="1" collapsed="1" x14ac:dyDescent="0.25">
      <c r="A117" s="25"/>
      <c r="B117" s="13" t="str">
        <f>CONCATENATE("     ","Repair and Maintenance                            ")</f>
        <v xml:space="preserve">     Repair and Maintenance                            </v>
      </c>
      <c r="C117" s="13"/>
      <c r="D117" s="1">
        <f>SUM(OSRRefD22_14x_0)</f>
        <v>104.28999999999999</v>
      </c>
      <c r="E117" s="1"/>
      <c r="F117" s="5">
        <f t="shared" si="53"/>
        <v>3.9682279976616032E-4</v>
      </c>
      <c r="G117" s="1"/>
      <c r="H117" s="1">
        <f>SUM(OSRRefH22_14x_0)</f>
        <v>150</v>
      </c>
      <c r="I117" s="1"/>
      <c r="J117" s="5">
        <f t="shared" si="54"/>
        <v>5.955840807605762E-4</v>
      </c>
      <c r="K117" s="1"/>
      <c r="L117" s="1">
        <f t="shared" si="55"/>
        <v>-45.710000000000008</v>
      </c>
      <c r="M117" s="1"/>
      <c r="N117" s="5">
        <f t="shared" si="56"/>
        <v>-0.30473333333333341</v>
      </c>
      <c r="O117" s="13"/>
      <c r="P117" s="1">
        <f>SUM(OSRRefP22_14x_0)</f>
        <v>104.28999999999999</v>
      </c>
      <c r="Q117" s="1"/>
      <c r="R117" s="5">
        <f t="shared" si="57"/>
        <v>9.2917298098613968E-5</v>
      </c>
      <c r="S117" s="1"/>
      <c r="T117" s="1">
        <f>SUM(OSRRefT22_14x_0)</f>
        <v>950</v>
      </c>
      <c r="U117" s="1"/>
      <c r="V117" s="5">
        <f t="shared" si="58"/>
        <v>8.7884852544910805E-4</v>
      </c>
      <c r="W117" s="1"/>
      <c r="X117" s="1">
        <f t="shared" si="59"/>
        <v>-845.71</v>
      </c>
      <c r="Y117" s="1"/>
      <c r="Z117" s="5">
        <f t="shared" si="60"/>
        <v>-0.89022105263157902</v>
      </c>
    </row>
    <row r="118" spans="1:26" s="24" customFormat="1" hidden="1" outlineLevel="2" x14ac:dyDescent="0.25">
      <c r="A118" s="27"/>
      <c r="B118" s="11" t="str">
        <f>CONCATENATE("          ", "6373", " - ", "MAINTENANCE CONTRACTS")</f>
        <v xml:space="preserve">          6373 - MAINTENANCE CONTRACTS</v>
      </c>
      <c r="C118" s="11"/>
      <c r="D118" s="6">
        <v>45.65</v>
      </c>
      <c r="E118" s="2"/>
      <c r="F118" s="7">
        <f t="shared" si="53"/>
        <v>1.7369796537851395E-4</v>
      </c>
      <c r="G118" s="2"/>
      <c r="H118" s="6">
        <v>0</v>
      </c>
      <c r="I118" s="2"/>
      <c r="J118" s="7">
        <f t="shared" si="54"/>
        <v>0</v>
      </c>
      <c r="K118" s="2"/>
      <c r="L118" s="6">
        <f t="shared" si="55"/>
        <v>45.65</v>
      </c>
      <c r="M118" s="2"/>
      <c r="N118" s="7">
        <f t="shared" si="56"/>
        <v>0</v>
      </c>
      <c r="O118" s="11"/>
      <c r="P118" s="6">
        <v>45.65</v>
      </c>
      <c r="Q118" s="2"/>
      <c r="R118" s="7">
        <f t="shared" si="57"/>
        <v>4.0671921164078315E-5</v>
      </c>
      <c r="S118" s="2"/>
      <c r="T118" s="6">
        <v>75</v>
      </c>
      <c r="U118" s="2"/>
      <c r="V118" s="7">
        <f t="shared" si="58"/>
        <v>6.9382778324929579E-5</v>
      </c>
      <c r="W118" s="2"/>
      <c r="X118" s="6">
        <f t="shared" si="59"/>
        <v>-29.35</v>
      </c>
      <c r="Y118" s="2"/>
      <c r="Z118" s="7">
        <f t="shared" si="60"/>
        <v>-0.39133333333333337</v>
      </c>
    </row>
    <row r="119" spans="1:26" s="24" customFormat="1" hidden="1" outlineLevel="2" x14ac:dyDescent="0.25">
      <c r="A119" s="27"/>
      <c r="B119" s="11" t="str">
        <f>CONCATENATE("          ", "6375", " - ", "OUTSIDE REPAIRS &amp; MAINTENANCE")</f>
        <v xml:space="preserve">          6375 - OUTSIDE REPAIRS &amp; MAINTENANCE</v>
      </c>
      <c r="C119" s="11"/>
      <c r="D119" s="6">
        <v>58.64</v>
      </c>
      <c r="E119" s="2"/>
      <c r="F119" s="7">
        <f t="shared" si="53"/>
        <v>2.2312483438764641E-4</v>
      </c>
      <c r="G119" s="2"/>
      <c r="H119" s="6">
        <v>150</v>
      </c>
      <c r="I119" s="2"/>
      <c r="J119" s="7">
        <f t="shared" si="54"/>
        <v>5.955840807605762E-4</v>
      </c>
      <c r="K119" s="2"/>
      <c r="L119" s="6">
        <f t="shared" si="55"/>
        <v>-91.36</v>
      </c>
      <c r="M119" s="2"/>
      <c r="N119" s="7">
        <f t="shared" si="56"/>
        <v>-0.60906666666666665</v>
      </c>
      <c r="O119" s="11"/>
      <c r="P119" s="6">
        <v>58.64</v>
      </c>
      <c r="Q119" s="2"/>
      <c r="R119" s="7">
        <f t="shared" si="57"/>
        <v>5.2245376934535653E-5</v>
      </c>
      <c r="S119" s="2"/>
      <c r="T119" s="6">
        <v>875</v>
      </c>
      <c r="U119" s="2"/>
      <c r="V119" s="7">
        <f t="shared" si="58"/>
        <v>8.0946574712417838E-4</v>
      </c>
      <c r="W119" s="2"/>
      <c r="X119" s="6">
        <f t="shared" si="59"/>
        <v>-816.36</v>
      </c>
      <c r="Y119" s="2"/>
      <c r="Z119" s="7">
        <f t="shared" si="60"/>
        <v>-0.93298285714285711</v>
      </c>
    </row>
    <row r="120" spans="1:26" s="26" customFormat="1" outlineLevel="1" collapsed="1" x14ac:dyDescent="0.25">
      <c r="A120" s="25"/>
      <c r="B120" s="13" t="str">
        <f>CONCATENATE("     ","Royalty &amp; Commissions                             ")</f>
        <v xml:space="preserve">     Royalty &amp; Commissions                             </v>
      </c>
      <c r="C120" s="13"/>
      <c r="D120" s="1">
        <f>SUM(OSRRefD22_15x_0)</f>
        <v>882.02</v>
      </c>
      <c r="E120" s="1"/>
      <c r="F120" s="5">
        <f t="shared" ref="F120:F123" si="61">IF(D$12=0,0,D120/D$12)</f>
        <v>3.3560806007263281E-3</v>
      </c>
      <c r="G120" s="1"/>
      <c r="H120" s="1">
        <f>SUM(OSRRefH22_15x_0)</f>
        <v>5485</v>
      </c>
      <c r="I120" s="1"/>
      <c r="J120" s="5">
        <f t="shared" ref="J120:J123" si="62">IF(H$12=0,0,H120/H$12)</f>
        <v>2.1778524553145072E-2</v>
      </c>
      <c r="K120" s="1"/>
      <c r="L120" s="1">
        <f t="shared" ref="L120:L123" si="63">+D120-H120</f>
        <v>-4602.9799999999996</v>
      </c>
      <c r="M120" s="1"/>
      <c r="N120" s="5">
        <f t="shared" ref="N120:N123" si="64">IF(H120=0,0,L120/H120)</f>
        <v>-0.83919416590701912</v>
      </c>
      <c r="O120" s="13"/>
      <c r="P120" s="1">
        <f>SUM(OSRRefP22_15x_0)</f>
        <v>5864.84</v>
      </c>
      <c r="Q120" s="1"/>
      <c r="R120" s="5">
        <f t="shared" ref="R120:R123" si="65">IF(P$12=0,0,P120/P$12)</f>
        <v>5.2252860924410314E-3</v>
      </c>
      <c r="S120" s="1"/>
      <c r="T120" s="1">
        <f>SUM(OSRRefT22_15x_0)</f>
        <v>21940</v>
      </c>
      <c r="U120" s="1"/>
      <c r="V120" s="5">
        <f t="shared" ref="V120:V123" si="66">IF(T$12=0,0,T120/T$12)</f>
        <v>2.0296775419319398E-2</v>
      </c>
      <c r="W120" s="1"/>
      <c r="X120" s="1">
        <f t="shared" ref="X120:X123" si="67">+P120-T120</f>
        <v>-16075.16</v>
      </c>
      <c r="Y120" s="1"/>
      <c r="Z120" s="5">
        <f t="shared" ref="Z120:Z123" si="68">IF(T120=0,0,X120/T120)</f>
        <v>-0.73268732907930723</v>
      </c>
    </row>
    <row r="121" spans="1:26" s="24" customFormat="1" hidden="1" outlineLevel="2" x14ac:dyDescent="0.25">
      <c r="A121" s="27"/>
      <c r="B121" s="11" t="str">
        <f>CONCATENATE("          ", "6252", " - ", "ROYALTY DUE CSTV")</f>
        <v xml:space="preserve">          6252 - ROYALTY DUE CSTV</v>
      </c>
      <c r="C121" s="11"/>
      <c r="D121" s="6"/>
      <c r="E121" s="2"/>
      <c r="F121" s="7">
        <f t="shared" si="61"/>
        <v>0</v>
      </c>
      <c r="G121" s="2"/>
      <c r="H121" s="6">
        <v>1085</v>
      </c>
      <c r="I121" s="2"/>
      <c r="J121" s="7">
        <f t="shared" si="62"/>
        <v>4.3080581841681677E-3</v>
      </c>
      <c r="K121" s="2"/>
      <c r="L121" s="6">
        <f t="shared" si="63"/>
        <v>-1085</v>
      </c>
      <c r="M121" s="2"/>
      <c r="N121" s="7">
        <f t="shared" si="64"/>
        <v>-1</v>
      </c>
      <c r="O121" s="11"/>
      <c r="P121" s="6"/>
      <c r="Q121" s="2"/>
      <c r="R121" s="7">
        <f t="shared" si="65"/>
        <v>0</v>
      </c>
      <c r="S121" s="2"/>
      <c r="T121" s="6">
        <v>4340</v>
      </c>
      <c r="U121" s="2"/>
      <c r="V121" s="7">
        <f t="shared" si="66"/>
        <v>4.014950105735925E-3</v>
      </c>
      <c r="W121" s="2"/>
      <c r="X121" s="6">
        <f t="shared" si="67"/>
        <v>-4340</v>
      </c>
      <c r="Y121" s="2"/>
      <c r="Z121" s="7">
        <f t="shared" si="68"/>
        <v>-1</v>
      </c>
    </row>
    <row r="122" spans="1:26" s="24" customFormat="1" hidden="1" outlineLevel="2" x14ac:dyDescent="0.25">
      <c r="A122" s="27"/>
      <c r="B122" s="11" t="str">
        <f>CONCATENATE("          ", "6253", " - ", "ROYALTY DUE ATHLETICS-LRG")</f>
        <v xml:space="preserve">          6253 - ROYALTY DUE ATHLETICS-LRG</v>
      </c>
      <c r="C122" s="11"/>
      <c r="D122" s="6"/>
      <c r="E122" s="2"/>
      <c r="F122" s="7">
        <f t="shared" si="61"/>
        <v>0</v>
      </c>
      <c r="G122" s="2"/>
      <c r="H122" s="6">
        <v>3700</v>
      </c>
      <c r="I122" s="2"/>
      <c r="J122" s="7">
        <f t="shared" si="62"/>
        <v>1.4691073992094213E-2</v>
      </c>
      <c r="K122" s="2"/>
      <c r="L122" s="6">
        <f t="shared" si="63"/>
        <v>-3700</v>
      </c>
      <c r="M122" s="2"/>
      <c r="N122" s="7">
        <f t="shared" si="64"/>
        <v>-1</v>
      </c>
      <c r="O122" s="11"/>
      <c r="P122" s="6">
        <v>4366.95</v>
      </c>
      <c r="Q122" s="2"/>
      <c r="R122" s="7">
        <f t="shared" si="65"/>
        <v>3.8907392360891962E-3</v>
      </c>
      <c r="S122" s="2"/>
      <c r="T122" s="6">
        <v>14800</v>
      </c>
      <c r="U122" s="2"/>
      <c r="V122" s="7">
        <f t="shared" si="66"/>
        <v>1.3691534922786104E-2</v>
      </c>
      <c r="W122" s="2"/>
      <c r="X122" s="6">
        <f t="shared" si="67"/>
        <v>-10433.049999999999</v>
      </c>
      <c r="Y122" s="2"/>
      <c r="Z122" s="7">
        <f t="shared" si="68"/>
        <v>-0.7049358108108108</v>
      </c>
    </row>
    <row r="123" spans="1:26" s="24" customFormat="1" hidden="1" outlineLevel="2" x14ac:dyDescent="0.25">
      <c r="A123" s="27"/>
      <c r="B123" s="11" t="str">
        <f>CONCATENATE("          ", "6254", " - ", "ROYALTY &amp; COMMISSIONS")</f>
        <v xml:space="preserve">          6254 - ROYALTY &amp; COMMISSIONS</v>
      </c>
      <c r="C123" s="11"/>
      <c r="D123" s="6">
        <v>882.02</v>
      </c>
      <c r="E123" s="2"/>
      <c r="F123" s="7">
        <f t="shared" si="61"/>
        <v>3.3560806007263281E-3</v>
      </c>
      <c r="G123" s="2"/>
      <c r="H123" s="6">
        <v>700</v>
      </c>
      <c r="I123" s="2"/>
      <c r="J123" s="7">
        <f t="shared" si="62"/>
        <v>2.779392376882689E-3</v>
      </c>
      <c r="K123" s="2"/>
      <c r="L123" s="6">
        <f t="shared" si="63"/>
        <v>182.01999999999998</v>
      </c>
      <c r="M123" s="2"/>
      <c r="N123" s="7">
        <f t="shared" si="64"/>
        <v>0.26002857142857139</v>
      </c>
      <c r="O123" s="11"/>
      <c r="P123" s="6">
        <v>1497.89</v>
      </c>
      <c r="Q123" s="2"/>
      <c r="R123" s="7">
        <f t="shared" si="65"/>
        <v>1.3345468563518352E-3</v>
      </c>
      <c r="S123" s="2"/>
      <c r="T123" s="6">
        <v>2800</v>
      </c>
      <c r="U123" s="2"/>
      <c r="V123" s="7">
        <f t="shared" si="66"/>
        <v>2.5902903907973709E-3</v>
      </c>
      <c r="W123" s="2"/>
      <c r="X123" s="6">
        <f t="shared" si="67"/>
        <v>-1302.1099999999999</v>
      </c>
      <c r="Y123" s="2"/>
      <c r="Z123" s="7">
        <f t="shared" si="68"/>
        <v>-0.46503928571428566</v>
      </c>
    </row>
    <row r="124" spans="1:26" s="26" customFormat="1" outlineLevel="1" collapsed="1" x14ac:dyDescent="0.25">
      <c r="A124" s="25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SUM(OSRRefD22_16x_0)</f>
        <v>914.53</v>
      </c>
      <c r="E124" s="1"/>
      <c r="F124" s="5">
        <f t="shared" ref="F124:F127" si="69">IF(D$12=0,0,D124/D$12)</f>
        <v>3.4797809480309389E-3</v>
      </c>
      <c r="G124" s="1"/>
      <c r="H124" s="1">
        <f>SUM(OSRRefH22_16x_0)</f>
        <v>232.5</v>
      </c>
      <c r="I124" s="1"/>
      <c r="J124" s="5">
        <f t="shared" ref="J124:J127" si="70">IF(H$12=0,0,H124/H$12)</f>
        <v>9.2315532517889319E-4</v>
      </c>
      <c r="K124" s="1"/>
      <c r="L124" s="1">
        <f t="shared" ref="L124:L127" si="71">+D124-H124</f>
        <v>682.03</v>
      </c>
      <c r="M124" s="1"/>
      <c r="N124" s="5">
        <f t="shared" ref="N124:N127" si="72">IF(H124=0,0,L124/H124)</f>
        <v>2.9334623655913976</v>
      </c>
      <c r="O124" s="13"/>
      <c r="P124" s="1">
        <f>SUM(OSRRefP22_16x_0)</f>
        <v>1638.6399999999999</v>
      </c>
      <c r="Q124" s="1"/>
      <c r="R124" s="5">
        <f t="shared" ref="R124:R127" si="73">IF(P$12=0,0,P124/P$12)</f>
        <v>1.4599482343111783E-3</v>
      </c>
      <c r="S124" s="1"/>
      <c r="T124" s="1">
        <f>SUM(OSRRefT22_16x_0)</f>
        <v>930</v>
      </c>
      <c r="U124" s="1"/>
      <c r="V124" s="5">
        <f t="shared" ref="V124:V127" si="74">IF(T$12=0,0,T124/T$12)</f>
        <v>8.6034645122912677E-4</v>
      </c>
      <c r="W124" s="1"/>
      <c r="X124" s="1">
        <f t="shared" ref="X124:X127" si="75">+P124-T124</f>
        <v>708.63999999999987</v>
      </c>
      <c r="Y124" s="1"/>
      <c r="Z124" s="5">
        <f t="shared" ref="Z124:Z127" si="76">IF(T124=0,0,X124/T124)</f>
        <v>0.76197849462365574</v>
      </c>
    </row>
    <row r="125" spans="1:26" s="24" customFormat="1" hidden="1" outlineLevel="2" x14ac:dyDescent="0.25">
      <c r="A125" s="27"/>
      <c r="B125" s="11" t="str">
        <f>CONCATENATE("          ", "6283", " - ", "PLANT SERVICE")</f>
        <v xml:space="preserve">          6283 - PLANT SERVICE</v>
      </c>
      <c r="C125" s="11"/>
      <c r="D125" s="6"/>
      <c r="E125" s="2"/>
      <c r="F125" s="7">
        <f t="shared" si="69"/>
        <v>0</v>
      </c>
      <c r="G125" s="2"/>
      <c r="H125" s="6">
        <v>60</v>
      </c>
      <c r="I125" s="2"/>
      <c r="J125" s="7">
        <f t="shared" si="70"/>
        <v>2.3823363230423048E-4</v>
      </c>
      <c r="K125" s="2"/>
      <c r="L125" s="6">
        <f t="shared" si="71"/>
        <v>-60</v>
      </c>
      <c r="M125" s="2"/>
      <c r="N125" s="7">
        <f t="shared" si="72"/>
        <v>-1</v>
      </c>
      <c r="O125" s="11"/>
      <c r="P125" s="6">
        <v>178.65</v>
      </c>
      <c r="Q125" s="2"/>
      <c r="R125" s="7">
        <f t="shared" si="73"/>
        <v>1.5916842751287168E-4</v>
      </c>
      <c r="S125" s="2"/>
      <c r="T125" s="6">
        <v>240</v>
      </c>
      <c r="U125" s="2"/>
      <c r="V125" s="7">
        <f t="shared" si="74"/>
        <v>2.2202489063977466E-4</v>
      </c>
      <c r="W125" s="2"/>
      <c r="X125" s="6">
        <f t="shared" si="75"/>
        <v>-61.349999999999994</v>
      </c>
      <c r="Y125" s="2"/>
      <c r="Z125" s="7">
        <f t="shared" si="76"/>
        <v>-0.25562499999999999</v>
      </c>
    </row>
    <row r="126" spans="1:26" s="24" customFormat="1" hidden="1" outlineLevel="2" x14ac:dyDescent="0.25">
      <c r="A126" s="27"/>
      <c r="B126" s="11" t="str">
        <f>CONCATENATE("          ", "6284", " - ", "TRASH REMOVAL EXPENSE")</f>
        <v xml:space="preserve">          6284 - TRASH REMOVAL EXPENSE</v>
      </c>
      <c r="C126" s="11"/>
      <c r="D126" s="6">
        <v>134.82</v>
      </c>
      <c r="E126" s="2"/>
      <c r="F126" s="7">
        <f t="shared" si="69"/>
        <v>5.1298925941579954E-4</v>
      </c>
      <c r="G126" s="2"/>
      <c r="H126" s="6">
        <v>62.5</v>
      </c>
      <c r="I126" s="2"/>
      <c r="J126" s="7">
        <f t="shared" si="70"/>
        <v>2.4816003365024007E-4</v>
      </c>
      <c r="K126" s="2"/>
      <c r="L126" s="6">
        <f t="shared" si="71"/>
        <v>72.319999999999993</v>
      </c>
      <c r="M126" s="2"/>
      <c r="N126" s="7">
        <f t="shared" si="72"/>
        <v>1.1571199999999999</v>
      </c>
      <c r="O126" s="11"/>
      <c r="P126" s="6">
        <v>539.28</v>
      </c>
      <c r="Q126" s="2"/>
      <c r="R126" s="7">
        <f t="shared" si="73"/>
        <v>4.8047214995321257E-4</v>
      </c>
      <c r="S126" s="2"/>
      <c r="T126" s="6">
        <v>250</v>
      </c>
      <c r="U126" s="2"/>
      <c r="V126" s="7">
        <f t="shared" si="74"/>
        <v>2.3127592774976527E-4</v>
      </c>
      <c r="W126" s="2"/>
      <c r="X126" s="6">
        <f t="shared" si="75"/>
        <v>289.27999999999997</v>
      </c>
      <c r="Y126" s="2"/>
      <c r="Z126" s="7">
        <f t="shared" si="76"/>
        <v>1.1571199999999999</v>
      </c>
    </row>
    <row r="127" spans="1:26" s="24" customFormat="1" hidden="1" outlineLevel="2" x14ac:dyDescent="0.25">
      <c r="A127" s="27"/>
      <c r="B127" s="11" t="str">
        <f>CONCATENATE("          ", "6285", " - ", "JANITORIAL SERVICES")</f>
        <v xml:space="preserve">          6285 - JANITORIAL SERVICES</v>
      </c>
      <c r="C127" s="11"/>
      <c r="D127" s="6">
        <v>779.71</v>
      </c>
      <c r="E127" s="2"/>
      <c r="F127" s="7">
        <f t="shared" si="69"/>
        <v>2.9667916886151396E-3</v>
      </c>
      <c r="G127" s="2"/>
      <c r="H127" s="6">
        <v>110</v>
      </c>
      <c r="I127" s="2"/>
      <c r="J127" s="7">
        <f t="shared" si="70"/>
        <v>4.3676165922442258E-4</v>
      </c>
      <c r="K127" s="2"/>
      <c r="L127" s="6">
        <f t="shared" si="71"/>
        <v>669.71</v>
      </c>
      <c r="M127" s="2"/>
      <c r="N127" s="7">
        <f t="shared" si="72"/>
        <v>6.0882727272727273</v>
      </c>
      <c r="O127" s="11"/>
      <c r="P127" s="6">
        <v>920.71</v>
      </c>
      <c r="Q127" s="2"/>
      <c r="R127" s="7">
        <f t="shared" si="73"/>
        <v>8.203076568450942E-4</v>
      </c>
      <c r="S127" s="2"/>
      <c r="T127" s="6">
        <v>440</v>
      </c>
      <c r="U127" s="2"/>
      <c r="V127" s="7">
        <f t="shared" si="74"/>
        <v>4.0704563283958686E-4</v>
      </c>
      <c r="W127" s="2"/>
      <c r="X127" s="6">
        <f t="shared" si="75"/>
        <v>480.71000000000004</v>
      </c>
      <c r="Y127" s="2"/>
      <c r="Z127" s="7">
        <f t="shared" si="76"/>
        <v>1.0925227272727274</v>
      </c>
    </row>
    <row r="128" spans="1:26" s="26" customFormat="1" outlineLevel="1" collapsed="1" x14ac:dyDescent="0.25">
      <c r="A128" s="25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SUM(OSRRefD22_17x_0)</f>
        <v>75</v>
      </c>
      <c r="E128" s="1"/>
      <c r="F128" s="5">
        <f t="shared" ref="F128:F130" si="77">IF(D$12=0,0,D128/D$12)</f>
        <v>2.8537453238529126E-4</v>
      </c>
      <c r="G128" s="1"/>
      <c r="H128" s="1">
        <f>SUM(OSRRefH22_17x_0)</f>
        <v>590</v>
      </c>
      <c r="I128" s="1"/>
      <c r="J128" s="5">
        <f t="shared" ref="J128:J130" si="78">IF(H$12=0,0,H128/H$12)</f>
        <v>2.3426307176582666E-3</v>
      </c>
      <c r="K128" s="1"/>
      <c r="L128" s="1">
        <f t="shared" ref="L128:L130" si="79">+D128-H128</f>
        <v>-515</v>
      </c>
      <c r="M128" s="1"/>
      <c r="N128" s="5">
        <f t="shared" ref="N128:N130" si="80">IF(H128=0,0,L128/H128)</f>
        <v>-0.8728813559322034</v>
      </c>
      <c r="O128" s="13"/>
      <c r="P128" s="1">
        <f>SUM(OSRRefP22_17x_0)</f>
        <v>385.06</v>
      </c>
      <c r="Q128" s="1"/>
      <c r="R128" s="5">
        <f t="shared" ref="R128:R130" si="81">IF(P$12=0,0,P128/P$12)</f>
        <v>3.430696596591456E-4</v>
      </c>
      <c r="S128" s="1"/>
      <c r="T128" s="1">
        <f>SUM(OSRRefT22_17x_0)</f>
        <v>3505</v>
      </c>
      <c r="U128" s="1"/>
      <c r="V128" s="5">
        <f t="shared" ref="V128:V130" si="82">IF(T$12=0,0,T128/T$12)</f>
        <v>3.2424885070517092E-3</v>
      </c>
      <c r="W128" s="1"/>
      <c r="X128" s="1">
        <f t="shared" ref="X128:X130" si="83">+P128-T128</f>
        <v>-3119.94</v>
      </c>
      <c r="Y128" s="1"/>
      <c r="Z128" s="5">
        <f t="shared" ref="Z128:Z130" si="84">IF(T128=0,0,X128/T128)</f>
        <v>-0.8901398002853067</v>
      </c>
    </row>
    <row r="129" spans="1:26" s="24" customFormat="1" hidden="1" outlineLevel="2" x14ac:dyDescent="0.25">
      <c r="A129" s="27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77"/>
        <v>0</v>
      </c>
      <c r="G129" s="2"/>
      <c r="H129" s="6">
        <v>0</v>
      </c>
      <c r="I129" s="2"/>
      <c r="J129" s="7">
        <f t="shared" si="78"/>
        <v>0</v>
      </c>
      <c r="K129" s="2"/>
      <c r="L129" s="6">
        <f t="shared" si="79"/>
        <v>0</v>
      </c>
      <c r="M129" s="2"/>
      <c r="N129" s="7">
        <f t="shared" si="80"/>
        <v>0</v>
      </c>
      <c r="O129" s="11"/>
      <c r="P129" s="6"/>
      <c r="Q129" s="2"/>
      <c r="R129" s="7">
        <f t="shared" si="81"/>
        <v>0</v>
      </c>
      <c r="S129" s="2"/>
      <c r="T129" s="6">
        <v>1395</v>
      </c>
      <c r="U129" s="2"/>
      <c r="V129" s="7">
        <f t="shared" si="82"/>
        <v>1.2905196768436902E-3</v>
      </c>
      <c r="W129" s="2"/>
      <c r="X129" s="6">
        <f t="shared" si="83"/>
        <v>-1395</v>
      </c>
      <c r="Y129" s="2"/>
      <c r="Z129" s="7">
        <f t="shared" si="84"/>
        <v>-1</v>
      </c>
    </row>
    <row r="130" spans="1:26" s="24" customFormat="1" hidden="1" outlineLevel="2" x14ac:dyDescent="0.25">
      <c r="A130" s="27"/>
      <c r="B130" s="11" t="str">
        <f>CONCATENATE("          ", "6275", " - ", "SUBSCRIPTIONS")</f>
        <v xml:space="preserve">          6275 - SUBSCRIPTIONS</v>
      </c>
      <c r="C130" s="11"/>
      <c r="D130" s="6">
        <v>75</v>
      </c>
      <c r="E130" s="2"/>
      <c r="F130" s="7">
        <f t="shared" si="77"/>
        <v>2.8537453238529126E-4</v>
      </c>
      <c r="G130" s="2"/>
      <c r="H130" s="6">
        <v>590</v>
      </c>
      <c r="I130" s="2"/>
      <c r="J130" s="7">
        <f t="shared" si="78"/>
        <v>2.3426307176582666E-3</v>
      </c>
      <c r="K130" s="2"/>
      <c r="L130" s="6">
        <f t="shared" si="79"/>
        <v>-515</v>
      </c>
      <c r="M130" s="2"/>
      <c r="N130" s="7">
        <f t="shared" si="80"/>
        <v>-0.8728813559322034</v>
      </c>
      <c r="O130" s="11"/>
      <c r="P130" s="6">
        <v>385.06</v>
      </c>
      <c r="Q130" s="2"/>
      <c r="R130" s="7">
        <f t="shared" si="81"/>
        <v>3.430696596591456E-4</v>
      </c>
      <c r="S130" s="2"/>
      <c r="T130" s="6">
        <v>2110</v>
      </c>
      <c r="U130" s="2"/>
      <c r="V130" s="7">
        <f t="shared" si="82"/>
        <v>1.9519688302080188E-3</v>
      </c>
      <c r="W130" s="2"/>
      <c r="X130" s="6">
        <f t="shared" si="83"/>
        <v>-1724.94</v>
      </c>
      <c r="Y130" s="2"/>
      <c r="Z130" s="7">
        <f t="shared" si="84"/>
        <v>-0.81750710900473933</v>
      </c>
    </row>
    <row r="131" spans="1:26" s="26" customFormat="1" outlineLevel="1" collapsed="1" x14ac:dyDescent="0.25">
      <c r="A131" s="25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SUM(OSRRefD22_18x_0)</f>
        <v>627.19999999999993</v>
      </c>
      <c r="E131" s="1"/>
      <c r="F131" s="5">
        <f t="shared" ref="F131:F136" si="85">IF(D$12=0,0,D131/D$12)</f>
        <v>2.3864920894940624E-3</v>
      </c>
      <c r="G131" s="1"/>
      <c r="H131" s="1">
        <f>SUM(OSRRefH22_18x_0)</f>
        <v>1370</v>
      </c>
      <c r="I131" s="1"/>
      <c r="J131" s="5">
        <f t="shared" ref="J131:J136" si="86">IF(H$12=0,0,H131/H$12)</f>
        <v>5.4396679376132627E-3</v>
      </c>
      <c r="K131" s="1"/>
      <c r="L131" s="1">
        <f t="shared" ref="L131:L136" si="87">+D131-H131</f>
        <v>-742.80000000000007</v>
      </c>
      <c r="M131" s="1"/>
      <c r="N131" s="5">
        <f t="shared" ref="N131:N136" si="88">IF(H131=0,0,L131/H131)</f>
        <v>-0.54218978102189785</v>
      </c>
      <c r="O131" s="13"/>
      <c r="P131" s="1">
        <f>SUM(OSRRefP22_18x_0)</f>
        <v>3348.34</v>
      </c>
      <c r="Q131" s="1"/>
      <c r="R131" s="5">
        <f t="shared" ref="R131:R136" si="89">IF(P$12=0,0,P131/P$12)</f>
        <v>2.9832074591572837E-3</v>
      </c>
      <c r="S131" s="1"/>
      <c r="T131" s="1">
        <f>SUM(OSRRefT22_18x_0)</f>
        <v>5540</v>
      </c>
      <c r="U131" s="1"/>
      <c r="V131" s="5">
        <f t="shared" ref="V131:V136" si="90">IF(T$12=0,0,T131/T$12)</f>
        <v>5.125074558934798E-3</v>
      </c>
      <c r="W131" s="1"/>
      <c r="X131" s="1">
        <f t="shared" ref="X131:X136" si="91">+P131-T131</f>
        <v>-2191.66</v>
      </c>
      <c r="Y131" s="1"/>
      <c r="Z131" s="5">
        <f t="shared" ref="Z131:Z136" si="92">IF(T131=0,0,X131/T131)</f>
        <v>-0.39560649819494581</v>
      </c>
    </row>
    <row r="132" spans="1:26" s="24" customFormat="1" hidden="1" outlineLevel="2" x14ac:dyDescent="0.25">
      <c r="A132" s="27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/>
      <c r="E132" s="2"/>
      <c r="F132" s="7">
        <f t="shared" si="85"/>
        <v>0</v>
      </c>
      <c r="G132" s="2"/>
      <c r="H132" s="6">
        <v>500</v>
      </c>
      <c r="I132" s="2"/>
      <c r="J132" s="7">
        <f t="shared" si="86"/>
        <v>1.9852802692019206E-3</v>
      </c>
      <c r="K132" s="2"/>
      <c r="L132" s="6">
        <f t="shared" si="87"/>
        <v>-500</v>
      </c>
      <c r="M132" s="2"/>
      <c r="N132" s="7">
        <f t="shared" si="88"/>
        <v>-1</v>
      </c>
      <c r="O132" s="11"/>
      <c r="P132" s="6">
        <v>-15.95</v>
      </c>
      <c r="Q132" s="2"/>
      <c r="R132" s="7">
        <f t="shared" si="89"/>
        <v>-1.4210671250099652E-5</v>
      </c>
      <c r="S132" s="2"/>
      <c r="T132" s="6">
        <v>2550</v>
      </c>
      <c r="U132" s="2"/>
      <c r="V132" s="7">
        <f t="shared" si="90"/>
        <v>2.3590144630476059E-3</v>
      </c>
      <c r="W132" s="2"/>
      <c r="X132" s="6">
        <f t="shared" si="91"/>
        <v>-2565.9499999999998</v>
      </c>
      <c r="Y132" s="2"/>
      <c r="Z132" s="7">
        <f t="shared" si="92"/>
        <v>-1.0062549019607843</v>
      </c>
    </row>
    <row r="133" spans="1:26" s="24" customFormat="1" hidden="1" outlineLevel="2" x14ac:dyDescent="0.25">
      <c r="A133" s="27"/>
      <c r="B133" s="11" t="str">
        <f>CONCATENATE("          ", "6237", " - ", "JANITORIAL SUPPLIES")</f>
        <v xml:space="preserve">          6237 - JANITORIAL SUPPLIES</v>
      </c>
      <c r="C133" s="11"/>
      <c r="D133" s="6">
        <v>83.06</v>
      </c>
      <c r="E133" s="2"/>
      <c r="F133" s="7">
        <f t="shared" si="85"/>
        <v>3.1604278213229724E-4</v>
      </c>
      <c r="G133" s="2"/>
      <c r="H133" s="6">
        <v>45</v>
      </c>
      <c r="I133" s="2"/>
      <c r="J133" s="7">
        <f t="shared" si="86"/>
        <v>1.7867522422817286E-4</v>
      </c>
      <c r="K133" s="2"/>
      <c r="L133" s="6">
        <f t="shared" si="87"/>
        <v>38.06</v>
      </c>
      <c r="M133" s="2"/>
      <c r="N133" s="7">
        <f t="shared" si="88"/>
        <v>0.84577777777777785</v>
      </c>
      <c r="O133" s="11"/>
      <c r="P133" s="6">
        <v>287.72000000000003</v>
      </c>
      <c r="Q133" s="2"/>
      <c r="R133" s="7">
        <f t="shared" si="89"/>
        <v>2.5634447223063777E-4</v>
      </c>
      <c r="S133" s="2"/>
      <c r="T133" s="6">
        <v>190</v>
      </c>
      <c r="U133" s="2"/>
      <c r="V133" s="7">
        <f t="shared" si="90"/>
        <v>1.7576970508982162E-4</v>
      </c>
      <c r="W133" s="2"/>
      <c r="X133" s="6">
        <f t="shared" si="91"/>
        <v>97.720000000000027</v>
      </c>
      <c r="Y133" s="2"/>
      <c r="Z133" s="7">
        <f t="shared" si="92"/>
        <v>0.51431578947368439</v>
      </c>
    </row>
    <row r="134" spans="1:26" s="24" customFormat="1" hidden="1" outlineLevel="2" x14ac:dyDescent="0.25">
      <c r="A134" s="27"/>
      <c r="B134" s="11" t="str">
        <f>CONCATENATE("          ", "6241", " - ", "OFFICE EXPENSE")</f>
        <v xml:space="preserve">          6241 - OFFICE EXPENSE</v>
      </c>
      <c r="C134" s="11"/>
      <c r="D134" s="6">
        <v>430.98</v>
      </c>
      <c r="E134" s="2"/>
      <c r="F134" s="7">
        <f t="shared" si="85"/>
        <v>1.6398762128988378E-3</v>
      </c>
      <c r="G134" s="2"/>
      <c r="H134" s="6">
        <v>600</v>
      </c>
      <c r="I134" s="2"/>
      <c r="J134" s="7">
        <f t="shared" si="86"/>
        <v>2.3823363230423048E-3</v>
      </c>
      <c r="K134" s="2"/>
      <c r="L134" s="6">
        <f t="shared" si="87"/>
        <v>-169.01999999999998</v>
      </c>
      <c r="M134" s="2"/>
      <c r="N134" s="7">
        <f t="shared" si="88"/>
        <v>-0.28169999999999995</v>
      </c>
      <c r="O134" s="11"/>
      <c r="P134" s="6">
        <v>2783.78</v>
      </c>
      <c r="Q134" s="2"/>
      <c r="R134" s="7">
        <f t="shared" si="89"/>
        <v>2.4802120634860448E-3</v>
      </c>
      <c r="S134" s="2"/>
      <c r="T134" s="6">
        <v>1900</v>
      </c>
      <c r="U134" s="2"/>
      <c r="V134" s="7">
        <f t="shared" si="90"/>
        <v>1.7576970508982161E-3</v>
      </c>
      <c r="W134" s="2"/>
      <c r="X134" s="6">
        <f t="shared" si="91"/>
        <v>883.7800000000002</v>
      </c>
      <c r="Y134" s="2"/>
      <c r="Z134" s="7">
        <f t="shared" si="92"/>
        <v>0.46514736842105275</v>
      </c>
    </row>
    <row r="135" spans="1:26" s="24" customFormat="1" hidden="1" outlineLevel="2" x14ac:dyDescent="0.25">
      <c r="A135" s="27"/>
      <c r="B135" s="11" t="str">
        <f>CONCATENATE("          ", "6247", " - ", "STORE SUPPLIES")</f>
        <v xml:space="preserve">          6247 - STORE SUPPLIES</v>
      </c>
      <c r="C135" s="11"/>
      <c r="D135" s="6">
        <v>113.16</v>
      </c>
      <c r="E135" s="2"/>
      <c r="F135" s="7">
        <f t="shared" si="85"/>
        <v>4.3057309446292746E-4</v>
      </c>
      <c r="G135" s="2"/>
      <c r="H135" s="6">
        <v>225</v>
      </c>
      <c r="I135" s="2"/>
      <c r="J135" s="7">
        <f t="shared" si="86"/>
        <v>8.9337612114086435E-4</v>
      </c>
      <c r="K135" s="2"/>
      <c r="L135" s="6">
        <f t="shared" si="87"/>
        <v>-111.84</v>
      </c>
      <c r="M135" s="2"/>
      <c r="N135" s="7">
        <f t="shared" si="88"/>
        <v>-0.49706666666666666</v>
      </c>
      <c r="O135" s="11"/>
      <c r="P135" s="6">
        <v>292.79000000000002</v>
      </c>
      <c r="Q135" s="2"/>
      <c r="R135" s="7">
        <f t="shared" si="89"/>
        <v>2.608615946907008E-4</v>
      </c>
      <c r="S135" s="2"/>
      <c r="T135" s="6">
        <v>900</v>
      </c>
      <c r="U135" s="2"/>
      <c r="V135" s="7">
        <f t="shared" si="90"/>
        <v>8.3259333989915501E-4</v>
      </c>
      <c r="W135" s="2"/>
      <c r="X135" s="6">
        <f t="shared" si="91"/>
        <v>-607.21</v>
      </c>
      <c r="Y135" s="2"/>
      <c r="Z135" s="7">
        <f t="shared" si="92"/>
        <v>-0.67467777777777782</v>
      </c>
    </row>
    <row r="136" spans="1:26" s="24" customFormat="1" hidden="1" outlineLevel="2" x14ac:dyDescent="0.25">
      <c r="A136" s="27"/>
      <c r="B136" s="11" t="str">
        <f>CONCATENATE("          ", "6248", " - ", "UNIFORMS")</f>
        <v xml:space="preserve">          6248 - UNIFORMS</v>
      </c>
      <c r="C136" s="11"/>
      <c r="D136" s="6"/>
      <c r="E136" s="2"/>
      <c r="F136" s="7">
        <f t="shared" si="85"/>
        <v>0</v>
      </c>
      <c r="G136" s="2"/>
      <c r="H136" s="6">
        <v>0</v>
      </c>
      <c r="I136" s="2"/>
      <c r="J136" s="7">
        <f t="shared" si="86"/>
        <v>0</v>
      </c>
      <c r="K136" s="2"/>
      <c r="L136" s="6">
        <f t="shared" si="87"/>
        <v>0</v>
      </c>
      <c r="M136" s="2"/>
      <c r="N136" s="7">
        <f t="shared" si="88"/>
        <v>0</v>
      </c>
      <c r="O136" s="11"/>
      <c r="P136" s="6"/>
      <c r="Q136" s="2"/>
      <c r="R136" s="7">
        <f t="shared" si="89"/>
        <v>0</v>
      </c>
      <c r="S136" s="2"/>
      <c r="T136" s="6">
        <v>0</v>
      </c>
      <c r="U136" s="2"/>
      <c r="V136" s="7">
        <f t="shared" si="90"/>
        <v>0</v>
      </c>
      <c r="W136" s="2"/>
      <c r="X136" s="6">
        <f t="shared" si="91"/>
        <v>0</v>
      </c>
      <c r="Y136" s="2"/>
      <c r="Z136" s="7">
        <f t="shared" si="92"/>
        <v>0</v>
      </c>
    </row>
    <row r="137" spans="1:26" s="26" customFormat="1" outlineLevel="1" collapsed="1" x14ac:dyDescent="0.25">
      <c r="A137" s="25"/>
      <c r="B137" s="13" t="str">
        <f>CONCATENATE("     ","Telephone/Data Lines                              ")</f>
        <v xml:space="preserve">     Telephone/Data Lines                              </v>
      </c>
      <c r="C137" s="13"/>
      <c r="D137" s="1">
        <f>SUM(OSRRefD22_19x_0)</f>
        <v>-7.33</v>
      </c>
      <c r="E137" s="1"/>
      <c r="F137" s="5">
        <f t="shared" ref="F137:F139" si="93">IF(D$12=0,0,D137/D$12)</f>
        <v>-2.7890604298455801E-5</v>
      </c>
      <c r="G137" s="1"/>
      <c r="H137" s="1">
        <f>SUM(OSRRefH22_19x_0)</f>
        <v>1100</v>
      </c>
      <c r="I137" s="1"/>
      <c r="J137" s="5">
        <f t="shared" ref="J137:J139" si="94">IF(H$12=0,0,H137/H$12)</f>
        <v>4.3676165922442254E-3</v>
      </c>
      <c r="K137" s="1"/>
      <c r="L137" s="1">
        <f t="shared" ref="L137:L139" si="95">+D137-H137</f>
        <v>-1107.33</v>
      </c>
      <c r="M137" s="1"/>
      <c r="N137" s="5">
        <f t="shared" ref="N137:N139" si="96">IF(H137=0,0,L137/H137)</f>
        <v>-1.0066636363636363</v>
      </c>
      <c r="O137" s="13"/>
      <c r="P137" s="1">
        <f>SUM(OSRRefP22_19x_0)</f>
        <v>4018.09</v>
      </c>
      <c r="Q137" s="1"/>
      <c r="R137" s="5">
        <f t="shared" ref="R137:R139" si="97">IF(P$12=0,0,P137/P$12)</f>
        <v>3.5799220089851361E-3</v>
      </c>
      <c r="S137" s="1"/>
      <c r="T137" s="1">
        <f>SUM(OSRRefT22_19x_0)</f>
        <v>4975</v>
      </c>
      <c r="U137" s="1"/>
      <c r="V137" s="5">
        <f t="shared" ref="V137:V139" si="98">IF(T$12=0,0,T137/T$12)</f>
        <v>4.6023909622203291E-3</v>
      </c>
      <c r="W137" s="1"/>
      <c r="X137" s="1">
        <f t="shared" ref="X137:X139" si="99">+P137-T137</f>
        <v>-956.90999999999985</v>
      </c>
      <c r="Y137" s="1"/>
      <c r="Z137" s="5">
        <f t="shared" ref="Z137:Z139" si="100">IF(T137=0,0,X137/T137)</f>
        <v>-0.19234371859296479</v>
      </c>
    </row>
    <row r="138" spans="1:26" s="24" customFormat="1" hidden="1" outlineLevel="2" x14ac:dyDescent="0.25">
      <c r="A138" s="27"/>
      <c r="B138" s="11" t="str">
        <f>CONCATENATE("          ", "6303", " - ", "DATA PHONE LINES")</f>
        <v xml:space="preserve">          6303 - DATA PHONE LINES</v>
      </c>
      <c r="C138" s="11"/>
      <c r="D138" s="6"/>
      <c r="E138" s="2"/>
      <c r="F138" s="7">
        <f t="shared" si="93"/>
        <v>0</v>
      </c>
      <c r="G138" s="2"/>
      <c r="H138" s="6">
        <v>450</v>
      </c>
      <c r="I138" s="2"/>
      <c r="J138" s="7">
        <f t="shared" si="94"/>
        <v>1.7867522422817287E-3</v>
      </c>
      <c r="K138" s="2"/>
      <c r="L138" s="6">
        <f t="shared" si="95"/>
        <v>-450</v>
      </c>
      <c r="M138" s="2"/>
      <c r="N138" s="7">
        <f t="shared" si="96"/>
        <v>-1</v>
      </c>
      <c r="O138" s="11"/>
      <c r="P138" s="6"/>
      <c r="Q138" s="2"/>
      <c r="R138" s="7">
        <f t="shared" si="97"/>
        <v>0</v>
      </c>
      <c r="S138" s="2"/>
      <c r="T138" s="6">
        <v>2675</v>
      </c>
      <c r="U138" s="2"/>
      <c r="V138" s="7">
        <f t="shared" si="98"/>
        <v>2.4746524269224882E-3</v>
      </c>
      <c r="W138" s="2"/>
      <c r="X138" s="6">
        <f t="shared" si="99"/>
        <v>-2675</v>
      </c>
      <c r="Y138" s="2"/>
      <c r="Z138" s="7">
        <f t="shared" si="100"/>
        <v>-1</v>
      </c>
    </row>
    <row r="139" spans="1:26" s="24" customFormat="1" hidden="1" outlineLevel="2" x14ac:dyDescent="0.25">
      <c r="A139" s="27"/>
      <c r="B139" s="11" t="str">
        <f>CONCATENATE("          ", "6309", " - ", "TELEPHONE")</f>
        <v xml:space="preserve">          6309 - TELEPHONE</v>
      </c>
      <c r="C139" s="11"/>
      <c r="D139" s="6">
        <v>-7.33</v>
      </c>
      <c r="E139" s="2"/>
      <c r="F139" s="7">
        <f t="shared" si="93"/>
        <v>-2.7890604298455801E-5</v>
      </c>
      <c r="G139" s="2"/>
      <c r="H139" s="6">
        <v>650</v>
      </c>
      <c r="I139" s="2"/>
      <c r="J139" s="7">
        <f t="shared" si="94"/>
        <v>2.5808643499624969E-3</v>
      </c>
      <c r="K139" s="2"/>
      <c r="L139" s="6">
        <f t="shared" si="95"/>
        <v>-657.33</v>
      </c>
      <c r="M139" s="2"/>
      <c r="N139" s="7">
        <f t="shared" si="96"/>
        <v>-1.0112769230769232</v>
      </c>
      <c r="O139" s="11"/>
      <c r="P139" s="6">
        <v>4018.09</v>
      </c>
      <c r="Q139" s="2"/>
      <c r="R139" s="7">
        <f t="shared" si="97"/>
        <v>3.5799220089851361E-3</v>
      </c>
      <c r="S139" s="2"/>
      <c r="T139" s="6">
        <v>2300</v>
      </c>
      <c r="U139" s="2"/>
      <c r="V139" s="7">
        <f t="shared" si="98"/>
        <v>2.1277385352978405E-3</v>
      </c>
      <c r="W139" s="2"/>
      <c r="X139" s="6">
        <f t="shared" si="99"/>
        <v>1718.0900000000001</v>
      </c>
      <c r="Y139" s="2"/>
      <c r="Z139" s="7">
        <f t="shared" si="100"/>
        <v>0.74699565217391306</v>
      </c>
    </row>
    <row r="140" spans="1:26" s="26" customFormat="1" outlineLevel="1" collapsed="1" x14ac:dyDescent="0.25">
      <c r="A140" s="25"/>
      <c r="B140" s="13" t="str">
        <f>CONCATENATE("     ","Training                                          ")</f>
        <v xml:space="preserve">     Training                                          </v>
      </c>
      <c r="C140" s="13"/>
      <c r="D140" s="1">
        <f>SUM(OSRRefD22_20x_0)</f>
        <v>1042.56</v>
      </c>
      <c r="E140" s="1"/>
      <c r="F140" s="5">
        <f t="shared" ref="F140:F144" si="101">IF(D$12=0,0,D140/D$12)</f>
        <v>3.9669342997814567E-3</v>
      </c>
      <c r="G140" s="1"/>
      <c r="H140" s="1">
        <f>SUM(OSRRefH22_20x_0)</f>
        <v>0</v>
      </c>
      <c r="I140" s="1"/>
      <c r="J140" s="5">
        <f t="shared" ref="J140:J144" si="102">IF(H$12=0,0,H140/H$12)</f>
        <v>0</v>
      </c>
      <c r="K140" s="1"/>
      <c r="L140" s="1">
        <f t="shared" ref="L140:L144" si="103">+D140-H140</f>
        <v>1042.56</v>
      </c>
      <c r="M140" s="1"/>
      <c r="N140" s="5">
        <f t="shared" ref="N140:N144" si="104">IF(H140=0,0,L140/H140)</f>
        <v>0</v>
      </c>
      <c r="O140" s="13"/>
      <c r="P140" s="1">
        <f>SUM(OSRRefP22_20x_0)</f>
        <v>1146.06</v>
      </c>
      <c r="Q140" s="1"/>
      <c r="R140" s="5">
        <f t="shared" ref="R140:R144" si="105">IF(P$12=0,0,P140/P$12)</f>
        <v>1.0210835042563768E-3</v>
      </c>
      <c r="S140" s="1"/>
      <c r="T140" s="1">
        <f>SUM(OSRRefT22_20x_0)</f>
        <v>700</v>
      </c>
      <c r="U140" s="1"/>
      <c r="V140" s="5">
        <f t="shared" ref="V140:V144" si="106">IF(T$12=0,0,T140/T$12)</f>
        <v>6.4757259769934272E-4</v>
      </c>
      <c r="W140" s="1"/>
      <c r="X140" s="1">
        <f t="shared" ref="X140:X144" si="107">+P140-T140</f>
        <v>446.05999999999995</v>
      </c>
      <c r="Y140" s="1"/>
      <c r="Z140" s="5">
        <f t="shared" ref="Z140:Z144" si="108">IF(T140=0,0,X140/T140)</f>
        <v>0.63722857142857137</v>
      </c>
    </row>
    <row r="141" spans="1:26" s="24" customFormat="1" hidden="1" outlineLevel="2" x14ac:dyDescent="0.25">
      <c r="A141" s="27"/>
      <c r="B141" s="11" t="str">
        <f>CONCATENATE("          ", "6376", " - ", "TRAINING")</f>
        <v xml:space="preserve">          6376 - TRAINING</v>
      </c>
      <c r="C141" s="11"/>
      <c r="D141" s="6">
        <v>1042.56</v>
      </c>
      <c r="E141" s="2"/>
      <c r="F141" s="7">
        <f t="shared" si="101"/>
        <v>3.9669342997814567E-3</v>
      </c>
      <c r="G141" s="2"/>
      <c r="H141" s="6">
        <v>0</v>
      </c>
      <c r="I141" s="2"/>
      <c r="J141" s="7">
        <f t="shared" si="102"/>
        <v>0</v>
      </c>
      <c r="K141" s="2"/>
      <c r="L141" s="6">
        <f t="shared" si="103"/>
        <v>1042.56</v>
      </c>
      <c r="M141" s="2"/>
      <c r="N141" s="7">
        <f t="shared" si="104"/>
        <v>0</v>
      </c>
      <c r="O141" s="11"/>
      <c r="P141" s="6">
        <v>1146.06</v>
      </c>
      <c r="Q141" s="2"/>
      <c r="R141" s="7">
        <f t="shared" si="105"/>
        <v>1.0210835042563768E-3</v>
      </c>
      <c r="S141" s="2"/>
      <c r="T141" s="6">
        <v>700</v>
      </c>
      <c r="U141" s="2"/>
      <c r="V141" s="7">
        <f t="shared" si="106"/>
        <v>6.4757259769934272E-4</v>
      </c>
      <c r="W141" s="2"/>
      <c r="X141" s="6">
        <f t="shared" si="107"/>
        <v>446.05999999999995</v>
      </c>
      <c r="Y141" s="2"/>
      <c r="Z141" s="7">
        <f t="shared" si="108"/>
        <v>0.63722857142857137</v>
      </c>
    </row>
    <row r="142" spans="1:26" s="26" customFormat="1" outlineLevel="1" collapsed="1" x14ac:dyDescent="0.25">
      <c r="A142" s="25"/>
      <c r="B142" s="13" t="str">
        <f>CONCATENATE("     ","Travel                                            ")</f>
        <v xml:space="preserve">     Travel                                            </v>
      </c>
      <c r="C142" s="13"/>
      <c r="D142" s="1">
        <f>SUM(OSRRefD22_21x_0)</f>
        <v>441.41</v>
      </c>
      <c r="E142" s="1"/>
      <c r="F142" s="5">
        <f t="shared" si="101"/>
        <v>1.679562297869219E-3</v>
      </c>
      <c r="G142" s="1"/>
      <c r="H142" s="1">
        <f>SUM(OSRRefH22_21x_0)</f>
        <v>75</v>
      </c>
      <c r="I142" s="1"/>
      <c r="J142" s="5">
        <f t="shared" si="102"/>
        <v>2.977920403802881E-4</v>
      </c>
      <c r="K142" s="1"/>
      <c r="L142" s="1">
        <f t="shared" si="103"/>
        <v>366.41</v>
      </c>
      <c r="M142" s="1"/>
      <c r="N142" s="5">
        <f t="shared" si="104"/>
        <v>4.8854666666666668</v>
      </c>
      <c r="O142" s="13"/>
      <c r="P142" s="1">
        <f>SUM(OSRRefP22_21x_0)</f>
        <v>543.51</v>
      </c>
      <c r="Q142" s="1"/>
      <c r="R142" s="5">
        <f t="shared" si="105"/>
        <v>4.8424087342580958E-4</v>
      </c>
      <c r="S142" s="1"/>
      <c r="T142" s="1">
        <f>SUM(OSRRefT22_21x_0)</f>
        <v>435</v>
      </c>
      <c r="U142" s="1"/>
      <c r="V142" s="5">
        <f t="shared" si="106"/>
        <v>4.0242011428459157E-4</v>
      </c>
      <c r="W142" s="1"/>
      <c r="X142" s="1">
        <f t="shared" si="107"/>
        <v>108.50999999999999</v>
      </c>
      <c r="Y142" s="1"/>
      <c r="Z142" s="5">
        <f t="shared" si="108"/>
        <v>0.24944827586206894</v>
      </c>
    </row>
    <row r="143" spans="1:26" s="24" customFormat="1" hidden="1" outlineLevel="2" x14ac:dyDescent="0.25">
      <c r="A143" s="27"/>
      <c r="B143" s="11" t="str">
        <f>CONCATENATE("          ", "6292", " - ", "TRAVEL/CONFERENCE")</f>
        <v xml:space="preserve">          6292 - TRAVEL/CONFERENCE</v>
      </c>
      <c r="C143" s="11"/>
      <c r="D143" s="6">
        <v>107.04</v>
      </c>
      <c r="E143" s="2"/>
      <c r="F143" s="7">
        <f t="shared" si="101"/>
        <v>4.0728653262028775E-4</v>
      </c>
      <c r="G143" s="2"/>
      <c r="H143" s="6"/>
      <c r="I143" s="2"/>
      <c r="J143" s="7">
        <f t="shared" si="102"/>
        <v>0</v>
      </c>
      <c r="K143" s="2"/>
      <c r="L143" s="6">
        <f t="shared" si="103"/>
        <v>107.04</v>
      </c>
      <c r="M143" s="2"/>
      <c r="N143" s="7">
        <f t="shared" si="104"/>
        <v>0</v>
      </c>
      <c r="O143" s="11"/>
      <c r="P143" s="6">
        <v>107.04</v>
      </c>
      <c r="Q143" s="2"/>
      <c r="R143" s="7">
        <f t="shared" si="105"/>
        <v>9.536741383138978E-5</v>
      </c>
      <c r="S143" s="2"/>
      <c r="T143" s="6"/>
      <c r="U143" s="2"/>
      <c r="V143" s="7">
        <f t="shared" si="106"/>
        <v>0</v>
      </c>
      <c r="W143" s="2"/>
      <c r="X143" s="6">
        <f t="shared" si="107"/>
        <v>107.04</v>
      </c>
      <c r="Y143" s="2"/>
      <c r="Z143" s="7">
        <f t="shared" si="108"/>
        <v>0</v>
      </c>
    </row>
    <row r="144" spans="1:26" s="24" customFormat="1" hidden="1" outlineLevel="2" x14ac:dyDescent="0.25">
      <c r="A144" s="27"/>
      <c r="B144" s="11" t="str">
        <f>CONCATENATE("          ", "6294", " - ", "TRAVEL OPERATIONAL")</f>
        <v xml:space="preserve">          6294 - TRAVEL OPERATIONAL</v>
      </c>
      <c r="C144" s="11"/>
      <c r="D144" s="6">
        <v>334.37</v>
      </c>
      <c r="E144" s="2"/>
      <c r="F144" s="7">
        <f t="shared" si="101"/>
        <v>1.2722757652489313E-3</v>
      </c>
      <c r="G144" s="2"/>
      <c r="H144" s="6">
        <v>75</v>
      </c>
      <c r="I144" s="2"/>
      <c r="J144" s="7">
        <f t="shared" si="102"/>
        <v>2.977920403802881E-4</v>
      </c>
      <c r="K144" s="2"/>
      <c r="L144" s="6">
        <f t="shared" si="103"/>
        <v>259.37</v>
      </c>
      <c r="M144" s="2"/>
      <c r="N144" s="7">
        <f t="shared" si="104"/>
        <v>3.4582666666666668</v>
      </c>
      <c r="O144" s="11"/>
      <c r="P144" s="6">
        <v>436.47</v>
      </c>
      <c r="Q144" s="2"/>
      <c r="R144" s="7">
        <f t="shared" si="105"/>
        <v>3.8887345959441984E-4</v>
      </c>
      <c r="S144" s="2"/>
      <c r="T144" s="6">
        <v>435</v>
      </c>
      <c r="U144" s="2"/>
      <c r="V144" s="7">
        <f t="shared" si="106"/>
        <v>4.0242011428459157E-4</v>
      </c>
      <c r="W144" s="2"/>
      <c r="X144" s="6">
        <f t="shared" si="107"/>
        <v>1.4700000000000273</v>
      </c>
      <c r="Y144" s="2"/>
      <c r="Z144" s="7">
        <f t="shared" si="108"/>
        <v>3.379310344827649E-3</v>
      </c>
    </row>
    <row r="145" spans="1:26" s="26" customFormat="1" outlineLevel="1" collapsed="1" x14ac:dyDescent="0.25">
      <c r="A145" s="25"/>
      <c r="B145" s="13" t="str">
        <f>CONCATENATE("     ","Utilities                                         ")</f>
        <v xml:space="preserve">     Utilities                                         </v>
      </c>
      <c r="C145" s="13"/>
      <c r="D145" s="1">
        <f>SUM(OSRRefD22_22x_0)</f>
        <v>43.86</v>
      </c>
      <c r="E145" s="1"/>
      <c r="F145" s="5">
        <f t="shared" ref="F145:F146" si="109">IF(D$12=0,0,D145/D$12)</f>
        <v>1.6688702653891834E-4</v>
      </c>
      <c r="G145" s="1"/>
      <c r="H145" s="1">
        <f>SUM(OSRRefH22_22x_0)</f>
        <v>100</v>
      </c>
      <c r="I145" s="1"/>
      <c r="J145" s="5">
        <f t="shared" ref="J145:J146" si="110">IF(H$12=0,0,H145/H$12)</f>
        <v>3.9705605384038415E-4</v>
      </c>
      <c r="K145" s="1"/>
      <c r="L145" s="1">
        <f t="shared" ref="L145:L146" si="111">+D145-H145</f>
        <v>-56.14</v>
      </c>
      <c r="M145" s="1"/>
      <c r="N145" s="5">
        <f t="shared" ref="N145:N146" si="112">IF(H145=0,0,L145/H145)</f>
        <v>-0.56140000000000001</v>
      </c>
      <c r="O145" s="13"/>
      <c r="P145" s="1">
        <f>SUM(OSRRefP22_22x_0)</f>
        <v>195.66</v>
      </c>
      <c r="Q145" s="1"/>
      <c r="R145" s="5">
        <f t="shared" ref="R145:R146" si="113">IF(P$12=0,0,P145/P$12)</f>
        <v>1.7432350700905946E-4</v>
      </c>
      <c r="S145" s="1"/>
      <c r="T145" s="1">
        <f>SUM(OSRRefT22_22x_0)</f>
        <v>350</v>
      </c>
      <c r="U145" s="1"/>
      <c r="V145" s="5">
        <f t="shared" ref="V145:V146" si="114">IF(T$12=0,0,T145/T$12)</f>
        <v>3.2378629884967136E-4</v>
      </c>
      <c r="W145" s="1"/>
      <c r="X145" s="1">
        <f t="shared" ref="X145:X146" si="115">+P145-T145</f>
        <v>-154.34</v>
      </c>
      <c r="Y145" s="1"/>
      <c r="Z145" s="5">
        <f t="shared" ref="Z145:Z146" si="116">IF(T145=0,0,X145/T145)</f>
        <v>-0.44097142857142857</v>
      </c>
    </row>
    <row r="146" spans="1:26" s="24" customFormat="1" hidden="1" outlineLevel="2" x14ac:dyDescent="0.25">
      <c r="A146" s="27"/>
      <c r="B146" s="11" t="str">
        <f>CONCATENATE("          ", "6274", " - ", "UTILITIES")</f>
        <v xml:space="preserve">          6274 - UTILITIES</v>
      </c>
      <c r="C146" s="11"/>
      <c r="D146" s="6">
        <v>43.86</v>
      </c>
      <c r="E146" s="2"/>
      <c r="F146" s="7">
        <f t="shared" si="109"/>
        <v>1.6688702653891834E-4</v>
      </c>
      <c r="G146" s="2"/>
      <c r="H146" s="6">
        <v>100</v>
      </c>
      <c r="I146" s="2"/>
      <c r="J146" s="7">
        <f t="shared" si="110"/>
        <v>3.9705605384038415E-4</v>
      </c>
      <c r="K146" s="2"/>
      <c r="L146" s="6">
        <f t="shared" si="111"/>
        <v>-56.14</v>
      </c>
      <c r="M146" s="2"/>
      <c r="N146" s="7">
        <f t="shared" si="112"/>
        <v>-0.56140000000000001</v>
      </c>
      <c r="O146" s="11"/>
      <c r="P146" s="6">
        <v>195.66</v>
      </c>
      <c r="Q146" s="2"/>
      <c r="R146" s="7">
        <f t="shared" si="113"/>
        <v>1.7432350700905946E-4</v>
      </c>
      <c r="S146" s="2"/>
      <c r="T146" s="6">
        <v>350</v>
      </c>
      <c r="U146" s="2"/>
      <c r="V146" s="7">
        <f t="shared" si="114"/>
        <v>3.2378629884967136E-4</v>
      </c>
      <c r="W146" s="2"/>
      <c r="X146" s="6">
        <f t="shared" si="115"/>
        <v>-154.34</v>
      </c>
      <c r="Y146" s="2"/>
      <c r="Z146" s="7">
        <f t="shared" si="116"/>
        <v>-0.44097142857142857</v>
      </c>
    </row>
    <row r="147" spans="1:26" s="61" customFormat="1" x14ac:dyDescent="0.25">
      <c r="A147" s="36"/>
      <c r="B147" s="36"/>
      <c r="C147" s="36"/>
      <c r="D147" s="1"/>
      <c r="E147" s="1"/>
      <c r="F147" s="5"/>
      <c r="G147" s="1"/>
      <c r="H147" s="1"/>
      <c r="I147" s="1"/>
      <c r="J147" s="5"/>
      <c r="K147" s="1"/>
      <c r="L147" s="1"/>
      <c r="M147" s="1"/>
      <c r="N147" s="5"/>
      <c r="O147" s="36"/>
      <c r="P147" s="1"/>
      <c r="Q147" s="1"/>
      <c r="R147" s="5"/>
      <c r="S147" s="1"/>
      <c r="T147" s="1"/>
      <c r="U147" s="1"/>
      <c r="V147" s="5"/>
      <c r="W147" s="1"/>
      <c r="X147" s="1"/>
      <c r="Y147" s="1"/>
      <c r="Z147" s="5"/>
    </row>
    <row r="148" spans="1:26" s="23" customFormat="1" collapsed="1" x14ac:dyDescent="0.25">
      <c r="A148" s="10"/>
      <c r="B148" s="29" t="s">
        <v>0</v>
      </c>
      <c r="C148" s="10"/>
      <c r="D148" s="4">
        <f>SUM(OSRRefD25x_0)</f>
        <v>0</v>
      </c>
      <c r="E148" s="4"/>
      <c r="F148" s="12">
        <f t="shared" ref="F148:F151" si="117">IF(D$12=0,0,D148/D$12)</f>
        <v>0</v>
      </c>
      <c r="G148" s="4"/>
      <c r="H148" s="4">
        <f>SUM(OSRRefH25x_0)</f>
        <v>8625</v>
      </c>
      <c r="I148" s="4"/>
      <c r="J148" s="12">
        <f t="shared" ref="J148:J151" si="118">IF(H$12=0,0,H148/H$12)</f>
        <v>3.4246084643733132E-2</v>
      </c>
      <c r="K148" s="4"/>
      <c r="L148" s="4">
        <f t="shared" ref="L148:L151" si="119">+D148-H148</f>
        <v>-8625</v>
      </c>
      <c r="M148" s="4"/>
      <c r="N148" s="12">
        <f t="shared" ref="N148:N151" si="120">IF(H148=0,0,L148/H148)</f>
        <v>-1</v>
      </c>
      <c r="O148" s="10"/>
      <c r="P148" s="4">
        <f>SUM(OSRRefP25x_0)</f>
        <v>14396.98</v>
      </c>
      <c r="Q148" s="4"/>
      <c r="R148" s="12">
        <f t="shared" ref="R148:R151" si="121">IF(P$12=0,0,P148/P$12)</f>
        <v>1.2827006255439481E-2</v>
      </c>
      <c r="S148" s="4"/>
      <c r="T148" s="4">
        <f>SUM(OSRRefT25x_0)</f>
        <v>34500</v>
      </c>
      <c r="U148" s="4"/>
      <c r="V148" s="12">
        <f t="shared" ref="V148:V151" si="122">IF(T$12=0,0,T148/T$12)</f>
        <v>3.1916078029467609E-2</v>
      </c>
      <c r="W148" s="4"/>
      <c r="X148" s="4">
        <f t="shared" ref="X148:X151" si="123">+P148-T148</f>
        <v>-20103.02</v>
      </c>
      <c r="Y148" s="4"/>
      <c r="Z148" s="12">
        <f t="shared" ref="Z148:Z151" si="124">IF(T148=0,0,X148/T148)</f>
        <v>-0.58269623188405795</v>
      </c>
    </row>
    <row r="149" spans="1:26" s="24" customFormat="1" hidden="1" outlineLevel="1" x14ac:dyDescent="0.25">
      <c r="A149" s="44"/>
      <c r="B149" s="11" t="str">
        <f>CONCATENATE("          ", "9150", " - ", "MISC. INCOME")</f>
        <v xml:space="preserve">          9150 - MISC. INCOME</v>
      </c>
      <c r="C149" s="11"/>
      <c r="D149" s="2">
        <f t="shared" ref="D149:D151" si="125">0</f>
        <v>0</v>
      </c>
      <c r="E149" s="2"/>
      <c r="F149" s="19">
        <f t="shared" si="117"/>
        <v>0</v>
      </c>
      <c r="G149" s="2"/>
      <c r="H149" s="2">
        <v>7725</v>
      </c>
      <c r="I149" s="2"/>
      <c r="J149" s="19">
        <f t="shared" si="118"/>
        <v>3.0672580159169675E-2</v>
      </c>
      <c r="K149" s="2"/>
      <c r="L149" s="2">
        <f t="shared" si="119"/>
        <v>-7725</v>
      </c>
      <c r="M149" s="2"/>
      <c r="N149" s="19">
        <f t="shared" si="120"/>
        <v>-1</v>
      </c>
      <c r="O149" s="11"/>
      <c r="P149" s="2">
        <f>--14396.98</f>
        <v>14396.98</v>
      </c>
      <c r="Q149" s="2"/>
      <c r="R149" s="19">
        <f t="shared" si="121"/>
        <v>1.2827006255439481E-2</v>
      </c>
      <c r="S149" s="2"/>
      <c r="T149" s="2">
        <v>30900</v>
      </c>
      <c r="U149" s="2"/>
      <c r="V149" s="19">
        <f t="shared" si="122"/>
        <v>2.8585704669870989E-2</v>
      </c>
      <c r="W149" s="2"/>
      <c r="X149" s="2">
        <f t="shared" si="123"/>
        <v>-16503.02</v>
      </c>
      <c r="Y149" s="2"/>
      <c r="Z149" s="19">
        <f t="shared" si="124"/>
        <v>-0.53407831715210352</v>
      </c>
    </row>
    <row r="150" spans="1:26" s="24" customFormat="1" hidden="1" outlineLevel="1" x14ac:dyDescent="0.25">
      <c r="A150" s="44"/>
      <c r="B150" s="11" t="str">
        <f>CONCATENATE("          ", "9151", " - ", "MISC. INCOME")</f>
        <v xml:space="preserve">          9151 - MISC. INCOME</v>
      </c>
      <c r="C150" s="11"/>
      <c r="D150" s="2">
        <f t="shared" si="125"/>
        <v>0</v>
      </c>
      <c r="E150" s="2"/>
      <c r="F150" s="19">
        <f t="shared" si="117"/>
        <v>0</v>
      </c>
      <c r="G150" s="2"/>
      <c r="H150" s="2">
        <v>100</v>
      </c>
      <c r="I150" s="2"/>
      <c r="J150" s="19">
        <f t="shared" si="118"/>
        <v>3.9705605384038415E-4</v>
      </c>
      <c r="K150" s="2"/>
      <c r="L150" s="2">
        <f t="shared" si="119"/>
        <v>-100</v>
      </c>
      <c r="M150" s="2"/>
      <c r="N150" s="19">
        <f t="shared" si="120"/>
        <v>-1</v>
      </c>
      <c r="O150" s="11"/>
      <c r="P150" s="2">
        <f t="shared" ref="P150:P151" si="126">0</f>
        <v>0</v>
      </c>
      <c r="Q150" s="2"/>
      <c r="R150" s="19">
        <f t="shared" si="121"/>
        <v>0</v>
      </c>
      <c r="S150" s="2"/>
      <c r="T150" s="2">
        <v>400</v>
      </c>
      <c r="U150" s="2"/>
      <c r="V150" s="19">
        <f t="shared" si="122"/>
        <v>3.7004148439962441E-4</v>
      </c>
      <c r="W150" s="2"/>
      <c r="X150" s="2">
        <f t="shared" si="123"/>
        <v>-400</v>
      </c>
      <c r="Y150" s="2"/>
      <c r="Z150" s="19">
        <f t="shared" si="124"/>
        <v>-1</v>
      </c>
    </row>
    <row r="151" spans="1:26" s="24" customFormat="1" hidden="1" outlineLevel="1" x14ac:dyDescent="0.25">
      <c r="A151" s="44"/>
      <c r="B151" s="11" t="str">
        <f>CONCATENATE("          ", "9160", " - ", "MISC. INCOME")</f>
        <v xml:space="preserve">          9160 - MISC. INCOME</v>
      </c>
      <c r="C151" s="11"/>
      <c r="D151" s="2">
        <f t="shared" si="125"/>
        <v>0</v>
      </c>
      <c r="E151" s="2"/>
      <c r="F151" s="19">
        <f t="shared" si="117"/>
        <v>0</v>
      </c>
      <c r="G151" s="2"/>
      <c r="H151" s="2">
        <v>800</v>
      </c>
      <c r="I151" s="2"/>
      <c r="J151" s="19">
        <f t="shared" si="118"/>
        <v>3.1764484307230732E-3</v>
      </c>
      <c r="K151" s="2"/>
      <c r="L151" s="2">
        <f t="shared" si="119"/>
        <v>-800</v>
      </c>
      <c r="M151" s="2"/>
      <c r="N151" s="19">
        <f t="shared" si="120"/>
        <v>-1</v>
      </c>
      <c r="O151" s="11"/>
      <c r="P151" s="2">
        <f t="shared" si="126"/>
        <v>0</v>
      </c>
      <c r="Q151" s="2"/>
      <c r="R151" s="19">
        <f t="shared" si="121"/>
        <v>0</v>
      </c>
      <c r="S151" s="2"/>
      <c r="T151" s="2">
        <v>3200</v>
      </c>
      <c r="U151" s="2"/>
      <c r="V151" s="19">
        <f t="shared" si="122"/>
        <v>2.9603318751969952E-3</v>
      </c>
      <c r="W151" s="2"/>
      <c r="X151" s="2">
        <f t="shared" si="123"/>
        <v>-3200</v>
      </c>
      <c r="Y151" s="2"/>
      <c r="Z151" s="19">
        <f t="shared" si="124"/>
        <v>-1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25">
      <c r="A153" s="10"/>
      <c r="B153" s="28" t="s">
        <v>3</v>
      </c>
      <c r="C153" s="28"/>
      <c r="D153" s="22">
        <f>+D66-D68+D148</f>
        <v>35163.76999999999</v>
      </c>
      <c r="E153" s="14"/>
      <c r="F153" s="20">
        <f>IF(D$12=0,0,D153/D$12)</f>
        <v>0.13379792560871909</v>
      </c>
      <c r="G153" s="14"/>
      <c r="H153" s="22">
        <f>+H66-H68+H148</f>
        <v>65032.661005531263</v>
      </c>
      <c r="I153" s="14"/>
      <c r="J153" s="20">
        <f>IF(H$12=0,0,H153/H$12)</f>
        <v>0.25821611749595674</v>
      </c>
      <c r="K153" s="16"/>
      <c r="L153" s="22">
        <f>+D153-H153</f>
        <v>-29868.891005531274</v>
      </c>
      <c r="M153" s="16"/>
      <c r="N153" s="20">
        <f>IF(H153=0,0,L153/H153)</f>
        <v>-0.45929061710992908</v>
      </c>
      <c r="O153" s="29"/>
      <c r="P153" s="22">
        <f>+P66-P68+P148</f>
        <v>273506.26</v>
      </c>
      <c r="Q153" s="14"/>
      <c r="R153" s="20">
        <f>IF(P$12=0,0,P153/P$12)</f>
        <v>0.24368072386860695</v>
      </c>
      <c r="S153" s="14"/>
      <c r="T153" s="22">
        <f>+T66-T68+T148</f>
        <v>294400.89966441237</v>
      </c>
      <c r="U153" s="14"/>
      <c r="V153" s="20">
        <f>IF(T$12=0,0,T153/T$12)</f>
        <v>0.27235136480101013</v>
      </c>
      <c r="W153" s="16"/>
      <c r="X153" s="22">
        <f>+P153-T153</f>
        <v>-20894.63966441236</v>
      </c>
      <c r="Y153" s="16"/>
      <c r="Z153" s="20">
        <f>IF(T153=0,0,X153/T153)</f>
        <v>-7.0973423274963365E-2</v>
      </c>
    </row>
    <row r="154" spans="1:26" x14ac:dyDescent="0.25">
      <c r="A154" s="9"/>
      <c r="B154" s="10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25">
      <c r="A155" s="52"/>
      <c r="B155" s="10" t="s">
        <v>14</v>
      </c>
      <c r="C155" s="10"/>
      <c r="D155" s="4">
        <v>20652.59</v>
      </c>
      <c r="E155" s="4"/>
      <c r="F155" s="12">
        <f>IF(D$12=0,0,D155/D$12)</f>
        <v>7.8582976183935241E-2</v>
      </c>
      <c r="G155" s="4"/>
      <c r="H155" s="4">
        <v>25304</v>
      </c>
      <c r="I155" s="4"/>
      <c r="J155" s="12">
        <f>IF(H$12=0,0,H155/H$12)</f>
        <v>0.1004710638637708</v>
      </c>
      <c r="K155" s="4"/>
      <c r="L155" s="4">
        <f>+D155-H155</f>
        <v>-4651.41</v>
      </c>
      <c r="M155" s="4"/>
      <c r="N155" s="12">
        <f>IF(H155=0,0,L155/H155)</f>
        <v>-0.18382113499841921</v>
      </c>
      <c r="O155" s="10"/>
      <c r="P155" s="4">
        <v>112983.23999999999</v>
      </c>
      <c r="Q155" s="4"/>
      <c r="R155" s="12">
        <f>IF(P$12=0,0,P155/P$12)</f>
        <v>0.10066255049599429</v>
      </c>
      <c r="S155" s="4"/>
      <c r="T155" s="4">
        <v>130174.00000000001</v>
      </c>
      <c r="U155" s="4"/>
      <c r="V155" s="12">
        <f>IF(T$12=0,0,T155/T$12)</f>
        <v>0.12042445047559179</v>
      </c>
      <c r="W155" s="4"/>
      <c r="X155" s="4">
        <f>+P155-T155</f>
        <v>-17190.760000000024</v>
      </c>
      <c r="Y155" s="4"/>
      <c r="Z155" s="12">
        <f>IF(T155=0,0,X155/T155)</f>
        <v>-0.13205985834344816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ht="15.75" thickBot="1" x14ac:dyDescent="0.3">
      <c r="A157" s="10"/>
      <c r="B157" s="28" t="s">
        <v>4</v>
      </c>
      <c r="C157" s="28"/>
      <c r="D157" s="31">
        <f>+D153-D155</f>
        <v>14511.179999999989</v>
      </c>
      <c r="E157" s="14"/>
      <c r="F157" s="33">
        <f>IF(D$12=0,0,D157/D$12)</f>
        <v>5.5214949424783839E-2</v>
      </c>
      <c r="G157" s="14"/>
      <c r="H157" s="31">
        <f>+H153-H155</f>
        <v>39728.661005531263</v>
      </c>
      <c r="I157" s="14"/>
      <c r="J157" s="33">
        <f>IF(H$12=0,0,H157/H$12)</f>
        <v>0.15774505363218591</v>
      </c>
      <c r="K157" s="16"/>
      <c r="L157" s="31">
        <f>D157-H157</f>
        <v>-25217.481005531274</v>
      </c>
      <c r="M157" s="16"/>
      <c r="N157" s="33">
        <f>IF(H157=0,0,L157/H157)</f>
        <v>-0.63474278687671715</v>
      </c>
      <c r="O157" s="29"/>
      <c r="P157" s="31">
        <f>+P153-P155</f>
        <v>160523.02000000002</v>
      </c>
      <c r="Q157" s="14"/>
      <c r="R157" s="33">
        <f>IF(P$12=0,0,P157/P$12)</f>
        <v>0.14301817337261266</v>
      </c>
      <c r="S157" s="14"/>
      <c r="T157" s="31">
        <f>+T153-T155</f>
        <v>164226.89966441237</v>
      </c>
      <c r="U157" s="14"/>
      <c r="V157" s="33">
        <f>IF(T$12=0,0,T157/T$12)</f>
        <v>0.15192691432541833</v>
      </c>
      <c r="W157" s="16"/>
      <c r="X157" s="31">
        <f>P157-T157</f>
        <v>-3703.8796644123504</v>
      </c>
      <c r="Y157" s="16"/>
      <c r="Z157" s="33">
        <f>IF(T157=0,0,X157/T157)</f>
        <v>-2.2553428652559368E-2</v>
      </c>
    </row>
    <row r="158" spans="1:26" ht="15.75" thickTop="1" x14ac:dyDescent="0.25">
      <c r="A158" s="9"/>
      <c r="B158" s="9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x14ac:dyDescent="0.25">
      <c r="A159" s="9"/>
      <c r="B159" s="9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ht="15.75" thickBot="1" x14ac:dyDescent="0.3">
      <c r="A160" s="10"/>
      <c r="B160" s="28" t="s">
        <v>5</v>
      </c>
      <c r="C160" s="28"/>
      <c r="D160" s="32">
        <f>SUM(D157:D159)</f>
        <v>14511.179999999989</v>
      </c>
      <c r="E160" s="14"/>
      <c r="F160" s="34">
        <f>IF(D$12=0,0,D160/D$12)</f>
        <v>5.5214949424783839E-2</v>
      </c>
      <c r="G160" s="14"/>
      <c r="H160" s="32">
        <f>SUM(H157:H159)</f>
        <v>39728.661005531263</v>
      </c>
      <c r="I160" s="14"/>
      <c r="J160" s="34">
        <f>IF(H$12=0,0,H160/H$12)</f>
        <v>0.15774505363218591</v>
      </c>
      <c r="K160" s="16"/>
      <c r="L160" s="32">
        <f>+D160-H160</f>
        <v>-25217.481005531274</v>
      </c>
      <c r="M160" s="16"/>
      <c r="N160" s="34">
        <f>IF(H160=0,0,L160/H160)</f>
        <v>-0.63474278687671715</v>
      </c>
      <c r="O160" s="29"/>
      <c r="P160" s="32">
        <f>SUM(P157:P159)</f>
        <v>160523.02000000002</v>
      </c>
      <c r="Q160" s="14"/>
      <c r="R160" s="34">
        <f>IF(P$12=0,0,P160/P$12)</f>
        <v>0.14301817337261266</v>
      </c>
      <c r="S160" s="14"/>
      <c r="T160" s="32">
        <f>SUM(T157:T159)</f>
        <v>164226.89966441237</v>
      </c>
      <c r="U160" s="14"/>
      <c r="V160" s="34">
        <f>IF(T$12=0,0,T160/T$12)</f>
        <v>0.15192691432541833</v>
      </c>
      <c r="W160" s="16"/>
      <c r="X160" s="32">
        <f>+P160-T160</f>
        <v>-3703.8796644123504</v>
      </c>
      <c r="Y160" s="16"/>
      <c r="Z160" s="34">
        <f>IF(T160=0,0,X160/T160)</f>
        <v>-2.2553428652559368E-2</v>
      </c>
    </row>
    <row r="161" spans="1:24" ht="15.75" thickTop="1" x14ac:dyDescent="0.25">
      <c r="A161" s="9"/>
      <c r="C161" s="9"/>
      <c r="D161" s="17"/>
      <c r="E161" s="17"/>
      <c r="G161" s="17"/>
      <c r="H161" s="17"/>
      <c r="I161" s="17"/>
      <c r="J161" s="43"/>
      <c r="K161" s="17"/>
      <c r="L161" s="17"/>
      <c r="M161" s="17"/>
      <c r="P161" s="17"/>
      <c r="Q161" s="17"/>
      <c r="R161" s="43"/>
      <c r="S161" s="17"/>
      <c r="T161" s="17"/>
      <c r="U161" s="17"/>
      <c r="V161" s="43"/>
      <c r="W161" s="17"/>
      <c r="X161" s="17"/>
    </row>
    <row r="162" spans="1:24" x14ac:dyDescent="0.25">
      <c r="A162" s="9"/>
      <c r="B162" s="60">
        <v>43791.3477408912</v>
      </c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  <row r="163" spans="1:24" x14ac:dyDescent="0.25">
      <c r="A163" s="9"/>
      <c r="B163" s="54" t="s">
        <v>314</v>
      </c>
      <c r="D163" s="17"/>
      <c r="E163" s="17"/>
      <c r="G163" s="17"/>
      <c r="H163" s="17"/>
      <c r="I163" s="17"/>
      <c r="J163" s="43"/>
      <c r="K163" s="17"/>
      <c r="L163" s="17"/>
      <c r="M163" s="17"/>
      <c r="P163" s="17"/>
      <c r="Q163" s="17"/>
      <c r="R163" s="43"/>
      <c r="S163" s="17"/>
      <c r="T163" s="17"/>
      <c r="U163" s="17"/>
      <c r="V163" s="43"/>
      <c r="W163" s="17"/>
      <c r="X163" s="17"/>
    </row>
    <row r="164" spans="1:24" x14ac:dyDescent="0.25">
      <c r="A164" s="9"/>
      <c r="B164" s="55"/>
      <c r="D164" s="17"/>
      <c r="E164" s="17"/>
      <c r="G164" s="17"/>
      <c r="H164" s="17"/>
      <c r="I164" s="17"/>
      <c r="J164" s="43"/>
      <c r="K164" s="17"/>
      <c r="L164" s="17"/>
      <c r="M164" s="17"/>
      <c r="P164" s="17"/>
      <c r="Q164" s="17"/>
      <c r="R164" s="43"/>
      <c r="S164" s="17"/>
      <c r="T164" s="17"/>
      <c r="U164" s="17"/>
      <c r="V164" s="43"/>
      <c r="W164" s="17"/>
      <c r="X164" s="17"/>
    </row>
    <row r="165" spans="1:24" x14ac:dyDescent="0.25">
      <c r="D165" s="17"/>
      <c r="E165" s="17"/>
      <c r="G165" s="17"/>
      <c r="H165" s="17"/>
      <c r="I165" s="17"/>
      <c r="J165" s="43"/>
      <c r="K165" s="17"/>
      <c r="L165" s="17"/>
      <c r="M165" s="17"/>
      <c r="P165" s="17"/>
      <c r="Q165" s="17"/>
      <c r="R165" s="43"/>
      <c r="S165" s="17"/>
      <c r="T165" s="17"/>
      <c r="U165" s="17"/>
      <c r="V165" s="43"/>
      <c r="W165" s="17"/>
      <c r="X165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5">
        <f>IF(D$12=0,0,D18/D$12)</f>
        <v>0</v>
      </c>
      <c r="G18" s="21"/>
      <c r="H18" s="21">
        <f>SUM(0)</f>
        <v>0</v>
      </c>
      <c r="I18" s="21"/>
      <c r="J18" s="35">
        <f>IF(H$12=0,0,H18/H$12)</f>
        <v>0</v>
      </c>
      <c r="K18" s="4"/>
      <c r="L18" s="21">
        <f>+D18-H18</f>
        <v>0</v>
      </c>
      <c r="M18" s="4"/>
      <c r="N18" s="35">
        <f>IF(H18=0,0,L18/H18)</f>
        <v>0</v>
      </c>
      <c r="O18" s="10"/>
      <c r="P18" s="21">
        <f>SUM(0)</f>
        <v>0</v>
      </c>
      <c r="Q18" s="21"/>
      <c r="R18" s="35">
        <f>IF(P$12=0,0,P18/P$12)</f>
        <v>0</v>
      </c>
      <c r="S18" s="21"/>
      <c r="T18" s="21">
        <f>SUM(0)</f>
        <v>0</v>
      </c>
      <c r="U18" s="21"/>
      <c r="V18" s="35">
        <f>IF(T$12=0,0,T18/T$12)</f>
        <v>0</v>
      </c>
      <c r="W18" s="4"/>
      <c r="X18" s="21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9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1">
        <f>+D22-D24</f>
        <v>0</v>
      </c>
      <c r="E26" s="14"/>
      <c r="F26" s="33">
        <f>IF(D$12=0,0,D26/D$12)</f>
        <v>0</v>
      </c>
      <c r="G26" s="14"/>
      <c r="H26" s="31">
        <f>+H22-H24</f>
        <v>0</v>
      </c>
      <c r="I26" s="14"/>
      <c r="J26" s="33">
        <f>IF(H$12=0,0,H26/H$12)</f>
        <v>0</v>
      </c>
      <c r="K26" s="16"/>
      <c r="L26" s="31">
        <f>D26-H26</f>
        <v>0</v>
      </c>
      <c r="M26" s="16"/>
      <c r="N26" s="33">
        <f>IF(H26=0,0,L26/H26)</f>
        <v>0</v>
      </c>
      <c r="O26" s="29"/>
      <c r="P26" s="31">
        <f>+P22-P24</f>
        <v>0</v>
      </c>
      <c r="Q26" s="14"/>
      <c r="R26" s="33">
        <f>IF(P$12=0,0,P26/P$12)</f>
        <v>0</v>
      </c>
      <c r="S26" s="14"/>
      <c r="T26" s="31">
        <f>+T22-T24</f>
        <v>0</v>
      </c>
      <c r="U26" s="14"/>
      <c r="V26" s="33">
        <f>IF(T$12=0,0,T26/T$12)</f>
        <v>0</v>
      </c>
      <c r="W26" s="16"/>
      <c r="X26" s="31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--215833.16</f>
        <v>215833.16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190833.16</v>
      </c>
      <c r="M28" s="4"/>
      <c r="N28" s="12">
        <f t="shared" ref="N28:N29" si="4">IF(H28=0,0,L28/H28)</f>
        <v>7.6333264000000005</v>
      </c>
      <c r="O28" s="10"/>
      <c r="P28" s="4">
        <f>--118303.25</f>
        <v>118303.25</v>
      </c>
      <c r="Q28" s="4"/>
      <c r="R28" s="12">
        <f t="shared" ref="R28:R29" si="5">IF(P$12=0,0,P28/P$12)</f>
        <v>0</v>
      </c>
      <c r="S28" s="4"/>
      <c r="T28" s="4">
        <f>--100000</f>
        <v>100000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18303.25</v>
      </c>
      <c r="Y28" s="4"/>
      <c r="Z28" s="12">
        <f t="shared" ref="Z28:Z29" si="8">IF(T28=0,0,X28/T28)</f>
        <v>0.18303249999999999</v>
      </c>
    </row>
    <row r="29" spans="1:26" s="23" customFormat="1" x14ac:dyDescent="0.25">
      <c r="A29" s="52"/>
      <c r="B29" s="10" t="s">
        <v>1</v>
      </c>
      <c r="C29" s="10"/>
      <c r="D29" s="4">
        <f>--13441.85</f>
        <v>13441.85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-11558.15</v>
      </c>
      <c r="M29" s="4"/>
      <c r="N29" s="12">
        <f t="shared" si="4"/>
        <v>-0.46232599999999996</v>
      </c>
      <c r="O29" s="10"/>
      <c r="P29" s="4">
        <f>--65213.01</f>
        <v>65213.01</v>
      </c>
      <c r="Q29" s="4"/>
      <c r="R29" s="12">
        <f t="shared" si="5"/>
        <v>0</v>
      </c>
      <c r="S29" s="4"/>
      <c r="T29" s="4">
        <f>--95000</f>
        <v>95000</v>
      </c>
      <c r="U29" s="4"/>
      <c r="V29" s="12">
        <f t="shared" si="6"/>
        <v>0</v>
      </c>
      <c r="W29" s="4"/>
      <c r="X29" s="4">
        <f t="shared" si="7"/>
        <v>-29786.989999999998</v>
      </c>
      <c r="Y29" s="4"/>
      <c r="Z29" s="12">
        <f t="shared" si="8"/>
        <v>-0.31354726315789472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2">
        <f>SUM(D26:D30)</f>
        <v>229275.01</v>
      </c>
      <c r="E31" s="14"/>
      <c r="F31" s="34">
        <f>IF(D$12=0,0,D31/D$12)</f>
        <v>0</v>
      </c>
      <c r="G31" s="14"/>
      <c r="H31" s="32">
        <f>SUM(H26:H30)</f>
        <v>50000</v>
      </c>
      <c r="I31" s="14"/>
      <c r="J31" s="34">
        <f>IF(H$12=0,0,H31/H$12)</f>
        <v>0</v>
      </c>
      <c r="K31" s="16"/>
      <c r="L31" s="32">
        <f>+D31-H31</f>
        <v>179275.01</v>
      </c>
      <c r="M31" s="16"/>
      <c r="N31" s="34">
        <f>IF(H31=0,0,L31/H31)</f>
        <v>3.5855002000000002</v>
      </c>
      <c r="O31" s="29"/>
      <c r="P31" s="32">
        <f>SUM(P26:P30)</f>
        <v>183516.26</v>
      </c>
      <c r="Q31" s="14"/>
      <c r="R31" s="34">
        <f>IF(P$12=0,0,P31/P$12)</f>
        <v>0</v>
      </c>
      <c r="S31" s="14"/>
      <c r="T31" s="32">
        <f>SUM(T26:T30)</f>
        <v>195000</v>
      </c>
      <c r="U31" s="14"/>
      <c r="V31" s="34">
        <f>IF(T$12=0,0,T31/T$12)</f>
        <v>0</v>
      </c>
      <c r="W31" s="16"/>
      <c r="X31" s="32">
        <f>+P31-T31</f>
        <v>-11483.739999999991</v>
      </c>
      <c r="Y31" s="16"/>
      <c r="Z31" s="34">
        <f>IF(T31=0,0,X31/T31)</f>
        <v>-5.8890974358974314E-2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0">
        <v>43791.347580787035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4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5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","315", " - ", "Beach Shop")</f>
        <v>Department 315 - Beach Shop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221882.75999999998</v>
      </c>
      <c r="E12" s="4"/>
      <c r="F12" s="12"/>
      <c r="G12" s="4"/>
      <c r="H12" s="4">
        <f>SUM(OSRRefH13x_0)</f>
        <v>208908</v>
      </c>
      <c r="I12" s="4"/>
      <c r="J12" s="12"/>
      <c r="K12" s="4"/>
      <c r="L12" s="4">
        <f t="shared" ref="L12:L33" si="0">+D12-H12</f>
        <v>12974.75999999998</v>
      </c>
      <c r="M12" s="4"/>
      <c r="N12" s="12">
        <f t="shared" ref="N12:N33" si="1">IF(H12=0,0,L12/H12)</f>
        <v>6.2107530587626997E-2</v>
      </c>
      <c r="O12" s="10"/>
      <c r="P12" s="4">
        <f>SUM(OSRRefP13x_0)</f>
        <v>927927.5199999999</v>
      </c>
      <c r="Q12" s="4"/>
      <c r="R12" s="12"/>
      <c r="S12" s="4"/>
      <c r="T12" s="4">
        <f>SUM(OSRRefT13x_0)</f>
        <v>890032</v>
      </c>
      <c r="U12" s="4"/>
      <c r="V12" s="12"/>
      <c r="W12" s="4"/>
      <c r="X12" s="4">
        <f t="shared" ref="X12:X33" si="2">+P12-T12</f>
        <v>37895.519999999902</v>
      </c>
      <c r="Y12" s="4"/>
      <c r="Z12" s="12">
        <f t="shared" ref="Z12:Z33" si="3">IF(T12=0,0,X12/T12)</f>
        <v>4.2577705071278227E-2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208908</v>
      </c>
      <c r="I13" s="2"/>
      <c r="J13" s="19"/>
      <c r="K13" s="2"/>
      <c r="L13" s="2">
        <f t="shared" si="0"/>
        <v>-208908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890032</v>
      </c>
      <c r="U13" s="2"/>
      <c r="V13" s="19"/>
      <c r="W13" s="2"/>
      <c r="X13" s="2">
        <f t="shared" si="2"/>
        <v>-890032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--180151.01</f>
        <v>180151.01</v>
      </c>
      <c r="E14" s="2"/>
      <c r="F14" s="19"/>
      <c r="G14" s="2"/>
      <c r="H14" s="2"/>
      <c r="I14" s="2"/>
      <c r="J14" s="19"/>
      <c r="K14" s="2"/>
      <c r="L14" s="2">
        <f t="shared" si="0"/>
        <v>180151.01</v>
      </c>
      <c r="M14" s="2"/>
      <c r="N14" s="19">
        <f t="shared" si="1"/>
        <v>0</v>
      </c>
      <c r="O14" s="11"/>
      <c r="P14" s="2">
        <f>--684694.08</f>
        <v>684694.08</v>
      </c>
      <c r="Q14" s="2"/>
      <c r="R14" s="19"/>
      <c r="S14" s="2"/>
      <c r="T14" s="2"/>
      <c r="U14" s="2"/>
      <c r="V14" s="19"/>
      <c r="W14" s="2"/>
      <c r="X14" s="2">
        <f t="shared" si="2"/>
        <v>684694.08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--21919.24</f>
        <v>21919.24</v>
      </c>
      <c r="E15" s="2"/>
      <c r="F15" s="19"/>
      <c r="G15" s="2"/>
      <c r="H15" s="2"/>
      <c r="I15" s="2"/>
      <c r="J15" s="19"/>
      <c r="K15" s="2"/>
      <c r="L15" s="2">
        <f t="shared" si="0"/>
        <v>21919.24</v>
      </c>
      <c r="M15" s="2"/>
      <c r="N15" s="19">
        <f t="shared" si="1"/>
        <v>0</v>
      </c>
      <c r="O15" s="11"/>
      <c r="P15" s="2">
        <f>--110862.96</f>
        <v>110862.96</v>
      </c>
      <c r="Q15" s="2"/>
      <c r="R15" s="19"/>
      <c r="S15" s="2"/>
      <c r="T15" s="2"/>
      <c r="U15" s="2"/>
      <c r="V15" s="19"/>
      <c r="W15" s="2"/>
      <c r="X15" s="2">
        <f t="shared" si="2"/>
        <v>110862.96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--14300.31</f>
        <v>14300.31</v>
      </c>
      <c r="E16" s="2"/>
      <c r="F16" s="19"/>
      <c r="G16" s="2"/>
      <c r="H16" s="2"/>
      <c r="I16" s="2"/>
      <c r="J16" s="19"/>
      <c r="K16" s="2"/>
      <c r="L16" s="2">
        <f t="shared" si="0"/>
        <v>14300.31</v>
      </c>
      <c r="M16" s="2"/>
      <c r="N16" s="19">
        <f t="shared" si="1"/>
        <v>0</v>
      </c>
      <c r="O16" s="11"/>
      <c r="P16" s="2">
        <f>--78178.19</f>
        <v>78178.19</v>
      </c>
      <c r="Q16" s="2"/>
      <c r="R16" s="19"/>
      <c r="S16" s="2"/>
      <c r="T16" s="2"/>
      <c r="U16" s="2"/>
      <c r="V16" s="19"/>
      <c r="W16" s="2"/>
      <c r="X16" s="2">
        <f t="shared" si="2"/>
        <v>78178.19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--60.49</f>
        <v>60.49</v>
      </c>
      <c r="E17" s="2"/>
      <c r="F17" s="19"/>
      <c r="G17" s="2"/>
      <c r="H17" s="2"/>
      <c r="I17" s="2"/>
      <c r="J17" s="19"/>
      <c r="K17" s="2"/>
      <c r="L17" s="2">
        <f t="shared" si="0"/>
        <v>60.49</v>
      </c>
      <c r="M17" s="2"/>
      <c r="N17" s="19">
        <f t="shared" si="1"/>
        <v>0</v>
      </c>
      <c r="O17" s="11"/>
      <c r="P17" s="2">
        <f>--422.57</f>
        <v>422.57</v>
      </c>
      <c r="Q17" s="2"/>
      <c r="R17" s="19"/>
      <c r="S17" s="2"/>
      <c r="T17" s="2"/>
      <c r="U17" s="2"/>
      <c r="V17" s="19"/>
      <c r="W17" s="2"/>
      <c r="X17" s="2">
        <f t="shared" si="2"/>
        <v>422.57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--4564.29</f>
        <v>4564.29</v>
      </c>
      <c r="E18" s="2"/>
      <c r="F18" s="19"/>
      <c r="G18" s="2"/>
      <c r="H18" s="2"/>
      <c r="I18" s="2"/>
      <c r="J18" s="19"/>
      <c r="K18" s="2"/>
      <c r="L18" s="2">
        <f t="shared" si="0"/>
        <v>4564.29</v>
      </c>
      <c r="M18" s="2"/>
      <c r="N18" s="19">
        <f t="shared" si="1"/>
        <v>0</v>
      </c>
      <c r="O18" s="11"/>
      <c r="P18" s="2">
        <f>--31854.2</f>
        <v>31854.2</v>
      </c>
      <c r="Q18" s="2"/>
      <c r="R18" s="19"/>
      <c r="S18" s="2"/>
      <c r="T18" s="2"/>
      <c r="U18" s="2"/>
      <c r="V18" s="19"/>
      <c r="W18" s="2"/>
      <c r="X18" s="2">
        <f t="shared" si="2"/>
        <v>31854.2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--4525.99</f>
        <v>4525.99</v>
      </c>
      <c r="E19" s="2"/>
      <c r="F19" s="19"/>
      <c r="G19" s="2"/>
      <c r="H19" s="2"/>
      <c r="I19" s="2"/>
      <c r="J19" s="19"/>
      <c r="K19" s="2"/>
      <c r="L19" s="2">
        <f t="shared" si="0"/>
        <v>4525.99</v>
      </c>
      <c r="M19" s="2"/>
      <c r="N19" s="19">
        <f t="shared" si="1"/>
        <v>0</v>
      </c>
      <c r="O19" s="11"/>
      <c r="P19" s="2">
        <f>--35485.34</f>
        <v>35485.339999999997</v>
      </c>
      <c r="Q19" s="2"/>
      <c r="R19" s="19"/>
      <c r="S19" s="2"/>
      <c r="T19" s="2"/>
      <c r="U19" s="2"/>
      <c r="V19" s="19"/>
      <c r="W19" s="2"/>
      <c r="X19" s="2">
        <f t="shared" si="2"/>
        <v>35485.339999999997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--4377.82</f>
        <v>4377.82</v>
      </c>
      <c r="E20" s="2"/>
      <c r="F20" s="19"/>
      <c r="G20" s="2"/>
      <c r="H20" s="2"/>
      <c r="I20" s="2"/>
      <c r="J20" s="19"/>
      <c r="K20" s="2"/>
      <c r="L20" s="2">
        <f t="shared" si="0"/>
        <v>4377.82</v>
      </c>
      <c r="M20" s="2"/>
      <c r="N20" s="19">
        <f t="shared" si="1"/>
        <v>0</v>
      </c>
      <c r="O20" s="11"/>
      <c r="P20" s="2">
        <f>--12635.52</f>
        <v>12635.52</v>
      </c>
      <c r="Q20" s="2"/>
      <c r="R20" s="19"/>
      <c r="S20" s="2"/>
      <c r="T20" s="2"/>
      <c r="U20" s="2"/>
      <c r="V20" s="19"/>
      <c r="W20" s="2"/>
      <c r="X20" s="2">
        <f t="shared" si="2"/>
        <v>12635.52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--581.29</f>
        <v>581.29</v>
      </c>
      <c r="E21" s="2"/>
      <c r="F21" s="19"/>
      <c r="G21" s="2"/>
      <c r="H21" s="2"/>
      <c r="I21" s="2"/>
      <c r="J21" s="19"/>
      <c r="K21" s="2"/>
      <c r="L21" s="2">
        <f t="shared" si="0"/>
        <v>581.29</v>
      </c>
      <c r="M21" s="2"/>
      <c r="N21" s="19">
        <f t="shared" si="1"/>
        <v>0</v>
      </c>
      <c r="O21" s="11"/>
      <c r="P21" s="2">
        <f>--1243.18</f>
        <v>1243.18</v>
      </c>
      <c r="Q21" s="2"/>
      <c r="R21" s="19"/>
      <c r="S21" s="2"/>
      <c r="T21" s="2"/>
      <c r="U21" s="2"/>
      <c r="V21" s="19"/>
      <c r="W21" s="2"/>
      <c r="X21" s="2">
        <f t="shared" si="2"/>
        <v>1243.18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--592.21</f>
        <v>592.21</v>
      </c>
      <c r="E22" s="2"/>
      <c r="F22" s="19"/>
      <c r="G22" s="2"/>
      <c r="H22" s="2"/>
      <c r="I22" s="2"/>
      <c r="J22" s="19"/>
      <c r="K22" s="2"/>
      <c r="L22" s="2">
        <f t="shared" si="0"/>
        <v>592.21</v>
      </c>
      <c r="M22" s="2"/>
      <c r="N22" s="19">
        <f t="shared" si="1"/>
        <v>0</v>
      </c>
      <c r="O22" s="11"/>
      <c r="P22" s="2">
        <f>--1413.74</f>
        <v>1413.74</v>
      </c>
      <c r="Q22" s="2"/>
      <c r="R22" s="19"/>
      <c r="S22" s="2"/>
      <c r="T22" s="2"/>
      <c r="U22" s="2"/>
      <c r="V22" s="19"/>
      <c r="W22" s="2"/>
      <c r="X22" s="2">
        <f t="shared" si="2"/>
        <v>1413.74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--71.85</f>
        <v>71.849999999999994</v>
      </c>
      <c r="E23" s="2"/>
      <c r="F23" s="19"/>
      <c r="G23" s="2"/>
      <c r="H23" s="2"/>
      <c r="I23" s="2"/>
      <c r="J23" s="19"/>
      <c r="K23" s="2"/>
      <c r="L23" s="2">
        <f t="shared" si="0"/>
        <v>71.849999999999994</v>
      </c>
      <c r="M23" s="2"/>
      <c r="N23" s="19">
        <f t="shared" si="1"/>
        <v>0</v>
      </c>
      <c r="O23" s="11"/>
      <c r="P23" s="2">
        <f>--211.61</f>
        <v>211.61</v>
      </c>
      <c r="Q23" s="2"/>
      <c r="R23" s="19"/>
      <c r="S23" s="2"/>
      <c r="T23" s="2"/>
      <c r="U23" s="2"/>
      <c r="V23" s="19"/>
      <c r="W23" s="2"/>
      <c r="X23" s="2">
        <f t="shared" si="2"/>
        <v>211.61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--90</f>
        <v>90</v>
      </c>
      <c r="Q24" s="2"/>
      <c r="R24" s="19"/>
      <c r="S24" s="2"/>
      <c r="T24" s="2"/>
      <c r="U24" s="2"/>
      <c r="V24" s="19"/>
      <c r="W24" s="2"/>
      <c r="X24" s="2">
        <f t="shared" si="2"/>
        <v>90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-8619.62</f>
        <v>-8619.6200000000008</v>
      </c>
      <c r="E25" s="2"/>
      <c r="F25" s="19"/>
      <c r="G25" s="2"/>
      <c r="H25" s="2"/>
      <c r="I25" s="2"/>
      <c r="J25" s="19"/>
      <c r="K25" s="2"/>
      <c r="L25" s="2">
        <f t="shared" si="0"/>
        <v>-8619.6200000000008</v>
      </c>
      <c r="M25" s="2"/>
      <c r="N25" s="19">
        <f t="shared" si="1"/>
        <v>0</v>
      </c>
      <c r="O25" s="11"/>
      <c r="P25" s="2">
        <f>-25056.56</f>
        <v>-25056.560000000001</v>
      </c>
      <c r="Q25" s="2"/>
      <c r="R25" s="19"/>
      <c r="S25" s="2"/>
      <c r="T25" s="2"/>
      <c r="U25" s="2"/>
      <c r="V25" s="19"/>
      <c r="W25" s="2"/>
      <c r="X25" s="2">
        <f t="shared" si="2"/>
        <v>-25056.560000000001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-248.32</f>
        <v>-248.32</v>
      </c>
      <c r="E26" s="2"/>
      <c r="F26" s="19"/>
      <c r="G26" s="2"/>
      <c r="H26" s="2"/>
      <c r="I26" s="2"/>
      <c r="J26" s="19"/>
      <c r="K26" s="2"/>
      <c r="L26" s="2">
        <f t="shared" si="0"/>
        <v>-248.32</v>
      </c>
      <c r="M26" s="2"/>
      <c r="N26" s="19">
        <f t="shared" si="1"/>
        <v>0</v>
      </c>
      <c r="O26" s="11"/>
      <c r="P26" s="2">
        <f>-1348.95</f>
        <v>-1348.95</v>
      </c>
      <c r="Q26" s="2"/>
      <c r="R26" s="19"/>
      <c r="S26" s="2"/>
      <c r="T26" s="2"/>
      <c r="U26" s="2"/>
      <c r="V26" s="19"/>
      <c r="W26" s="2"/>
      <c r="X26" s="2">
        <f t="shared" si="2"/>
        <v>-1348.95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-116.15</f>
        <v>-116.15</v>
      </c>
      <c r="E27" s="2"/>
      <c r="F27" s="19"/>
      <c r="G27" s="2"/>
      <c r="H27" s="2"/>
      <c r="I27" s="2"/>
      <c r="J27" s="19"/>
      <c r="K27" s="2"/>
      <c r="L27" s="2">
        <f t="shared" si="0"/>
        <v>-116.15</v>
      </c>
      <c r="M27" s="2"/>
      <c r="N27" s="19">
        <f t="shared" si="1"/>
        <v>0</v>
      </c>
      <c r="O27" s="11"/>
      <c r="P27" s="2">
        <f>-855.28</f>
        <v>-855.28</v>
      </c>
      <c r="Q27" s="2"/>
      <c r="R27" s="19"/>
      <c r="S27" s="2"/>
      <c r="T27" s="2"/>
      <c r="U27" s="2"/>
      <c r="V27" s="19"/>
      <c r="W27" s="2"/>
      <c r="X27" s="2">
        <f t="shared" si="2"/>
        <v>-855.28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-4.5</f>
        <v>-4.5</v>
      </c>
      <c r="Q28" s="2"/>
      <c r="R28" s="19"/>
      <c r="S28" s="2"/>
      <c r="T28" s="2"/>
      <c r="U28" s="2"/>
      <c r="V28" s="19"/>
      <c r="W28" s="2"/>
      <c r="X28" s="2">
        <f t="shared" si="2"/>
        <v>-4.5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-177.85</f>
        <v>-177.85</v>
      </c>
      <c r="E29" s="2"/>
      <c r="F29" s="19"/>
      <c r="G29" s="2"/>
      <c r="H29" s="2"/>
      <c r="I29" s="2"/>
      <c r="J29" s="19"/>
      <c r="K29" s="2"/>
      <c r="L29" s="2">
        <f t="shared" si="0"/>
        <v>-177.85</v>
      </c>
      <c r="M29" s="2"/>
      <c r="N29" s="19">
        <f t="shared" si="1"/>
        <v>0</v>
      </c>
      <c r="O29" s="11"/>
      <c r="P29" s="2">
        <f>-1409.41</f>
        <v>-1409.41</v>
      </c>
      <c r="Q29" s="2"/>
      <c r="R29" s="19"/>
      <c r="S29" s="2"/>
      <c r="T29" s="2"/>
      <c r="U29" s="2"/>
      <c r="V29" s="19"/>
      <c r="W29" s="2"/>
      <c r="X29" s="2">
        <f t="shared" si="2"/>
        <v>-1409.41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 t="shared" ref="D30:D31" si="4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-81.97</f>
        <v>-81.97</v>
      </c>
      <c r="Q30" s="2"/>
      <c r="R30" s="19"/>
      <c r="S30" s="2"/>
      <c r="T30" s="2"/>
      <c r="U30" s="2"/>
      <c r="V30" s="19"/>
      <c r="W30" s="2"/>
      <c r="X30" s="2">
        <f t="shared" si="2"/>
        <v>-81.97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-293.45</f>
        <v>-293.45</v>
      </c>
      <c r="Q31" s="2"/>
      <c r="R31" s="19"/>
      <c r="S31" s="2"/>
      <c r="T31" s="2"/>
      <c r="U31" s="2"/>
      <c r="V31" s="19"/>
      <c r="W31" s="2"/>
      <c r="X31" s="2">
        <f t="shared" si="2"/>
        <v>-293.45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-6.95</f>
        <v>-6.95</v>
      </c>
      <c r="E32" s="2"/>
      <c r="F32" s="19"/>
      <c r="G32" s="2"/>
      <c r="H32" s="2"/>
      <c r="I32" s="2"/>
      <c r="J32" s="19"/>
      <c r="K32" s="2"/>
      <c r="L32" s="2">
        <f t="shared" si="0"/>
        <v>-6.95</v>
      </c>
      <c r="M32" s="2"/>
      <c r="N32" s="19">
        <f t="shared" si="1"/>
        <v>0</v>
      </c>
      <c r="O32" s="11"/>
      <c r="P32" s="2">
        <f>-10.9</f>
        <v>-10.9</v>
      </c>
      <c r="Q32" s="2"/>
      <c r="R32" s="19"/>
      <c r="S32" s="2"/>
      <c r="T32" s="2"/>
      <c r="U32" s="2"/>
      <c r="V32" s="19"/>
      <c r="W32" s="2"/>
      <c r="X32" s="2">
        <f t="shared" si="2"/>
        <v>-10.9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-92.85</f>
        <v>-92.85</v>
      </c>
      <c r="E33" s="2"/>
      <c r="F33" s="19"/>
      <c r="G33" s="2"/>
      <c r="H33" s="2"/>
      <c r="I33" s="2"/>
      <c r="J33" s="19"/>
      <c r="K33" s="2"/>
      <c r="L33" s="2">
        <f t="shared" si="0"/>
        <v>-92.85</v>
      </c>
      <c r="M33" s="2"/>
      <c r="N33" s="19">
        <f t="shared" si="1"/>
        <v>0</v>
      </c>
      <c r="O33" s="11"/>
      <c r="P33" s="2">
        <f>-102.85</f>
        <v>-102.85</v>
      </c>
      <c r="Q33" s="2"/>
      <c r="R33" s="19"/>
      <c r="S33" s="2"/>
      <c r="T33" s="2"/>
      <c r="U33" s="2"/>
      <c r="V33" s="19"/>
      <c r="W33" s="2"/>
      <c r="X33" s="2">
        <f t="shared" si="2"/>
        <v>-102.85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103691.41000000002</v>
      </c>
      <c r="E35" s="4"/>
      <c r="F35" s="12">
        <f t="shared" ref="F35:F51" si="5">IF(D$12=0,0,D35/D$12)</f>
        <v>0.46732522166210672</v>
      </c>
      <c r="G35" s="4"/>
      <c r="H35" s="4">
        <f>SUM(OSRRefH16x_0)</f>
        <v>95141</v>
      </c>
      <c r="I35" s="4"/>
      <c r="J35" s="12">
        <f t="shared" ref="J35:J51" si="6">IF(H$12=0,0,H35/H$12)</f>
        <v>0.45542056790548952</v>
      </c>
      <c r="K35" s="4"/>
      <c r="L35" s="4">
        <f t="shared" ref="L35:L51" si="7">+D35-H35</f>
        <v>8550.410000000018</v>
      </c>
      <c r="M35" s="4"/>
      <c r="N35" s="12">
        <f t="shared" ref="N35:N51" si="8">IF(H35=0,0,L35/H35)</f>
        <v>8.9870928411515727E-2</v>
      </c>
      <c r="O35" s="10"/>
      <c r="P35" s="4">
        <f>SUM(OSRRefP16x_0)</f>
        <v>428700.07</v>
      </c>
      <c r="Q35" s="4"/>
      <c r="R35" s="12">
        <f t="shared" ref="R35:R51" si="9">IF(P$12=0,0,P35/P$12)</f>
        <v>0.4619973659149586</v>
      </c>
      <c r="S35" s="4"/>
      <c r="T35" s="4">
        <f>SUM(OSRRefT16x_0)</f>
        <v>411053</v>
      </c>
      <c r="U35" s="4"/>
      <c r="V35" s="12">
        <f t="shared" ref="V35:V51" si="10">IF(T$12=0,0,T35/T$12)</f>
        <v>0.46184069786254878</v>
      </c>
      <c r="W35" s="4"/>
      <c r="X35" s="4">
        <f t="shared" ref="X35:X51" si="11">+P35-T35</f>
        <v>17647.070000000007</v>
      </c>
      <c r="Y35" s="4"/>
      <c r="Z35" s="12">
        <f t="shared" ref="Z35:Z51" si="12">IF(T35=0,0,X35/T35)</f>
        <v>4.2931373813109276E-2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95141</v>
      </c>
      <c r="I36" s="2"/>
      <c r="J36" s="19">
        <f t="shared" si="6"/>
        <v>0.45542056790548952</v>
      </c>
      <c r="K36" s="2"/>
      <c r="L36" s="2">
        <f t="shared" si="7"/>
        <v>-95141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411053</v>
      </c>
      <c r="U36" s="2"/>
      <c r="V36" s="19">
        <f t="shared" si="10"/>
        <v>0.46184069786254878</v>
      </c>
      <c r="W36" s="2"/>
      <c r="X36" s="2">
        <f t="shared" si="11"/>
        <v>-411053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160395.88</v>
      </c>
      <c r="E37" s="2"/>
      <c r="F37" s="19">
        <f t="shared" si="5"/>
        <v>0.72288572577698251</v>
      </c>
      <c r="G37" s="2"/>
      <c r="H37" s="2"/>
      <c r="I37" s="2"/>
      <c r="J37" s="19">
        <f t="shared" si="6"/>
        <v>0</v>
      </c>
      <c r="K37" s="2"/>
      <c r="L37" s="2">
        <f t="shared" si="7"/>
        <v>160395.88</v>
      </c>
      <c r="M37" s="2"/>
      <c r="N37" s="19">
        <f t="shared" si="8"/>
        <v>0</v>
      </c>
      <c r="O37" s="11"/>
      <c r="P37" s="2">
        <v>411825.38</v>
      </c>
      <c r="Q37" s="2"/>
      <c r="R37" s="19">
        <f t="shared" si="9"/>
        <v>0.44381201238648471</v>
      </c>
      <c r="S37" s="2"/>
      <c r="T37" s="2"/>
      <c r="U37" s="2"/>
      <c r="V37" s="19">
        <f t="shared" si="10"/>
        <v>0</v>
      </c>
      <c r="W37" s="2"/>
      <c r="X37" s="2">
        <f t="shared" si="11"/>
        <v>411825.38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27090.09</v>
      </c>
      <c r="E38" s="2"/>
      <c r="F38" s="19">
        <f t="shared" si="5"/>
        <v>0.12209191016012241</v>
      </c>
      <c r="G38" s="2"/>
      <c r="H38" s="2"/>
      <c r="I38" s="2"/>
      <c r="J38" s="19">
        <f t="shared" si="6"/>
        <v>0</v>
      </c>
      <c r="K38" s="2"/>
      <c r="L38" s="2">
        <f t="shared" si="7"/>
        <v>27090.09</v>
      </c>
      <c r="M38" s="2"/>
      <c r="N38" s="19">
        <f t="shared" si="8"/>
        <v>0</v>
      </c>
      <c r="O38" s="11"/>
      <c r="P38" s="2">
        <v>58401.82</v>
      </c>
      <c r="Q38" s="2"/>
      <c r="R38" s="19">
        <f t="shared" si="9"/>
        <v>6.2937911357559481E-2</v>
      </c>
      <c r="S38" s="2"/>
      <c r="T38" s="2"/>
      <c r="U38" s="2"/>
      <c r="V38" s="19">
        <f t="shared" si="10"/>
        <v>0</v>
      </c>
      <c r="W38" s="2"/>
      <c r="X38" s="2">
        <f t="shared" si="11"/>
        <v>58401.82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12151.42</v>
      </c>
      <c r="E39" s="2"/>
      <c r="F39" s="19">
        <f t="shared" si="5"/>
        <v>5.4765047992011644E-2</v>
      </c>
      <c r="G39" s="2"/>
      <c r="H39" s="2"/>
      <c r="I39" s="2"/>
      <c r="J39" s="19">
        <f t="shared" si="6"/>
        <v>0</v>
      </c>
      <c r="K39" s="2"/>
      <c r="L39" s="2">
        <f t="shared" si="7"/>
        <v>12151.42</v>
      </c>
      <c r="M39" s="2"/>
      <c r="N39" s="19">
        <f t="shared" si="8"/>
        <v>0</v>
      </c>
      <c r="O39" s="11"/>
      <c r="P39" s="2">
        <v>39807.93</v>
      </c>
      <c r="Q39" s="2"/>
      <c r="R39" s="19">
        <f t="shared" si="9"/>
        <v>4.2899826917516148E-2</v>
      </c>
      <c r="S39" s="2"/>
      <c r="T39" s="2"/>
      <c r="U39" s="2"/>
      <c r="V39" s="19">
        <f t="shared" si="10"/>
        <v>0</v>
      </c>
      <c r="W39" s="2"/>
      <c r="X39" s="2">
        <f t="shared" si="11"/>
        <v>39807.93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331.09</v>
      </c>
      <c r="E40" s="2"/>
      <c r="F40" s="19">
        <f t="shared" si="5"/>
        <v>1.4921844310932496E-3</v>
      </c>
      <c r="G40" s="2"/>
      <c r="H40" s="2"/>
      <c r="I40" s="2"/>
      <c r="J40" s="19">
        <f t="shared" si="6"/>
        <v>0</v>
      </c>
      <c r="K40" s="2"/>
      <c r="L40" s="2">
        <f t="shared" si="7"/>
        <v>331.09</v>
      </c>
      <c r="M40" s="2"/>
      <c r="N40" s="19">
        <f t="shared" si="8"/>
        <v>0</v>
      </c>
      <c r="O40" s="11"/>
      <c r="P40" s="2">
        <v>1340.08</v>
      </c>
      <c r="Q40" s="2"/>
      <c r="R40" s="19">
        <f t="shared" si="9"/>
        <v>1.4441645183666933E-3</v>
      </c>
      <c r="S40" s="2"/>
      <c r="T40" s="2"/>
      <c r="U40" s="2"/>
      <c r="V40" s="19">
        <f t="shared" si="10"/>
        <v>0</v>
      </c>
      <c r="W40" s="2"/>
      <c r="X40" s="2">
        <f t="shared" si="11"/>
        <v>1340.08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3142.34</v>
      </c>
      <c r="E41" s="2"/>
      <c r="F41" s="19">
        <f t="shared" si="5"/>
        <v>1.4162163838236014E-2</v>
      </c>
      <c r="G41" s="2"/>
      <c r="H41" s="2"/>
      <c r="I41" s="2"/>
      <c r="J41" s="19">
        <f t="shared" si="6"/>
        <v>0</v>
      </c>
      <c r="K41" s="2"/>
      <c r="L41" s="2">
        <f t="shared" si="7"/>
        <v>3142.34</v>
      </c>
      <c r="M41" s="2"/>
      <c r="N41" s="19">
        <f t="shared" si="8"/>
        <v>0</v>
      </c>
      <c r="O41" s="11"/>
      <c r="P41" s="2">
        <v>21798.560000000001</v>
      </c>
      <c r="Q41" s="2"/>
      <c r="R41" s="19">
        <f t="shared" si="9"/>
        <v>2.3491662366043421E-2</v>
      </c>
      <c r="S41" s="2"/>
      <c r="T41" s="2"/>
      <c r="U41" s="2"/>
      <c r="V41" s="19">
        <f t="shared" si="10"/>
        <v>0</v>
      </c>
      <c r="W41" s="2"/>
      <c r="X41" s="2">
        <f t="shared" si="11"/>
        <v>21798.560000000001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3599.17</v>
      </c>
      <c r="E42" s="2"/>
      <c r="F42" s="19">
        <f t="shared" si="5"/>
        <v>1.6221043942305387E-2</v>
      </c>
      <c r="G42" s="2"/>
      <c r="H42" s="2"/>
      <c r="I42" s="2"/>
      <c r="J42" s="19">
        <f t="shared" si="6"/>
        <v>0</v>
      </c>
      <c r="K42" s="2"/>
      <c r="L42" s="2">
        <f t="shared" si="7"/>
        <v>3599.17</v>
      </c>
      <c r="M42" s="2"/>
      <c r="N42" s="19">
        <f t="shared" si="8"/>
        <v>0</v>
      </c>
      <c r="O42" s="11"/>
      <c r="P42" s="2">
        <v>29031.4</v>
      </c>
      <c r="Q42" s="2"/>
      <c r="R42" s="19">
        <f t="shared" si="9"/>
        <v>3.128627977323057E-2</v>
      </c>
      <c r="S42" s="2"/>
      <c r="T42" s="2"/>
      <c r="U42" s="2"/>
      <c r="V42" s="19">
        <f t="shared" si="10"/>
        <v>0</v>
      </c>
      <c r="W42" s="2"/>
      <c r="X42" s="2">
        <f t="shared" si="11"/>
        <v>29031.4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-217435</v>
      </c>
      <c r="E43" s="2"/>
      <c r="F43" s="19">
        <f t="shared" si="5"/>
        <v>-0.97995445883222299</v>
      </c>
      <c r="G43" s="2"/>
      <c r="H43" s="2"/>
      <c r="I43" s="2"/>
      <c r="J43" s="19">
        <f t="shared" si="6"/>
        <v>0</v>
      </c>
      <c r="K43" s="2"/>
      <c r="L43" s="2">
        <f t="shared" si="7"/>
        <v>-217435</v>
      </c>
      <c r="M43" s="2"/>
      <c r="N43" s="19">
        <f t="shared" si="8"/>
        <v>0</v>
      </c>
      <c r="O43" s="11"/>
      <c r="P43" s="2">
        <v>-579330</v>
      </c>
      <c r="Q43" s="2"/>
      <c r="R43" s="19">
        <f t="shared" si="9"/>
        <v>-0.62432677931569491</v>
      </c>
      <c r="S43" s="2"/>
      <c r="T43" s="2"/>
      <c r="U43" s="2"/>
      <c r="V43" s="19">
        <f t="shared" si="10"/>
        <v>0</v>
      </c>
      <c r="W43" s="2"/>
      <c r="X43" s="2">
        <f t="shared" si="11"/>
        <v>-579330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103662</v>
      </c>
      <c r="E44" s="2"/>
      <c r="F44" s="19">
        <f t="shared" si="5"/>
        <v>0.46719267418523192</v>
      </c>
      <c r="G44" s="2"/>
      <c r="H44" s="2"/>
      <c r="I44" s="2"/>
      <c r="J44" s="19">
        <f t="shared" si="6"/>
        <v>0</v>
      </c>
      <c r="K44" s="2"/>
      <c r="L44" s="2">
        <f t="shared" si="7"/>
        <v>103662</v>
      </c>
      <c r="M44" s="2"/>
      <c r="N44" s="19">
        <f t="shared" si="8"/>
        <v>0</v>
      </c>
      <c r="O44" s="11"/>
      <c r="P44" s="2">
        <v>428673</v>
      </c>
      <c r="Q44" s="2"/>
      <c r="R44" s="19">
        <f t="shared" si="9"/>
        <v>0.46196819337786216</v>
      </c>
      <c r="S44" s="2"/>
      <c r="T44" s="2"/>
      <c r="U44" s="2"/>
      <c r="V44" s="19">
        <f t="shared" si="10"/>
        <v>0</v>
      </c>
      <c r="W44" s="2"/>
      <c r="X44" s="2">
        <f t="shared" si="11"/>
        <v>428673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>
        <v>29.23</v>
      </c>
      <c r="E45" s="2"/>
      <c r="F45" s="19">
        <f t="shared" si="5"/>
        <v>1.3173623764189702E-4</v>
      </c>
      <c r="G45" s="2"/>
      <c r="H45" s="2"/>
      <c r="I45" s="2"/>
      <c r="J45" s="19">
        <f t="shared" si="6"/>
        <v>0</v>
      </c>
      <c r="K45" s="2"/>
      <c r="L45" s="2">
        <f t="shared" si="7"/>
        <v>29.23</v>
      </c>
      <c r="M45" s="2"/>
      <c r="N45" s="19">
        <f t="shared" si="8"/>
        <v>0</v>
      </c>
      <c r="O45" s="11"/>
      <c r="P45" s="2">
        <v>29.23</v>
      </c>
      <c r="Q45" s="2"/>
      <c r="R45" s="19">
        <f t="shared" si="9"/>
        <v>3.1500305110037048E-5</v>
      </c>
      <c r="S45" s="2"/>
      <c r="T45" s="2"/>
      <c r="U45" s="2"/>
      <c r="V45" s="19">
        <f t="shared" si="10"/>
        <v>0</v>
      </c>
      <c r="W45" s="2"/>
      <c r="X45" s="2">
        <f t="shared" si="11"/>
        <v>29.23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9102.58</v>
      </c>
      <c r="E46" s="2"/>
      <c r="F46" s="19">
        <f t="shared" si="5"/>
        <v>4.102427786638313E-2</v>
      </c>
      <c r="G46" s="2"/>
      <c r="H46" s="2"/>
      <c r="I46" s="2"/>
      <c r="J46" s="19">
        <f t="shared" si="6"/>
        <v>0</v>
      </c>
      <c r="K46" s="2"/>
      <c r="L46" s="2">
        <f t="shared" si="7"/>
        <v>9102.58</v>
      </c>
      <c r="M46" s="2"/>
      <c r="N46" s="19">
        <f t="shared" si="8"/>
        <v>0</v>
      </c>
      <c r="O46" s="11"/>
      <c r="P46" s="2">
        <v>14107.44</v>
      </c>
      <c r="Q46" s="2"/>
      <c r="R46" s="19">
        <f t="shared" si="9"/>
        <v>1.5203170178636368E-2</v>
      </c>
      <c r="S46" s="2"/>
      <c r="T46" s="2"/>
      <c r="U46" s="2"/>
      <c r="V46" s="19">
        <f t="shared" si="10"/>
        <v>0</v>
      </c>
      <c r="W46" s="2"/>
      <c r="X46" s="2">
        <f t="shared" si="11"/>
        <v>14107.44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718.84</v>
      </c>
      <c r="E47" s="2"/>
      <c r="F47" s="19">
        <f t="shared" si="5"/>
        <v>3.2397289451420205E-3</v>
      </c>
      <c r="G47" s="2"/>
      <c r="H47" s="2"/>
      <c r="I47" s="2"/>
      <c r="J47" s="19">
        <f t="shared" si="6"/>
        <v>0</v>
      </c>
      <c r="K47" s="2"/>
      <c r="L47" s="2">
        <f t="shared" si="7"/>
        <v>718.84</v>
      </c>
      <c r="M47" s="2"/>
      <c r="N47" s="19">
        <f t="shared" si="8"/>
        <v>0</v>
      </c>
      <c r="O47" s="11"/>
      <c r="P47" s="2">
        <v>1536.85</v>
      </c>
      <c r="Q47" s="2"/>
      <c r="R47" s="19">
        <f t="shared" si="9"/>
        <v>1.6562177183838669E-3</v>
      </c>
      <c r="S47" s="2"/>
      <c r="T47" s="2"/>
      <c r="U47" s="2"/>
      <c r="V47" s="19">
        <f t="shared" si="10"/>
        <v>0</v>
      </c>
      <c r="W47" s="2"/>
      <c r="X47" s="2">
        <f t="shared" si="11"/>
        <v>1536.85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596.04999999999995</v>
      </c>
      <c r="E48" s="2"/>
      <c r="F48" s="19">
        <f t="shared" si="5"/>
        <v>2.6863285818150089E-3</v>
      </c>
      <c r="G48" s="2"/>
      <c r="H48" s="2"/>
      <c r="I48" s="2"/>
      <c r="J48" s="19">
        <f t="shared" si="6"/>
        <v>0</v>
      </c>
      <c r="K48" s="2"/>
      <c r="L48" s="2">
        <f t="shared" si="7"/>
        <v>596.04999999999995</v>
      </c>
      <c r="M48" s="2"/>
      <c r="N48" s="19">
        <f t="shared" si="8"/>
        <v>0</v>
      </c>
      <c r="O48" s="11"/>
      <c r="P48" s="2">
        <v>767.73</v>
      </c>
      <c r="Q48" s="2"/>
      <c r="R48" s="19">
        <f t="shared" si="9"/>
        <v>8.2735987828014854E-4</v>
      </c>
      <c r="S48" s="2"/>
      <c r="T48" s="2"/>
      <c r="U48" s="2"/>
      <c r="V48" s="19">
        <f t="shared" si="10"/>
        <v>0</v>
      </c>
      <c r="W48" s="2"/>
      <c r="X48" s="2">
        <f t="shared" si="11"/>
        <v>767.73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4.58</v>
      </c>
      <c r="Q49" s="2"/>
      <c r="R49" s="19">
        <f t="shared" si="9"/>
        <v>4.9357303251443613E-6</v>
      </c>
      <c r="S49" s="2"/>
      <c r="T49" s="2"/>
      <c r="U49" s="2"/>
      <c r="V49" s="19">
        <f t="shared" si="10"/>
        <v>0</v>
      </c>
      <c r="W49" s="2"/>
      <c r="X49" s="2">
        <f t="shared" si="11"/>
        <v>4.58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>
        <v>223.25</v>
      </c>
      <c r="E50" s="2"/>
      <c r="F50" s="19">
        <f t="shared" si="5"/>
        <v>1.0061619929371711E-3</v>
      </c>
      <c r="G50" s="2"/>
      <c r="H50" s="2"/>
      <c r="I50" s="2"/>
      <c r="J50" s="19">
        <f t="shared" si="6"/>
        <v>0</v>
      </c>
      <c r="K50" s="2"/>
      <c r="L50" s="2">
        <f t="shared" si="7"/>
        <v>223.25</v>
      </c>
      <c r="M50" s="2"/>
      <c r="N50" s="19">
        <f t="shared" si="8"/>
        <v>0</v>
      </c>
      <c r="O50" s="11"/>
      <c r="P50" s="2">
        <v>359.09</v>
      </c>
      <c r="Q50" s="2"/>
      <c r="R50" s="19">
        <f t="shared" si="9"/>
        <v>3.8698065555809792E-4</v>
      </c>
      <c r="S50" s="2"/>
      <c r="T50" s="2"/>
      <c r="U50" s="2"/>
      <c r="V50" s="19">
        <f t="shared" si="10"/>
        <v>0</v>
      </c>
      <c r="W50" s="2"/>
      <c r="X50" s="2">
        <f t="shared" si="11"/>
        <v>359.09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84.47</v>
      </c>
      <c r="E51" s="2"/>
      <c r="F51" s="19">
        <f t="shared" si="5"/>
        <v>3.8069654442733636E-4</v>
      </c>
      <c r="G51" s="2"/>
      <c r="H51" s="2"/>
      <c r="I51" s="2"/>
      <c r="J51" s="19">
        <f t="shared" si="6"/>
        <v>0</v>
      </c>
      <c r="K51" s="2"/>
      <c r="L51" s="2">
        <f t="shared" si="7"/>
        <v>84.47</v>
      </c>
      <c r="M51" s="2"/>
      <c r="N51" s="19">
        <f t="shared" si="8"/>
        <v>0</v>
      </c>
      <c r="O51" s="11"/>
      <c r="P51" s="2">
        <v>346.98</v>
      </c>
      <c r="Q51" s="2"/>
      <c r="R51" s="19">
        <f t="shared" si="9"/>
        <v>3.7393006729663546E-4</v>
      </c>
      <c r="S51" s="2"/>
      <c r="T51" s="2"/>
      <c r="U51" s="2"/>
      <c r="V51" s="19">
        <f t="shared" si="10"/>
        <v>0</v>
      </c>
      <c r="W51" s="2"/>
      <c r="X51" s="2">
        <f t="shared" si="11"/>
        <v>346.98</v>
      </c>
      <c r="Y51" s="2"/>
      <c r="Z51" s="19">
        <f t="shared" si="12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2">
        <f>D12-D35</f>
        <v>118191.34999999996</v>
      </c>
      <c r="E53" s="14"/>
      <c r="F53" s="20">
        <f>IF(D$12=0,0,D53/D$12)</f>
        <v>0.53267477833789323</v>
      </c>
      <c r="G53" s="14"/>
      <c r="H53" s="22">
        <f>H12-H35</f>
        <v>113767</v>
      </c>
      <c r="I53" s="14"/>
      <c r="J53" s="20">
        <f>IF(H$12=0,0,H53/H$12)</f>
        <v>0.54457943209451054</v>
      </c>
      <c r="K53" s="16"/>
      <c r="L53" s="22">
        <f>+D53-H53</f>
        <v>4424.3499999999622</v>
      </c>
      <c r="M53" s="16"/>
      <c r="N53" s="20">
        <f>IF(H53=0,0,L53/H53)</f>
        <v>3.8889572547399179E-2</v>
      </c>
      <c r="O53" s="29"/>
      <c r="P53" s="22">
        <f>P12-P35</f>
        <v>499227.4499999999</v>
      </c>
      <c r="Q53" s="14"/>
      <c r="R53" s="20">
        <f>IF(P$12=0,0,P53/P$12)</f>
        <v>0.53800263408504145</v>
      </c>
      <c r="S53" s="14"/>
      <c r="T53" s="22">
        <f>T12-T35</f>
        <v>478979</v>
      </c>
      <c r="U53" s="14"/>
      <c r="V53" s="20">
        <f>IF(T$12=0,0,T53/T$12)</f>
        <v>0.53815930213745122</v>
      </c>
      <c r="W53" s="16"/>
      <c r="X53" s="22">
        <f>+P53-T53</f>
        <v>20248.449999999895</v>
      </c>
      <c r="Y53" s="16"/>
      <c r="Z53" s="20">
        <f>IF(T53=0,0,X53/T53)</f>
        <v>4.2274191561634006E-2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1">
        <f>SUM(OSRRefD22x_0)</f>
        <v>76370.34</v>
      </c>
      <c r="E55" s="21"/>
      <c r="F55" s="35">
        <f t="shared" ref="F55:F65" si="13">IF(D$12=0,0,D55/D$12)</f>
        <v>0.34419231129088174</v>
      </c>
      <c r="G55" s="21"/>
      <c r="H55" s="21">
        <f>SUM(OSRRefH22x_0)</f>
        <v>56235.650457805292</v>
      </c>
      <c r="I55" s="21"/>
      <c r="J55" s="35">
        <f t="shared" ref="J55:J65" si="14">IF(H$12=0,0,H55/H$12)</f>
        <v>0.26918859238423271</v>
      </c>
      <c r="K55" s="4"/>
      <c r="L55" s="21">
        <f t="shared" ref="L55:L65" si="15">+D55-H55</f>
        <v>20134.689542194705</v>
      </c>
      <c r="M55" s="4"/>
      <c r="N55" s="35">
        <f t="shared" ref="N55:N65" si="16">IF(H55=0,0,L55/H55)</f>
        <v>0.35804137372434514</v>
      </c>
      <c r="O55" s="10"/>
      <c r="P55" s="21">
        <f>SUM(OSRRefP22x_0)</f>
        <v>232445.00000000006</v>
      </c>
      <c r="Q55" s="21"/>
      <c r="R55" s="35">
        <f t="shared" ref="R55:R65" si="17">IF(P$12=0,0,P55/P$12)</f>
        <v>0.25049909070484305</v>
      </c>
      <c r="S55" s="21"/>
      <c r="T55" s="21">
        <f>SUM(OSRRefT22x_0)</f>
        <v>222050.19305059902</v>
      </c>
      <c r="U55" s="21"/>
      <c r="V55" s="35">
        <f t="shared" ref="V55:V65" si="18">IF(T$12=0,0,T55/T$12)</f>
        <v>0.24948562866346269</v>
      </c>
      <c r="W55" s="4"/>
      <c r="X55" s="21">
        <f t="shared" ref="X55:X65" si="19">+P55-T55</f>
        <v>10394.806949401041</v>
      </c>
      <c r="Y55" s="4"/>
      <c r="Z55" s="35">
        <f t="shared" ref="Z55:Z65" si="20">IF(T55=0,0,X55/T55)</f>
        <v>4.6812870579366513E-2</v>
      </c>
    </row>
    <row r="56" spans="1:26" s="26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9835.81</v>
      </c>
      <c r="E56" s="1"/>
      <c r="F56" s="5">
        <f t="shared" si="13"/>
        <v>4.4328860881305068E-2</v>
      </c>
      <c r="G56" s="1"/>
      <c r="H56" s="1">
        <f>SUM(OSRRefH22_0x_0)</f>
        <v>4647.74063809375</v>
      </c>
      <c r="I56" s="1"/>
      <c r="J56" s="5">
        <f t="shared" si="14"/>
        <v>2.2247786767829618E-2</v>
      </c>
      <c r="K56" s="1"/>
      <c r="L56" s="1">
        <f t="shared" si="15"/>
        <v>5188.0693619062495</v>
      </c>
      <c r="M56" s="1"/>
      <c r="N56" s="5">
        <f t="shared" si="16"/>
        <v>1.1162562126173445</v>
      </c>
      <c r="O56" s="13"/>
      <c r="P56" s="1">
        <f>SUM(OSRRefP22_0x_0)</f>
        <v>31552.45</v>
      </c>
      <c r="Q56" s="1"/>
      <c r="R56" s="5">
        <f t="shared" si="17"/>
        <v>3.4003140676332137E-2</v>
      </c>
      <c r="S56" s="1"/>
      <c r="T56" s="1">
        <f>SUM(OSRRefT22_0x_0)</f>
        <v>19181.3176996375</v>
      </c>
      <c r="U56" s="1"/>
      <c r="V56" s="5">
        <f t="shared" si="18"/>
        <v>2.1551267482110194E-2</v>
      </c>
      <c r="W56" s="1"/>
      <c r="X56" s="1">
        <f t="shared" si="19"/>
        <v>12371.1323003625</v>
      </c>
      <c r="Y56" s="1"/>
      <c r="Z56" s="5">
        <f t="shared" si="20"/>
        <v>0.64495737436204903</v>
      </c>
    </row>
    <row r="57" spans="1:26" s="24" customFormat="1" hidden="1" outlineLevel="2" x14ac:dyDescent="0.25">
      <c r="A57" s="27"/>
      <c r="B57" s="11" t="str">
        <f>CONCATENATE("          ", "6111", " - ", "F.I.C.A.")</f>
        <v xml:space="preserve">          6111 - F.I.C.A.</v>
      </c>
      <c r="C57" s="11"/>
      <c r="D57" s="6">
        <v>2583.54</v>
      </c>
      <c r="E57" s="2"/>
      <c r="F57" s="7">
        <f t="shared" si="13"/>
        <v>1.1643716708769984E-2</v>
      </c>
      <c r="G57" s="2"/>
      <c r="H57" s="6">
        <v>860.85614905528803</v>
      </c>
      <c r="I57" s="2"/>
      <c r="J57" s="7">
        <f t="shared" si="14"/>
        <v>4.1207428583648689E-3</v>
      </c>
      <c r="K57" s="2"/>
      <c r="L57" s="6">
        <f t="shared" si="15"/>
        <v>1722.683850944712</v>
      </c>
      <c r="M57" s="2"/>
      <c r="N57" s="7">
        <f t="shared" si="16"/>
        <v>2.0011285890624144</v>
      </c>
      <c r="O57" s="11"/>
      <c r="P57" s="6">
        <v>7021.3</v>
      </c>
      <c r="Q57" s="2"/>
      <c r="R57" s="7">
        <f t="shared" si="17"/>
        <v>7.5666470157065725E-3</v>
      </c>
      <c r="S57" s="2"/>
      <c r="T57" s="6">
        <v>4821.8680990990388</v>
      </c>
      <c r="U57" s="2"/>
      <c r="V57" s="7">
        <f t="shared" si="18"/>
        <v>5.4176345334763683E-3</v>
      </c>
      <c r="W57" s="2"/>
      <c r="X57" s="6">
        <f t="shared" si="19"/>
        <v>2199.4319009009614</v>
      </c>
      <c r="Y57" s="2"/>
      <c r="Z57" s="7">
        <f t="shared" si="20"/>
        <v>0.45613688630593668</v>
      </c>
    </row>
    <row r="58" spans="1:26" s="24" customFormat="1" hidden="1" outlineLevel="2" x14ac:dyDescent="0.25">
      <c r="A58" s="27"/>
      <c r="B58" s="11" t="str">
        <f>CONCATENATE("          ", "6112", " - ", "COMPENSATION INSURANCE")</f>
        <v xml:space="preserve">          6112 - COMPENSATION INSURANCE</v>
      </c>
      <c r="C58" s="11"/>
      <c r="D58" s="6">
        <v>293.91000000000003</v>
      </c>
      <c r="E58" s="2"/>
      <c r="F58" s="7">
        <f t="shared" si="13"/>
        <v>1.3246184606681476E-3</v>
      </c>
      <c r="G58" s="2"/>
      <c r="H58" s="6">
        <v>478.24634639423101</v>
      </c>
      <c r="I58" s="2"/>
      <c r="J58" s="7">
        <f t="shared" si="14"/>
        <v>2.2892677465402521E-3</v>
      </c>
      <c r="K58" s="2"/>
      <c r="L58" s="6">
        <f t="shared" si="15"/>
        <v>-184.33634639423099</v>
      </c>
      <c r="M58" s="2"/>
      <c r="N58" s="7">
        <f t="shared" si="16"/>
        <v>-0.38544224704286123</v>
      </c>
      <c r="O58" s="11"/>
      <c r="P58" s="6">
        <v>1655.2</v>
      </c>
      <c r="Q58" s="2"/>
      <c r="R58" s="7">
        <f t="shared" si="17"/>
        <v>1.7837600074626521E-3</v>
      </c>
      <c r="S58" s="2"/>
      <c r="T58" s="6">
        <v>1707.5964470192321</v>
      </c>
      <c r="U58" s="2"/>
      <c r="V58" s="7">
        <f t="shared" si="18"/>
        <v>1.9185787106747083E-3</v>
      </c>
      <c r="W58" s="2"/>
      <c r="X58" s="6">
        <f t="shared" si="19"/>
        <v>-52.396447019232028</v>
      </c>
      <c r="Y58" s="2"/>
      <c r="Z58" s="7">
        <f t="shared" si="20"/>
        <v>-3.0684326563629766E-2</v>
      </c>
    </row>
    <row r="59" spans="1:26" s="24" customFormat="1" hidden="1" outlineLevel="2" x14ac:dyDescent="0.25">
      <c r="A59" s="27"/>
      <c r="B59" s="11" t="str">
        <f>CONCATENATE("          ", "6113", " - ", "GROUP INSURANCE")</f>
        <v xml:space="preserve">          6113 - GROUP INSURANCE</v>
      </c>
      <c r="C59" s="11"/>
      <c r="D59" s="6">
        <v>3252.74</v>
      </c>
      <c r="E59" s="2"/>
      <c r="F59" s="7">
        <f t="shared" si="13"/>
        <v>1.4659723901036746E-2</v>
      </c>
      <c r="G59" s="2"/>
      <c r="H59" s="6">
        <v>1875.25</v>
      </c>
      <c r="I59" s="2"/>
      <c r="J59" s="7">
        <f t="shared" si="14"/>
        <v>8.9764393895877606E-3</v>
      </c>
      <c r="K59" s="2"/>
      <c r="L59" s="6">
        <f t="shared" si="15"/>
        <v>1377.4899999999998</v>
      </c>
      <c r="M59" s="2"/>
      <c r="N59" s="7">
        <f t="shared" si="16"/>
        <v>0.73456339154779349</v>
      </c>
      <c r="O59" s="11"/>
      <c r="P59" s="6">
        <v>11047.03</v>
      </c>
      <c r="Q59" s="2"/>
      <c r="R59" s="7">
        <f t="shared" si="17"/>
        <v>1.1905056981174566E-2</v>
      </c>
      <c r="S59" s="2"/>
      <c r="T59" s="6">
        <v>7501</v>
      </c>
      <c r="U59" s="2"/>
      <c r="V59" s="7">
        <f t="shared" si="18"/>
        <v>8.4277868660902078E-3</v>
      </c>
      <c r="W59" s="2"/>
      <c r="X59" s="6">
        <f t="shared" si="19"/>
        <v>3546.0300000000007</v>
      </c>
      <c r="Y59" s="2"/>
      <c r="Z59" s="7">
        <f t="shared" si="20"/>
        <v>0.4727409678709506</v>
      </c>
    </row>
    <row r="60" spans="1:26" s="24" customFormat="1" hidden="1" outlineLevel="2" x14ac:dyDescent="0.2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6">
        <v>101.54</v>
      </c>
      <c r="E60" s="2"/>
      <c r="F60" s="7">
        <f t="shared" si="13"/>
        <v>4.5762906500712363E-4</v>
      </c>
      <c r="G60" s="2"/>
      <c r="H60" s="6">
        <v>65.444236875000001</v>
      </c>
      <c r="I60" s="2"/>
      <c r="J60" s="7">
        <f t="shared" si="14"/>
        <v>3.1326821794761331E-4</v>
      </c>
      <c r="K60" s="2"/>
      <c r="L60" s="6">
        <f t="shared" si="15"/>
        <v>36.095763125000005</v>
      </c>
      <c r="M60" s="2"/>
      <c r="N60" s="7">
        <f t="shared" si="16"/>
        <v>0.55154991254529784</v>
      </c>
      <c r="O60" s="11"/>
      <c r="P60" s="6">
        <v>279.08999999999997</v>
      </c>
      <c r="Q60" s="2"/>
      <c r="R60" s="7">
        <f t="shared" si="17"/>
        <v>3.0076702542457197E-4</v>
      </c>
      <c r="S60" s="2"/>
      <c r="T60" s="6">
        <v>233.67109275000001</v>
      </c>
      <c r="U60" s="2"/>
      <c r="V60" s="7">
        <f t="shared" si="18"/>
        <v>2.6254234988180202E-4</v>
      </c>
      <c r="W60" s="2"/>
      <c r="X60" s="6">
        <f t="shared" si="19"/>
        <v>45.418907249999961</v>
      </c>
      <c r="Y60" s="2"/>
      <c r="Z60" s="7">
        <f t="shared" si="20"/>
        <v>0.1943710996318776</v>
      </c>
    </row>
    <row r="61" spans="1:26" s="24" customFormat="1" hidden="1" outlineLevel="2" x14ac:dyDescent="0.25">
      <c r="A61" s="27"/>
      <c r="B61" s="11" t="str">
        <f>CONCATENATE("          ", "6115", " - ", "P.E.R.S.")</f>
        <v xml:space="preserve">          6115 - P.E.R.S.</v>
      </c>
      <c r="C61" s="11"/>
      <c r="D61" s="6">
        <v>1710.53</v>
      </c>
      <c r="E61" s="2"/>
      <c r="F61" s="7">
        <f t="shared" si="13"/>
        <v>7.7091613607113965E-3</v>
      </c>
      <c r="G61" s="2"/>
      <c r="H61" s="6">
        <v>761.87488894230808</v>
      </c>
      <c r="I61" s="2"/>
      <c r="J61" s="7">
        <f t="shared" si="14"/>
        <v>3.6469397483213091E-3</v>
      </c>
      <c r="K61" s="2"/>
      <c r="L61" s="6">
        <f t="shared" si="15"/>
        <v>948.6551110576919</v>
      </c>
      <c r="M61" s="2"/>
      <c r="N61" s="7">
        <f t="shared" si="16"/>
        <v>1.2451586537714692</v>
      </c>
      <c r="O61" s="11"/>
      <c r="P61" s="6">
        <v>3977.44</v>
      </c>
      <c r="Q61" s="2"/>
      <c r="R61" s="7">
        <f t="shared" si="17"/>
        <v>4.2863692629786431E-3</v>
      </c>
      <c r="S61" s="2"/>
      <c r="T61" s="6">
        <v>2742.7496001923082</v>
      </c>
      <c r="U61" s="2"/>
      <c r="V61" s="7">
        <f t="shared" si="18"/>
        <v>3.0816303236201712E-3</v>
      </c>
      <c r="W61" s="2"/>
      <c r="X61" s="6">
        <f t="shared" si="19"/>
        <v>1234.6903998076918</v>
      </c>
      <c r="Y61" s="2"/>
      <c r="Z61" s="7">
        <f t="shared" si="20"/>
        <v>0.45016519179188702</v>
      </c>
    </row>
    <row r="62" spans="1:26" s="24" customFormat="1" hidden="1" outlineLevel="2" x14ac:dyDescent="0.25">
      <c r="A62" s="27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3"/>
        <v>0</v>
      </c>
      <c r="G62" s="2"/>
      <c r="H62" s="6">
        <v>0</v>
      </c>
      <c r="I62" s="2"/>
      <c r="J62" s="7">
        <f t="shared" si="14"/>
        <v>0</v>
      </c>
      <c r="K62" s="2"/>
      <c r="L62" s="6">
        <f t="shared" si="15"/>
        <v>0</v>
      </c>
      <c r="M62" s="2"/>
      <c r="N62" s="7">
        <f t="shared" si="16"/>
        <v>0</v>
      </c>
      <c r="O62" s="11"/>
      <c r="P62" s="6"/>
      <c r="Q62" s="2"/>
      <c r="R62" s="7">
        <f t="shared" si="17"/>
        <v>0</v>
      </c>
      <c r="S62" s="2"/>
      <c r="T62" s="6">
        <v>0</v>
      </c>
      <c r="U62" s="2"/>
      <c r="V62" s="7">
        <f t="shared" si="18"/>
        <v>0</v>
      </c>
      <c r="W62" s="2"/>
      <c r="X62" s="6">
        <f t="shared" si="19"/>
        <v>0</v>
      </c>
      <c r="Y62" s="2"/>
      <c r="Z62" s="7">
        <f t="shared" si="20"/>
        <v>0</v>
      </c>
    </row>
    <row r="63" spans="1:26" s="24" customFormat="1" hidden="1" outlineLevel="2" x14ac:dyDescent="0.25">
      <c r="A63" s="27"/>
      <c r="B63" s="11" t="str">
        <f>CONCATENATE("          ", "6118", " - ", "VACATION")</f>
        <v xml:space="preserve">          6118 - VACATION</v>
      </c>
      <c r="C63" s="11"/>
      <c r="D63" s="6">
        <v>1130.4000000000001</v>
      </c>
      <c r="E63" s="2"/>
      <c r="F63" s="7">
        <f t="shared" si="13"/>
        <v>5.0945823821553337E-3</v>
      </c>
      <c r="G63" s="2"/>
      <c r="H63" s="6">
        <v>265.77031009615399</v>
      </c>
      <c r="I63" s="2"/>
      <c r="J63" s="7">
        <f t="shared" si="14"/>
        <v>1.2721882842981311E-3</v>
      </c>
      <c r="K63" s="2"/>
      <c r="L63" s="6">
        <f t="shared" si="15"/>
        <v>864.62968990384616</v>
      </c>
      <c r="M63" s="2"/>
      <c r="N63" s="7">
        <f t="shared" si="16"/>
        <v>3.2532967643790935</v>
      </c>
      <c r="O63" s="11"/>
      <c r="P63" s="6">
        <v>3403.01</v>
      </c>
      <c r="Q63" s="2"/>
      <c r="R63" s="7">
        <f t="shared" si="17"/>
        <v>3.6673230685086273E-3</v>
      </c>
      <c r="S63" s="2"/>
      <c r="T63" s="6">
        <v>956.77311634615398</v>
      </c>
      <c r="U63" s="2"/>
      <c r="V63" s="7">
        <f t="shared" si="18"/>
        <v>1.0749873221930829E-3</v>
      </c>
      <c r="W63" s="2"/>
      <c r="X63" s="6">
        <f t="shared" si="19"/>
        <v>2446.2368836538462</v>
      </c>
      <c r="Y63" s="2"/>
      <c r="Z63" s="7">
        <f t="shared" si="20"/>
        <v>2.5567575445637987</v>
      </c>
    </row>
    <row r="64" spans="1:26" s="24" customFormat="1" hidden="1" outlineLevel="2" x14ac:dyDescent="0.25">
      <c r="A64" s="27"/>
      <c r="B64" s="11" t="str">
        <f>CONCATENATE("          ", "6119", " - ", "SICK LEAVE")</f>
        <v xml:space="preserve">          6119 - SICK LEAVE</v>
      </c>
      <c r="C64" s="11"/>
      <c r="D64" s="6">
        <v>698.55</v>
      </c>
      <c r="E64" s="2"/>
      <c r="F64" s="7">
        <f t="shared" si="13"/>
        <v>3.1482842560638783E-3</v>
      </c>
      <c r="G64" s="2"/>
      <c r="H64" s="6">
        <v>340.29870673076903</v>
      </c>
      <c r="I64" s="2"/>
      <c r="J64" s="7">
        <f t="shared" si="14"/>
        <v>1.6289405227696834E-3</v>
      </c>
      <c r="K64" s="2"/>
      <c r="L64" s="6">
        <f t="shared" si="15"/>
        <v>358.25129326923093</v>
      </c>
      <c r="M64" s="2"/>
      <c r="N64" s="7">
        <f t="shared" si="16"/>
        <v>1.0527553769185061</v>
      </c>
      <c r="O64" s="11"/>
      <c r="P64" s="6">
        <v>3544.75</v>
      </c>
      <c r="Q64" s="2"/>
      <c r="R64" s="7">
        <f t="shared" si="17"/>
        <v>3.8200720676977015E-3</v>
      </c>
      <c r="S64" s="2"/>
      <c r="T64" s="6">
        <v>1217.6593442307681</v>
      </c>
      <c r="U64" s="2"/>
      <c r="V64" s="7">
        <f t="shared" si="18"/>
        <v>1.3681073761738546E-3</v>
      </c>
      <c r="W64" s="2"/>
      <c r="X64" s="6">
        <f t="shared" si="19"/>
        <v>2327.0906557692319</v>
      </c>
      <c r="Y64" s="2"/>
      <c r="Z64" s="7">
        <f t="shared" si="20"/>
        <v>1.9111179713726296</v>
      </c>
    </row>
    <row r="65" spans="1:26" s="24" customFormat="1" hidden="1" outlineLevel="2" x14ac:dyDescent="0.25">
      <c r="A65" s="27"/>
      <c r="B65" s="11" t="str">
        <f>CONCATENATE("          ", "6156", " - ", "EMPLOYEE MEALS")</f>
        <v xml:space="preserve">          6156 - EMPLOYEE MEALS</v>
      </c>
      <c r="C65" s="11"/>
      <c r="D65" s="6">
        <v>64.599999999999994</v>
      </c>
      <c r="E65" s="2"/>
      <c r="F65" s="7">
        <f t="shared" si="13"/>
        <v>2.91144746892458E-4</v>
      </c>
      <c r="G65" s="2"/>
      <c r="H65" s="6"/>
      <c r="I65" s="2"/>
      <c r="J65" s="7">
        <f t="shared" si="14"/>
        <v>0</v>
      </c>
      <c r="K65" s="2"/>
      <c r="L65" s="6">
        <f t="shared" si="15"/>
        <v>64.599999999999994</v>
      </c>
      <c r="M65" s="2"/>
      <c r="N65" s="7">
        <f t="shared" si="16"/>
        <v>0</v>
      </c>
      <c r="O65" s="11"/>
      <c r="P65" s="6">
        <v>624.63</v>
      </c>
      <c r="Q65" s="2"/>
      <c r="R65" s="7">
        <f t="shared" si="17"/>
        <v>6.7314524737880396E-4</v>
      </c>
      <c r="S65" s="2"/>
      <c r="T65" s="6"/>
      <c r="U65" s="2"/>
      <c r="V65" s="7">
        <f t="shared" si="18"/>
        <v>0</v>
      </c>
      <c r="W65" s="2"/>
      <c r="X65" s="6">
        <f t="shared" si="19"/>
        <v>624.63</v>
      </c>
      <c r="Y65" s="2"/>
      <c r="Z65" s="7">
        <f t="shared" si="20"/>
        <v>0</v>
      </c>
    </row>
    <row r="66" spans="1:26" s="26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31497.199999999997</v>
      </c>
      <c r="E66" s="1"/>
      <c r="F66" s="5">
        <f t="shared" ref="F66:F76" si="21">IF(D$12=0,0,D66/D$12)</f>
        <v>0.14195424646781932</v>
      </c>
      <c r="G66" s="1"/>
      <c r="H66" s="1">
        <f>SUM(OSRRefH22_1x_0)</f>
        <v>24727.909819711538</v>
      </c>
      <c r="I66" s="1"/>
      <c r="J66" s="5">
        <f t="shared" ref="J66:J76" si="22">IF(H$12=0,0,H66/H$12)</f>
        <v>0.11836746232653388</v>
      </c>
      <c r="K66" s="1"/>
      <c r="L66" s="1">
        <f t="shared" ref="L66:L76" si="23">+D66-H66</f>
        <v>6769.2901802884589</v>
      </c>
      <c r="M66" s="1"/>
      <c r="N66" s="5">
        <f t="shared" ref="N66:N76" si="24">IF(H66=0,0,L66/H66)</f>
        <v>0.2737510056305853</v>
      </c>
      <c r="O66" s="13"/>
      <c r="P66" s="1">
        <f>SUM(OSRRefP22_1x_0)</f>
        <v>107429.95000000001</v>
      </c>
      <c r="Q66" s="1"/>
      <c r="R66" s="5">
        <f t="shared" ref="R66:R76" si="25">IF(P$12=0,0,P66/P$12)</f>
        <v>0.11577407468203985</v>
      </c>
      <c r="S66" s="1"/>
      <c r="T66" s="1">
        <f>SUM(OSRRefT22_1x_0)</f>
        <v>88278.875350961534</v>
      </c>
      <c r="U66" s="1"/>
      <c r="V66" s="5">
        <f t="shared" ref="V66:V76" si="26">IF(T$12=0,0,T66/T$12)</f>
        <v>9.9186181340627677E-2</v>
      </c>
      <c r="W66" s="1"/>
      <c r="X66" s="1">
        <f t="shared" ref="X66:X76" si="27">+P66-T66</f>
        <v>19151.074649038477</v>
      </c>
      <c r="Y66" s="1"/>
      <c r="Z66" s="5">
        <f t="shared" ref="Z66:Z76" si="28">IF(T66=0,0,X66/T66)</f>
        <v>0.2169383623534108</v>
      </c>
    </row>
    <row r="67" spans="1:26" s="24" customFormat="1" hidden="1" outlineLevel="2" x14ac:dyDescent="0.25">
      <c r="A67" s="27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1"/>
        <v>0</v>
      </c>
      <c r="G67" s="2"/>
      <c r="H67" s="6">
        <v>0</v>
      </c>
      <c r="I67" s="2"/>
      <c r="J67" s="7">
        <f t="shared" si="22"/>
        <v>0</v>
      </c>
      <c r="K67" s="2"/>
      <c r="L67" s="6">
        <f t="shared" si="23"/>
        <v>0</v>
      </c>
      <c r="M67" s="2"/>
      <c r="N67" s="7">
        <f t="shared" si="24"/>
        <v>0</v>
      </c>
      <c r="O67" s="11"/>
      <c r="P67" s="6"/>
      <c r="Q67" s="2"/>
      <c r="R67" s="7">
        <f t="shared" si="25"/>
        <v>0</v>
      </c>
      <c r="S67" s="2"/>
      <c r="T67" s="6">
        <v>0</v>
      </c>
      <c r="U67" s="2"/>
      <c r="V67" s="7">
        <f t="shared" si="26"/>
        <v>0</v>
      </c>
      <c r="W67" s="2"/>
      <c r="X67" s="6">
        <f t="shared" si="27"/>
        <v>0</v>
      </c>
      <c r="Y67" s="2"/>
      <c r="Z67" s="7">
        <f t="shared" si="28"/>
        <v>0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11306.98</v>
      </c>
      <c r="E68" s="2"/>
      <c r="F68" s="7">
        <f t="shared" si="21"/>
        <v>5.0959254337741247E-2</v>
      </c>
      <c r="G68" s="2"/>
      <c r="H68" s="6">
        <v>8416.0598197115396</v>
      </c>
      <c r="I68" s="2"/>
      <c r="J68" s="7">
        <f t="shared" si="22"/>
        <v>4.028596233610747E-2</v>
      </c>
      <c r="K68" s="2"/>
      <c r="L68" s="6">
        <f t="shared" si="23"/>
        <v>2890.92018028846</v>
      </c>
      <c r="M68" s="2"/>
      <c r="N68" s="7">
        <f t="shared" si="24"/>
        <v>0.34350043158171684</v>
      </c>
      <c r="O68" s="11"/>
      <c r="P68" s="6">
        <v>38026.61</v>
      </c>
      <c r="Q68" s="2"/>
      <c r="R68" s="7">
        <f t="shared" si="25"/>
        <v>4.0980151122147992E-2</v>
      </c>
      <c r="S68" s="2"/>
      <c r="T68" s="6">
        <v>30297.815350961537</v>
      </c>
      <c r="U68" s="2"/>
      <c r="V68" s="7">
        <f t="shared" si="26"/>
        <v>3.4041265202780953E-2</v>
      </c>
      <c r="W68" s="2"/>
      <c r="X68" s="6">
        <f t="shared" si="27"/>
        <v>7728.7946490384638</v>
      </c>
      <c r="Y68" s="2"/>
      <c r="Z68" s="7">
        <f t="shared" si="28"/>
        <v>0.25509412343795212</v>
      </c>
    </row>
    <row r="69" spans="1:26" s="24" customFormat="1" hidden="1" outlineLevel="2" x14ac:dyDescent="0.25">
      <c r="A69" s="27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1"/>
        <v>0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0</v>
      </c>
      <c r="M69" s="2"/>
      <c r="N69" s="7">
        <f t="shared" si="24"/>
        <v>0</v>
      </c>
      <c r="O69" s="11"/>
      <c r="P69" s="6"/>
      <c r="Q69" s="2"/>
      <c r="R69" s="7">
        <f t="shared" si="25"/>
        <v>0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0</v>
      </c>
      <c r="Y69" s="2"/>
      <c r="Z69" s="7">
        <f t="shared" si="28"/>
        <v>0</v>
      </c>
    </row>
    <row r="70" spans="1:26" s="24" customFormat="1" hidden="1" outlineLevel="2" x14ac:dyDescent="0.25">
      <c r="A70" s="27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1"/>
        <v>0</v>
      </c>
      <c r="G70" s="2"/>
      <c r="H70" s="6">
        <v>2389.6</v>
      </c>
      <c r="I70" s="2"/>
      <c r="J70" s="7">
        <f t="shared" si="22"/>
        <v>1.1438527964462826E-2</v>
      </c>
      <c r="K70" s="2"/>
      <c r="L70" s="6">
        <f t="shared" si="23"/>
        <v>-2389.6</v>
      </c>
      <c r="M70" s="2"/>
      <c r="N70" s="7">
        <f t="shared" si="24"/>
        <v>-1</v>
      </c>
      <c r="O70" s="11"/>
      <c r="P70" s="6"/>
      <c r="Q70" s="2"/>
      <c r="R70" s="7">
        <f t="shared" si="25"/>
        <v>0</v>
      </c>
      <c r="S70" s="2"/>
      <c r="T70" s="6">
        <v>8602.56</v>
      </c>
      <c r="U70" s="2"/>
      <c r="V70" s="7">
        <f t="shared" si="26"/>
        <v>9.6654502310029294E-3</v>
      </c>
      <c r="W70" s="2"/>
      <c r="X70" s="6">
        <f t="shared" si="27"/>
        <v>-8602.56</v>
      </c>
      <c r="Y70" s="2"/>
      <c r="Z70" s="7">
        <f t="shared" si="28"/>
        <v>-1</v>
      </c>
    </row>
    <row r="71" spans="1:26" s="24" customFormat="1" hidden="1" outlineLevel="2" x14ac:dyDescent="0.25">
      <c r="A71" s="27"/>
      <c r="B71" s="11" t="str">
        <f>CONCATENATE("          ", "6005", " - ", "TEMPORARY WAGES-HOURLY")</f>
        <v xml:space="preserve">          6005 - TEMPORARY WAGES-HOURLY</v>
      </c>
      <c r="C71" s="11"/>
      <c r="D71" s="6">
        <v>5384.23</v>
      </c>
      <c r="E71" s="2"/>
      <c r="F71" s="7">
        <f t="shared" si="21"/>
        <v>2.4266103414253545E-2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5384.23</v>
      </c>
      <c r="M71" s="2"/>
      <c r="N71" s="7">
        <f t="shared" si="24"/>
        <v>0</v>
      </c>
      <c r="O71" s="11"/>
      <c r="P71" s="6">
        <v>15736.42</v>
      </c>
      <c r="Q71" s="2"/>
      <c r="R71" s="7">
        <f t="shared" si="25"/>
        <v>1.6958673668822758E-2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15736.42</v>
      </c>
      <c r="Y71" s="2"/>
      <c r="Z71" s="7">
        <f t="shared" si="28"/>
        <v>0</v>
      </c>
    </row>
    <row r="72" spans="1:26" s="24" customFormat="1" hidden="1" outlineLevel="2" x14ac:dyDescent="0.25">
      <c r="A72" s="27"/>
      <c r="B72" s="11" t="str">
        <f>CONCATENATE("          ", "6006", " - ", "TEMPORARY PART TIME")</f>
        <v xml:space="preserve">          6006 - TEMPORARY PART TIME</v>
      </c>
      <c r="C72" s="11"/>
      <c r="D72" s="6">
        <v>66.5</v>
      </c>
      <c r="E72" s="2"/>
      <c r="F72" s="7">
        <f t="shared" si="21"/>
        <v>2.9970782768341266E-4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66.5</v>
      </c>
      <c r="M72" s="2"/>
      <c r="N72" s="7">
        <f t="shared" si="24"/>
        <v>0</v>
      </c>
      <c r="O72" s="11"/>
      <c r="P72" s="6">
        <v>66.5</v>
      </c>
      <c r="Q72" s="2"/>
      <c r="R72" s="7">
        <f t="shared" si="25"/>
        <v>7.1665080048493454E-5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66.5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"6007", " - ", "STUDENT HOURLY")</f>
        <v xml:space="preserve">          6007 - STUDENT HOURLY</v>
      </c>
      <c r="C73" s="11"/>
      <c r="D73" s="6">
        <v>14739.49</v>
      </c>
      <c r="E73" s="2"/>
      <c r="F73" s="7">
        <f t="shared" si="21"/>
        <v>6.6429180888141107E-2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14739.49</v>
      </c>
      <c r="M73" s="2"/>
      <c r="N73" s="7">
        <f t="shared" si="24"/>
        <v>0</v>
      </c>
      <c r="O73" s="11"/>
      <c r="P73" s="6">
        <v>53405.420000000006</v>
      </c>
      <c r="Q73" s="2"/>
      <c r="R73" s="7">
        <f t="shared" si="25"/>
        <v>5.755343908757013E-2</v>
      </c>
      <c r="S73" s="2"/>
      <c r="T73" s="6">
        <v>22511.25</v>
      </c>
      <c r="U73" s="2"/>
      <c r="V73" s="7">
        <f t="shared" si="26"/>
        <v>2.5292629927912706E-2</v>
      </c>
      <c r="W73" s="2"/>
      <c r="X73" s="6">
        <f t="shared" si="27"/>
        <v>30894.170000000006</v>
      </c>
      <c r="Y73" s="2"/>
      <c r="Z73" s="7">
        <f t="shared" si="28"/>
        <v>1.3723880282081184</v>
      </c>
    </row>
    <row r="74" spans="1:26" s="24" customFormat="1" hidden="1" outlineLevel="2" x14ac:dyDescent="0.25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1"/>
        <v>0</v>
      </c>
      <c r="G74" s="2"/>
      <c r="H74" s="6">
        <v>13922.25</v>
      </c>
      <c r="I74" s="2"/>
      <c r="J74" s="7">
        <f t="shared" si="22"/>
        <v>6.6642972025963587E-2</v>
      </c>
      <c r="K74" s="2"/>
      <c r="L74" s="6">
        <f t="shared" si="23"/>
        <v>-13922.25</v>
      </c>
      <c r="M74" s="2"/>
      <c r="N74" s="7">
        <f t="shared" si="24"/>
        <v>-1</v>
      </c>
      <c r="O74" s="11"/>
      <c r="P74" s="6">
        <v>195</v>
      </c>
      <c r="Q74" s="2"/>
      <c r="R74" s="7">
        <f t="shared" si="25"/>
        <v>2.1014572345046952E-4</v>
      </c>
      <c r="S74" s="2"/>
      <c r="T74" s="6">
        <v>26867.25</v>
      </c>
      <c r="U74" s="2"/>
      <c r="V74" s="7">
        <f t="shared" si="26"/>
        <v>3.0186835978931095E-2</v>
      </c>
      <c r="W74" s="2"/>
      <c r="X74" s="6">
        <f t="shared" si="27"/>
        <v>-26672.25</v>
      </c>
      <c r="Y74" s="2"/>
      <c r="Z74" s="7">
        <f t="shared" si="28"/>
        <v>-0.99274209306869887</v>
      </c>
    </row>
    <row r="75" spans="1:26" s="24" customFormat="1" hidden="1" outlineLevel="2" x14ac:dyDescent="0.25">
      <c r="A75" s="27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0</v>
      </c>
      <c r="Y75" s="2"/>
      <c r="Z75" s="7">
        <f t="shared" si="28"/>
        <v>0</v>
      </c>
    </row>
    <row r="76" spans="1:26" s="24" customFormat="1" hidden="1" outlineLevel="2" x14ac:dyDescent="0.25">
      <c r="A76" s="27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6" customFormat="1" outlineLevel="1" collapsed="1" x14ac:dyDescent="0.25">
      <c r="A77" s="25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2800.37</v>
      </c>
      <c r="E77" s="1"/>
      <c r="F77" s="5">
        <f t="shared" ref="F77:F81" si="29">IF(D$12=0,0,D77/D$12)</f>
        <v>1.2620944502402981E-2</v>
      </c>
      <c r="G77" s="1"/>
      <c r="H77" s="1">
        <f>SUM(OSRRefH22_2x_0)</f>
        <v>400</v>
      </c>
      <c r="I77" s="1"/>
      <c r="J77" s="5">
        <f t="shared" ref="J77:J81" si="30">IF(H$12=0,0,H77/H$12)</f>
        <v>1.914718440653302E-3</v>
      </c>
      <c r="K77" s="1"/>
      <c r="L77" s="1">
        <f t="shared" ref="L77:L81" si="31">+D77-H77</f>
        <v>2400.37</v>
      </c>
      <c r="M77" s="1"/>
      <c r="N77" s="5">
        <f t="shared" ref="N77:N81" si="32">IF(H77=0,0,L77/H77)</f>
        <v>6.0009249999999996</v>
      </c>
      <c r="O77" s="13"/>
      <c r="P77" s="1">
        <f>SUM(OSRRefP22_2x_0)</f>
        <v>5562.48</v>
      </c>
      <c r="Q77" s="1"/>
      <c r="R77" s="5">
        <f t="shared" ref="R77:R81" si="33">IF(P$12=0,0,P77/P$12)</f>
        <v>5.9945199168141925E-3</v>
      </c>
      <c r="S77" s="1"/>
      <c r="T77" s="1">
        <f>SUM(OSRRefT22_2x_0)</f>
        <v>1700</v>
      </c>
      <c r="U77" s="1"/>
      <c r="V77" s="5">
        <f t="shared" ref="V77:V81" si="34">IF(T$12=0,0,T77/T$12)</f>
        <v>1.9100436838226042E-3</v>
      </c>
      <c r="W77" s="1"/>
      <c r="X77" s="1">
        <f t="shared" ref="X77:X81" si="35">+P77-T77</f>
        <v>3862.4799999999996</v>
      </c>
      <c r="Y77" s="1"/>
      <c r="Z77" s="5">
        <f t="shared" ref="Z77:Z81" si="36">IF(T77=0,0,X77/T77)</f>
        <v>2.2720470588235293</v>
      </c>
    </row>
    <row r="78" spans="1:26" s="24" customFormat="1" hidden="1" outlineLevel="2" x14ac:dyDescent="0.25">
      <c r="A78" s="27"/>
      <c r="B78" s="11" t="str">
        <f>CONCATENATE("          ", "6362", " - ", "ADVERTISING EXPENSE")</f>
        <v xml:space="preserve">          6362 - ADVERTISING EXPENSE</v>
      </c>
      <c r="C78" s="11"/>
      <c r="D78" s="6">
        <v>2800.37</v>
      </c>
      <c r="E78" s="2"/>
      <c r="F78" s="7">
        <f t="shared" si="29"/>
        <v>1.2620944502402981E-2</v>
      </c>
      <c r="G78" s="2"/>
      <c r="H78" s="6">
        <v>400</v>
      </c>
      <c r="I78" s="2"/>
      <c r="J78" s="7">
        <f t="shared" si="30"/>
        <v>1.914718440653302E-3</v>
      </c>
      <c r="K78" s="2"/>
      <c r="L78" s="6">
        <f t="shared" si="31"/>
        <v>2400.37</v>
      </c>
      <c r="M78" s="2"/>
      <c r="N78" s="7">
        <f t="shared" si="32"/>
        <v>6.0009249999999996</v>
      </c>
      <c r="O78" s="11"/>
      <c r="P78" s="6">
        <v>5562.48</v>
      </c>
      <c r="Q78" s="2"/>
      <c r="R78" s="7">
        <f t="shared" si="33"/>
        <v>5.9945199168141925E-3</v>
      </c>
      <c r="S78" s="2"/>
      <c r="T78" s="6">
        <v>1700</v>
      </c>
      <c r="U78" s="2"/>
      <c r="V78" s="7">
        <f t="shared" si="34"/>
        <v>1.9100436838226042E-3</v>
      </c>
      <c r="W78" s="2"/>
      <c r="X78" s="6">
        <f t="shared" si="35"/>
        <v>3862.4799999999996</v>
      </c>
      <c r="Y78" s="2"/>
      <c r="Z78" s="7">
        <f t="shared" si="36"/>
        <v>2.2720470588235293</v>
      </c>
    </row>
    <row r="79" spans="1:26" s="26" customFormat="1" outlineLevel="1" collapsed="1" x14ac:dyDescent="0.25">
      <c r="A79" s="25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26169.39</v>
      </c>
      <c r="E79" s="1"/>
      <c r="F79" s="5">
        <f t="shared" si="29"/>
        <v>0.11794242148421086</v>
      </c>
      <c r="G79" s="1"/>
      <c r="H79" s="1">
        <f>SUM(OSRRefH22_3x_0)</f>
        <v>16000</v>
      </c>
      <c r="I79" s="1"/>
      <c r="J79" s="5">
        <f t="shared" si="30"/>
        <v>7.6588737626132081E-2</v>
      </c>
      <c r="K79" s="1"/>
      <c r="L79" s="1">
        <f t="shared" si="31"/>
        <v>10169.39</v>
      </c>
      <c r="M79" s="1"/>
      <c r="N79" s="5">
        <f t="shared" si="32"/>
        <v>0.635586875</v>
      </c>
      <c r="O79" s="13"/>
      <c r="P79" s="1">
        <f>SUM(OSRRefP22_3x_0)</f>
        <v>64404.840000000004</v>
      </c>
      <c r="Q79" s="1"/>
      <c r="R79" s="5">
        <f t="shared" si="33"/>
        <v>6.9407188182111473E-2</v>
      </c>
      <c r="S79" s="1"/>
      <c r="T79" s="1">
        <f>SUM(OSRRefT22_3x_0)</f>
        <v>68000</v>
      </c>
      <c r="U79" s="1"/>
      <c r="V79" s="5">
        <f t="shared" si="34"/>
        <v>7.640174735290417E-2</v>
      </c>
      <c r="W79" s="1"/>
      <c r="X79" s="1">
        <f t="shared" si="35"/>
        <v>-3595.1599999999962</v>
      </c>
      <c r="Y79" s="1"/>
      <c r="Z79" s="5">
        <f t="shared" si="36"/>
        <v>-5.2869999999999945E-2</v>
      </c>
    </row>
    <row r="80" spans="1:26" s="24" customFormat="1" hidden="1" outlineLevel="2" x14ac:dyDescent="0.25">
      <c r="A80" s="27"/>
      <c r="B80" s="11" t="str">
        <f>CONCATENATE("          ", "6382", " - ", "DISCOUNTS/MARK DOWNS")</f>
        <v xml:space="preserve">          6382 - DISCOUNTS/MARK DOWNS</v>
      </c>
      <c r="C80" s="11"/>
      <c r="D80" s="6">
        <v>26138.6</v>
      </c>
      <c r="E80" s="2"/>
      <c r="F80" s="7">
        <f t="shared" si="29"/>
        <v>0.11780365450655113</v>
      </c>
      <c r="G80" s="2"/>
      <c r="H80" s="6">
        <v>16000</v>
      </c>
      <c r="I80" s="2"/>
      <c r="J80" s="7">
        <f t="shared" si="30"/>
        <v>7.6588737626132081E-2</v>
      </c>
      <c r="K80" s="2"/>
      <c r="L80" s="6">
        <f t="shared" si="31"/>
        <v>10138.599999999999</v>
      </c>
      <c r="M80" s="2"/>
      <c r="N80" s="7">
        <f t="shared" si="32"/>
        <v>0.63366249999999991</v>
      </c>
      <c r="O80" s="11"/>
      <c r="P80" s="6">
        <v>64412.310000000005</v>
      </c>
      <c r="Q80" s="2"/>
      <c r="R80" s="7">
        <f t="shared" si="33"/>
        <v>6.9415238379825189E-2</v>
      </c>
      <c r="S80" s="2"/>
      <c r="T80" s="6">
        <v>68000</v>
      </c>
      <c r="U80" s="2"/>
      <c r="V80" s="7">
        <f t="shared" si="34"/>
        <v>7.640174735290417E-2</v>
      </c>
      <c r="W80" s="2"/>
      <c r="X80" s="6">
        <f t="shared" si="35"/>
        <v>-3587.6899999999951</v>
      </c>
      <c r="Y80" s="2"/>
      <c r="Z80" s="7">
        <f t="shared" si="36"/>
        <v>-5.2760147058823453E-2</v>
      </c>
    </row>
    <row r="81" spans="1:26" s="24" customFormat="1" hidden="1" outlineLevel="2" x14ac:dyDescent="0.25">
      <c r="A81" s="27"/>
      <c r="B81" s="11" t="str">
        <f>CONCATENATE("          ", "9175", " - ", "EARNED DISCOUNTS")</f>
        <v xml:space="preserve">          9175 - EARNED DISCOUNTS</v>
      </c>
      <c r="C81" s="11"/>
      <c r="D81" s="6">
        <v>30.79</v>
      </c>
      <c r="E81" s="2"/>
      <c r="F81" s="7">
        <f t="shared" si="29"/>
        <v>1.3876697765973346E-4</v>
      </c>
      <c r="G81" s="2"/>
      <c r="H81" s="6"/>
      <c r="I81" s="2"/>
      <c r="J81" s="7">
        <f t="shared" si="30"/>
        <v>0</v>
      </c>
      <c r="K81" s="2"/>
      <c r="L81" s="6">
        <f t="shared" si="31"/>
        <v>30.79</v>
      </c>
      <c r="M81" s="2"/>
      <c r="N81" s="7">
        <f t="shared" si="32"/>
        <v>0</v>
      </c>
      <c r="O81" s="11"/>
      <c r="P81" s="6">
        <v>-7.47</v>
      </c>
      <c r="Q81" s="2"/>
      <c r="R81" s="7">
        <f t="shared" si="33"/>
        <v>-8.0501977137179859E-6</v>
      </c>
      <c r="S81" s="2"/>
      <c r="T81" s="6"/>
      <c r="U81" s="2"/>
      <c r="V81" s="7">
        <f t="shared" si="34"/>
        <v>0</v>
      </c>
      <c r="W81" s="2"/>
      <c r="X81" s="6">
        <f t="shared" si="35"/>
        <v>-7.47</v>
      </c>
      <c r="Y81" s="2"/>
      <c r="Z81" s="7">
        <f t="shared" si="36"/>
        <v>0</v>
      </c>
    </row>
    <row r="82" spans="1:26" s="26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60</v>
      </c>
      <c r="E82" s="1"/>
      <c r="F82" s="5">
        <f t="shared" ref="F82:F86" si="37">IF(D$12=0,0,D82/D$12)</f>
        <v>2.7041307760909412E-4</v>
      </c>
      <c r="G82" s="1"/>
      <c r="H82" s="1">
        <f>SUM(OSRRefH22_4x_0)</f>
        <v>150</v>
      </c>
      <c r="I82" s="1"/>
      <c r="J82" s="5">
        <f t="shared" ref="J82:J86" si="38">IF(H$12=0,0,H82/H$12)</f>
        <v>7.1801941524498821E-4</v>
      </c>
      <c r="K82" s="1"/>
      <c r="L82" s="1">
        <f t="shared" ref="L82:L86" si="39">+D82-H82</f>
        <v>-90</v>
      </c>
      <c r="M82" s="1"/>
      <c r="N82" s="5">
        <f t="shared" ref="N82:N86" si="40">IF(H82=0,0,L82/H82)</f>
        <v>-0.6</v>
      </c>
      <c r="O82" s="13"/>
      <c r="P82" s="1">
        <f>SUM(OSRRefP22_4x_0)</f>
        <v>72.98</v>
      </c>
      <c r="Q82" s="1"/>
      <c r="R82" s="5">
        <f t="shared" ref="R82:R86" si="41">IF(P$12=0,0,P82/P$12)</f>
        <v>7.864838408930906E-5</v>
      </c>
      <c r="S82" s="1"/>
      <c r="T82" s="1">
        <f>SUM(OSRRefT22_4x_0)</f>
        <v>600</v>
      </c>
      <c r="U82" s="1"/>
      <c r="V82" s="5">
        <f t="shared" ref="V82:V86" si="42">IF(T$12=0,0,T82/T$12)</f>
        <v>6.7413306487856622E-4</v>
      </c>
      <c r="W82" s="1"/>
      <c r="X82" s="1">
        <f t="shared" ref="X82:X86" si="43">+P82-T82</f>
        <v>-527.02</v>
      </c>
      <c r="Y82" s="1"/>
      <c r="Z82" s="5">
        <f t="shared" ref="Z82:Z86" si="44">IF(T82=0,0,X82/T82)</f>
        <v>-0.87836666666666663</v>
      </c>
    </row>
    <row r="83" spans="1:26" s="24" customFormat="1" hidden="1" outlineLevel="2" x14ac:dyDescent="0.25">
      <c r="A83" s="27"/>
      <c r="B83" s="11" t="str">
        <f>CONCATENATE("          ", "6277", " - ", "EMPLOYEE APPRECIATION")</f>
        <v xml:space="preserve">          6277 - EMPLOYEE APPRECIATION</v>
      </c>
      <c r="C83" s="11"/>
      <c r="D83" s="6">
        <v>60</v>
      </c>
      <c r="E83" s="2"/>
      <c r="F83" s="7">
        <f t="shared" si="37"/>
        <v>2.7041307760909412E-4</v>
      </c>
      <c r="G83" s="2"/>
      <c r="H83" s="6">
        <v>150</v>
      </c>
      <c r="I83" s="2"/>
      <c r="J83" s="7">
        <f t="shared" si="38"/>
        <v>7.1801941524498821E-4</v>
      </c>
      <c r="K83" s="2"/>
      <c r="L83" s="6">
        <f t="shared" si="39"/>
        <v>-90</v>
      </c>
      <c r="M83" s="2"/>
      <c r="N83" s="7">
        <f t="shared" si="40"/>
        <v>-0.6</v>
      </c>
      <c r="O83" s="11"/>
      <c r="P83" s="6">
        <v>72.98</v>
      </c>
      <c r="Q83" s="2"/>
      <c r="R83" s="7">
        <f t="shared" si="41"/>
        <v>7.864838408930906E-5</v>
      </c>
      <c r="S83" s="2"/>
      <c r="T83" s="6">
        <v>600</v>
      </c>
      <c r="U83" s="2"/>
      <c r="V83" s="7">
        <f t="shared" si="42"/>
        <v>6.7413306487856622E-4</v>
      </c>
      <c r="W83" s="2"/>
      <c r="X83" s="6">
        <f t="shared" si="43"/>
        <v>-527.02</v>
      </c>
      <c r="Y83" s="2"/>
      <c r="Z83" s="7">
        <f t="shared" si="44"/>
        <v>-0.87836666666666663</v>
      </c>
    </row>
    <row r="84" spans="1:26" s="26" customFormat="1" outlineLevel="1" collapsed="1" x14ac:dyDescent="0.25">
      <c r="A84" s="25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70.5</v>
      </c>
      <c r="E84" s="1"/>
      <c r="F84" s="5">
        <f t="shared" si="37"/>
        <v>3.1773536619068561E-4</v>
      </c>
      <c r="G84" s="1"/>
      <c r="H84" s="1">
        <f>SUM(OSRRefH22_5x_0)</f>
        <v>50</v>
      </c>
      <c r="I84" s="1"/>
      <c r="J84" s="5">
        <f t="shared" si="38"/>
        <v>2.3933980508166275E-4</v>
      </c>
      <c r="K84" s="1"/>
      <c r="L84" s="1">
        <f t="shared" si="39"/>
        <v>20.5</v>
      </c>
      <c r="M84" s="1"/>
      <c r="N84" s="5">
        <f t="shared" si="40"/>
        <v>0.41</v>
      </c>
      <c r="O84" s="13"/>
      <c r="P84" s="1">
        <f>SUM(OSRRefP22_5x_0)</f>
        <v>70.5</v>
      </c>
      <c r="Q84" s="1"/>
      <c r="R84" s="5">
        <f t="shared" si="41"/>
        <v>7.5975761555169746E-5</v>
      </c>
      <c r="S84" s="1"/>
      <c r="T84" s="1">
        <f>SUM(OSRRefT22_5x_0)</f>
        <v>200</v>
      </c>
      <c r="U84" s="1"/>
      <c r="V84" s="5">
        <f t="shared" si="42"/>
        <v>2.2471102162618871E-4</v>
      </c>
      <c r="W84" s="1"/>
      <c r="X84" s="1">
        <f t="shared" si="43"/>
        <v>-129.5</v>
      </c>
      <c r="Y84" s="1"/>
      <c r="Z84" s="5">
        <f t="shared" si="44"/>
        <v>-0.64749999999999996</v>
      </c>
    </row>
    <row r="85" spans="1:26" s="24" customFormat="1" hidden="1" outlineLevel="2" x14ac:dyDescent="0.25">
      <c r="A85" s="27"/>
      <c r="B85" s="11" t="str">
        <f>CONCATENATE("          ", "6305", " - ", "FREIGHT OUT")</f>
        <v xml:space="preserve">          6305 - FREIGHT OUT</v>
      </c>
      <c r="C85" s="11"/>
      <c r="D85" s="6">
        <v>70</v>
      </c>
      <c r="E85" s="2"/>
      <c r="F85" s="7">
        <f t="shared" si="37"/>
        <v>3.1548192387727649E-4</v>
      </c>
      <c r="G85" s="2"/>
      <c r="H85" s="6">
        <v>50</v>
      </c>
      <c r="I85" s="2"/>
      <c r="J85" s="7">
        <f t="shared" si="38"/>
        <v>2.3933980508166275E-4</v>
      </c>
      <c r="K85" s="2"/>
      <c r="L85" s="6">
        <f t="shared" si="39"/>
        <v>20</v>
      </c>
      <c r="M85" s="2"/>
      <c r="N85" s="7">
        <f t="shared" si="40"/>
        <v>0.4</v>
      </c>
      <c r="O85" s="11"/>
      <c r="P85" s="6">
        <v>70</v>
      </c>
      <c r="Q85" s="2"/>
      <c r="R85" s="7">
        <f t="shared" si="41"/>
        <v>7.5436926366835211E-5</v>
      </c>
      <c r="S85" s="2"/>
      <c r="T85" s="6">
        <v>200</v>
      </c>
      <c r="U85" s="2"/>
      <c r="V85" s="7">
        <f t="shared" si="42"/>
        <v>2.2471102162618871E-4</v>
      </c>
      <c r="W85" s="2"/>
      <c r="X85" s="6">
        <f t="shared" si="43"/>
        <v>-130</v>
      </c>
      <c r="Y85" s="2"/>
      <c r="Z85" s="7">
        <f t="shared" si="44"/>
        <v>-0.65</v>
      </c>
    </row>
    <row r="86" spans="1:26" s="24" customFormat="1" hidden="1" outlineLevel="2" x14ac:dyDescent="0.25">
      <c r="A86" s="27"/>
      <c r="B86" s="11" t="str">
        <f>CONCATENATE("          ", "6307", " - ", "POSTAGE")</f>
        <v xml:space="preserve">          6307 - POSTAGE</v>
      </c>
      <c r="C86" s="11"/>
      <c r="D86" s="6">
        <v>0.5</v>
      </c>
      <c r="E86" s="2"/>
      <c r="F86" s="7">
        <f t="shared" si="37"/>
        <v>2.2534423134091177E-6</v>
      </c>
      <c r="G86" s="2"/>
      <c r="H86" s="6"/>
      <c r="I86" s="2"/>
      <c r="J86" s="7">
        <f t="shared" si="38"/>
        <v>0</v>
      </c>
      <c r="K86" s="2"/>
      <c r="L86" s="6">
        <f t="shared" si="39"/>
        <v>0.5</v>
      </c>
      <c r="M86" s="2"/>
      <c r="N86" s="7">
        <f t="shared" si="40"/>
        <v>0</v>
      </c>
      <c r="O86" s="11"/>
      <c r="P86" s="6">
        <v>0.5</v>
      </c>
      <c r="Q86" s="2"/>
      <c r="R86" s="7">
        <f t="shared" si="41"/>
        <v>5.3883518833453724E-7</v>
      </c>
      <c r="S86" s="2"/>
      <c r="T86" s="6"/>
      <c r="U86" s="2"/>
      <c r="V86" s="7">
        <f t="shared" si="42"/>
        <v>0</v>
      </c>
      <c r="W86" s="2"/>
      <c r="X86" s="6">
        <f t="shared" si="43"/>
        <v>0.5</v>
      </c>
      <c r="Y86" s="2"/>
      <c r="Z86" s="7">
        <f t="shared" si="44"/>
        <v>0</v>
      </c>
    </row>
    <row r="87" spans="1:26" s="26" customFormat="1" outlineLevel="1" collapsed="1" x14ac:dyDescent="0.25">
      <c r="A87" s="25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ref="F87:F98" si="45">IF(D$12=0,0,D87/D$12)</f>
        <v>0</v>
      </c>
      <c r="G87" s="1"/>
      <c r="H87" s="1">
        <f>SUM(OSRRefH22_6x_0)</f>
        <v>0</v>
      </c>
      <c r="I87" s="1"/>
      <c r="J87" s="5">
        <f t="shared" ref="J87:J98" si="46">IF(H$12=0,0,H87/H$12)</f>
        <v>0</v>
      </c>
      <c r="K87" s="1"/>
      <c r="L87" s="1">
        <f t="shared" ref="L87:L98" si="47">+D87-H87</f>
        <v>0</v>
      </c>
      <c r="M87" s="1"/>
      <c r="N87" s="5">
        <f t="shared" ref="N87:N98" si="48">IF(H87=0,0,L87/H87)</f>
        <v>0</v>
      </c>
      <c r="O87" s="13"/>
      <c r="P87" s="1">
        <f>SUM(OSRRefP22_6x_0)</f>
        <v>0</v>
      </c>
      <c r="Q87" s="1"/>
      <c r="R87" s="5">
        <f t="shared" ref="R87:R98" si="49">IF(P$12=0,0,P87/P$12)</f>
        <v>0</v>
      </c>
      <c r="S87" s="1"/>
      <c r="T87" s="1">
        <f>SUM(OSRRefT22_6x_0)</f>
        <v>0</v>
      </c>
      <c r="U87" s="1"/>
      <c r="V87" s="5">
        <f t="shared" ref="V87:V98" si="50">IF(T$12=0,0,T87/T$12)</f>
        <v>0</v>
      </c>
      <c r="W87" s="1"/>
      <c r="X87" s="1">
        <f t="shared" ref="X87:X98" si="51">+P87-T87</f>
        <v>0</v>
      </c>
      <c r="Y87" s="1"/>
      <c r="Z87" s="5">
        <f t="shared" ref="Z87:Z98" si="52">IF(T87=0,0,X87/T87)</f>
        <v>0</v>
      </c>
    </row>
    <row r="88" spans="1:26" s="24" customFormat="1" hidden="1" outlineLevel="2" x14ac:dyDescent="0.25">
      <c r="A88" s="27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45"/>
        <v>0</v>
      </c>
      <c r="G88" s="2"/>
      <c r="H88" s="6">
        <v>0</v>
      </c>
      <c r="I88" s="2"/>
      <c r="J88" s="7">
        <f t="shared" si="46"/>
        <v>0</v>
      </c>
      <c r="K88" s="2"/>
      <c r="L88" s="6">
        <f t="shared" si="47"/>
        <v>0</v>
      </c>
      <c r="M88" s="2"/>
      <c r="N88" s="7">
        <f t="shared" si="48"/>
        <v>0</v>
      </c>
      <c r="O88" s="11"/>
      <c r="P88" s="6"/>
      <c r="Q88" s="2"/>
      <c r="R88" s="7">
        <f t="shared" si="49"/>
        <v>0</v>
      </c>
      <c r="S88" s="2"/>
      <c r="T88" s="6">
        <v>0</v>
      </c>
      <c r="U88" s="2"/>
      <c r="V88" s="7">
        <f t="shared" si="50"/>
        <v>0</v>
      </c>
      <c r="W88" s="2"/>
      <c r="X88" s="6">
        <f t="shared" si="51"/>
        <v>0</v>
      </c>
      <c r="Y88" s="2"/>
      <c r="Z88" s="7">
        <f t="shared" si="52"/>
        <v>0</v>
      </c>
    </row>
    <row r="89" spans="1:26" s="26" customFormat="1" outlineLevel="1" collapsed="1" x14ac:dyDescent="0.25">
      <c r="A89" s="25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SUM(OSRRefD22_7x_0)</f>
        <v>2850</v>
      </c>
      <c r="E89" s="1"/>
      <c r="F89" s="5">
        <f t="shared" si="45"/>
        <v>1.2844621186431971E-2</v>
      </c>
      <c r="G89" s="1"/>
      <c r="H89" s="1">
        <f>SUM(OSRRefH22_7x_0)</f>
        <v>2850</v>
      </c>
      <c r="I89" s="1"/>
      <c r="J89" s="5">
        <f t="shared" si="46"/>
        <v>1.3642368889654775E-2</v>
      </c>
      <c r="K89" s="1"/>
      <c r="L89" s="1">
        <f t="shared" si="47"/>
        <v>0</v>
      </c>
      <c r="M89" s="1"/>
      <c r="N89" s="5">
        <f t="shared" si="48"/>
        <v>0</v>
      </c>
      <c r="O89" s="13"/>
      <c r="P89" s="1">
        <f>SUM(OSRRefP22_7x_0)</f>
        <v>11400</v>
      </c>
      <c r="Q89" s="1"/>
      <c r="R89" s="5">
        <f t="shared" si="49"/>
        <v>1.2285442294027449E-2</v>
      </c>
      <c r="S89" s="1"/>
      <c r="T89" s="1">
        <f>SUM(OSRRefT22_7x_0)</f>
        <v>11400</v>
      </c>
      <c r="U89" s="1"/>
      <c r="V89" s="5">
        <f t="shared" si="50"/>
        <v>1.2808528232692757E-2</v>
      </c>
      <c r="W89" s="1"/>
      <c r="X89" s="1">
        <f t="shared" si="51"/>
        <v>0</v>
      </c>
      <c r="Y89" s="1"/>
      <c r="Z89" s="5">
        <f t="shared" si="52"/>
        <v>0</v>
      </c>
    </row>
    <row r="90" spans="1:26" s="24" customFormat="1" hidden="1" outlineLevel="2" x14ac:dyDescent="0.25">
      <c r="A90" s="27"/>
      <c r="B90" s="11" t="str">
        <f>CONCATENATE("          ", "6408", " - ", "INVENTORY ADJUSTMENT")</f>
        <v xml:space="preserve">          6408 - INVENTORY ADJUSTMENT</v>
      </c>
      <c r="C90" s="11"/>
      <c r="D90" s="6">
        <v>2850</v>
      </c>
      <c r="E90" s="2"/>
      <c r="F90" s="7">
        <f t="shared" si="45"/>
        <v>1.2844621186431971E-2</v>
      </c>
      <c r="G90" s="2"/>
      <c r="H90" s="6">
        <v>2850</v>
      </c>
      <c r="I90" s="2"/>
      <c r="J90" s="7">
        <f t="shared" si="46"/>
        <v>1.3642368889654775E-2</v>
      </c>
      <c r="K90" s="2"/>
      <c r="L90" s="6">
        <f t="shared" si="47"/>
        <v>0</v>
      </c>
      <c r="M90" s="2"/>
      <c r="N90" s="7">
        <f t="shared" si="48"/>
        <v>0</v>
      </c>
      <c r="O90" s="11"/>
      <c r="P90" s="6">
        <v>11400</v>
      </c>
      <c r="Q90" s="2"/>
      <c r="R90" s="7">
        <f t="shared" si="49"/>
        <v>1.2285442294027449E-2</v>
      </c>
      <c r="S90" s="2"/>
      <c r="T90" s="6">
        <v>11400</v>
      </c>
      <c r="U90" s="2"/>
      <c r="V90" s="7">
        <f t="shared" si="50"/>
        <v>1.2808528232692757E-2</v>
      </c>
      <c r="W90" s="2"/>
      <c r="X90" s="6">
        <f t="shared" si="51"/>
        <v>0</v>
      </c>
      <c r="Y90" s="2"/>
      <c r="Z90" s="7">
        <f t="shared" si="52"/>
        <v>0</v>
      </c>
    </row>
    <row r="91" spans="1:26" s="26" customFormat="1" outlineLevel="1" collapsed="1" x14ac:dyDescent="0.25">
      <c r="A91" s="25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SUM(OSRRefD22_8x_0)</f>
        <v>0</v>
      </c>
      <c r="E91" s="1"/>
      <c r="F91" s="5">
        <f t="shared" si="45"/>
        <v>0</v>
      </c>
      <c r="G91" s="1"/>
      <c r="H91" s="1">
        <f>SUM(OSRRefH22_8x_0)</f>
        <v>250</v>
      </c>
      <c r="I91" s="1"/>
      <c r="J91" s="5">
        <f t="shared" si="46"/>
        <v>1.1966990254083138E-3</v>
      </c>
      <c r="K91" s="1"/>
      <c r="L91" s="1">
        <f t="shared" si="47"/>
        <v>-250</v>
      </c>
      <c r="M91" s="1"/>
      <c r="N91" s="5">
        <f t="shared" si="48"/>
        <v>-1</v>
      </c>
      <c r="O91" s="13"/>
      <c r="P91" s="1">
        <f>SUM(OSRRefP22_8x_0)</f>
        <v>0</v>
      </c>
      <c r="Q91" s="1"/>
      <c r="R91" s="5">
        <f t="shared" si="49"/>
        <v>0</v>
      </c>
      <c r="S91" s="1"/>
      <c r="T91" s="1">
        <f>SUM(OSRRefT22_8x_0)</f>
        <v>1750</v>
      </c>
      <c r="U91" s="1"/>
      <c r="V91" s="5">
        <f t="shared" si="50"/>
        <v>1.9662214392291515E-3</v>
      </c>
      <c r="W91" s="1"/>
      <c r="X91" s="1">
        <f t="shared" si="51"/>
        <v>-1750</v>
      </c>
      <c r="Y91" s="1"/>
      <c r="Z91" s="5">
        <f t="shared" si="52"/>
        <v>-1</v>
      </c>
    </row>
    <row r="92" spans="1:26" s="24" customFormat="1" hidden="1" outlineLevel="2" x14ac:dyDescent="0.25">
      <c r="A92" s="27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45"/>
        <v>0</v>
      </c>
      <c r="G92" s="2"/>
      <c r="H92" s="6">
        <v>250</v>
      </c>
      <c r="I92" s="2"/>
      <c r="J92" s="7">
        <f t="shared" si="46"/>
        <v>1.1966990254083138E-3</v>
      </c>
      <c r="K92" s="2"/>
      <c r="L92" s="6">
        <f t="shared" si="47"/>
        <v>-250</v>
      </c>
      <c r="M92" s="2"/>
      <c r="N92" s="7">
        <f t="shared" si="48"/>
        <v>-1</v>
      </c>
      <c r="O92" s="11"/>
      <c r="P92" s="6"/>
      <c r="Q92" s="2"/>
      <c r="R92" s="7">
        <f t="shared" si="49"/>
        <v>0</v>
      </c>
      <c r="S92" s="2"/>
      <c r="T92" s="6">
        <v>1750</v>
      </c>
      <c r="U92" s="2"/>
      <c r="V92" s="7">
        <f t="shared" si="50"/>
        <v>1.9662214392291515E-3</v>
      </c>
      <c r="W92" s="2"/>
      <c r="X92" s="6">
        <f t="shared" si="51"/>
        <v>-1750</v>
      </c>
      <c r="Y92" s="2"/>
      <c r="Z92" s="7">
        <f t="shared" si="52"/>
        <v>-1</v>
      </c>
    </row>
    <row r="93" spans="1:26" s="26" customFormat="1" outlineLevel="1" collapsed="1" x14ac:dyDescent="0.25">
      <c r="A93" s="25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0</v>
      </c>
      <c r="E93" s="1"/>
      <c r="F93" s="5">
        <f t="shared" si="45"/>
        <v>0</v>
      </c>
      <c r="G93" s="1"/>
      <c r="H93" s="1">
        <f>SUM(OSRRefH22_9x_0)</f>
        <v>50</v>
      </c>
      <c r="I93" s="1"/>
      <c r="J93" s="5">
        <f t="shared" si="46"/>
        <v>2.3933980508166275E-4</v>
      </c>
      <c r="K93" s="1"/>
      <c r="L93" s="1">
        <f t="shared" si="47"/>
        <v>-50</v>
      </c>
      <c r="M93" s="1"/>
      <c r="N93" s="5">
        <f t="shared" si="48"/>
        <v>-1</v>
      </c>
      <c r="O93" s="13"/>
      <c r="P93" s="1">
        <f>SUM(OSRRefP22_9x_0)</f>
        <v>0</v>
      </c>
      <c r="Q93" s="1"/>
      <c r="R93" s="5">
        <f t="shared" si="49"/>
        <v>0</v>
      </c>
      <c r="S93" s="1"/>
      <c r="T93" s="1">
        <f>SUM(OSRRefT22_9x_0)</f>
        <v>200</v>
      </c>
      <c r="U93" s="1"/>
      <c r="V93" s="5">
        <f t="shared" si="50"/>
        <v>2.2471102162618871E-4</v>
      </c>
      <c r="W93" s="1"/>
      <c r="X93" s="1">
        <f t="shared" si="51"/>
        <v>-200</v>
      </c>
      <c r="Y93" s="1"/>
      <c r="Z93" s="5">
        <f t="shared" si="52"/>
        <v>-1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5"/>
        <v>0</v>
      </c>
      <c r="G94" s="2"/>
      <c r="H94" s="6">
        <v>50</v>
      </c>
      <c r="I94" s="2"/>
      <c r="J94" s="7">
        <f t="shared" si="46"/>
        <v>2.3933980508166275E-4</v>
      </c>
      <c r="K94" s="2"/>
      <c r="L94" s="6">
        <f t="shared" si="47"/>
        <v>-50</v>
      </c>
      <c r="M94" s="2"/>
      <c r="N94" s="7">
        <f t="shared" si="48"/>
        <v>-1</v>
      </c>
      <c r="O94" s="11"/>
      <c r="P94" s="6"/>
      <c r="Q94" s="2"/>
      <c r="R94" s="7">
        <f t="shared" si="49"/>
        <v>0</v>
      </c>
      <c r="S94" s="2"/>
      <c r="T94" s="6">
        <v>200</v>
      </c>
      <c r="U94" s="2"/>
      <c r="V94" s="7">
        <f t="shared" si="50"/>
        <v>2.2471102162618871E-4</v>
      </c>
      <c r="W94" s="2"/>
      <c r="X94" s="6">
        <f t="shared" si="51"/>
        <v>-200</v>
      </c>
      <c r="Y94" s="2"/>
      <c r="Z94" s="7">
        <f t="shared" si="52"/>
        <v>-1</v>
      </c>
    </row>
    <row r="95" spans="1:26" s="26" customFormat="1" outlineLevel="1" collapsed="1" x14ac:dyDescent="0.25">
      <c r="A95" s="25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SUM(OSRRefD22_10x_0)</f>
        <v>882.02</v>
      </c>
      <c r="E95" s="1"/>
      <c r="F95" s="5">
        <f t="shared" si="45"/>
        <v>3.9751623785462195E-3</v>
      </c>
      <c r="G95" s="1"/>
      <c r="H95" s="1">
        <f>SUM(OSRRefH22_10x_0)</f>
        <v>5485</v>
      </c>
      <c r="I95" s="1"/>
      <c r="J95" s="5">
        <f t="shared" si="46"/>
        <v>2.6255576617458403E-2</v>
      </c>
      <c r="K95" s="1"/>
      <c r="L95" s="1">
        <f t="shared" si="47"/>
        <v>-4602.9799999999996</v>
      </c>
      <c r="M95" s="1"/>
      <c r="N95" s="5">
        <f t="shared" si="48"/>
        <v>-0.83919416590701912</v>
      </c>
      <c r="O95" s="13"/>
      <c r="P95" s="1">
        <f>SUM(OSRRefP22_10x_0)</f>
        <v>5864.84</v>
      </c>
      <c r="Q95" s="1"/>
      <c r="R95" s="5">
        <f t="shared" si="49"/>
        <v>6.3203643319038544E-3</v>
      </c>
      <c r="S95" s="1"/>
      <c r="T95" s="1">
        <f>SUM(OSRRefT22_10x_0)</f>
        <v>21940</v>
      </c>
      <c r="U95" s="1"/>
      <c r="V95" s="5">
        <f t="shared" si="50"/>
        <v>2.4650799072392902E-2</v>
      </c>
      <c r="W95" s="1"/>
      <c r="X95" s="1">
        <f t="shared" si="51"/>
        <v>-16075.16</v>
      </c>
      <c r="Y95" s="1"/>
      <c r="Z95" s="5">
        <f t="shared" si="52"/>
        <v>-0.73268732907930723</v>
      </c>
    </row>
    <row r="96" spans="1:26" s="24" customFormat="1" hidden="1" outlineLevel="2" x14ac:dyDescent="0.25">
      <c r="A96" s="27"/>
      <c r="B96" s="11" t="str">
        <f>CONCATENATE("          ", "6252", " - ", "ROYALTY DUE CSTV")</f>
        <v xml:space="preserve">          6252 - ROYALTY DUE CSTV</v>
      </c>
      <c r="C96" s="11"/>
      <c r="D96" s="6"/>
      <c r="E96" s="2"/>
      <c r="F96" s="7">
        <f t="shared" si="45"/>
        <v>0</v>
      </c>
      <c r="G96" s="2"/>
      <c r="H96" s="6">
        <v>1085</v>
      </c>
      <c r="I96" s="2"/>
      <c r="J96" s="7">
        <f t="shared" si="46"/>
        <v>5.1936737702720816E-3</v>
      </c>
      <c r="K96" s="2"/>
      <c r="L96" s="6">
        <f t="shared" si="47"/>
        <v>-1085</v>
      </c>
      <c r="M96" s="2"/>
      <c r="N96" s="7">
        <f t="shared" si="48"/>
        <v>-1</v>
      </c>
      <c r="O96" s="11"/>
      <c r="P96" s="6"/>
      <c r="Q96" s="2"/>
      <c r="R96" s="7">
        <f t="shared" si="49"/>
        <v>0</v>
      </c>
      <c r="S96" s="2"/>
      <c r="T96" s="6">
        <v>4340</v>
      </c>
      <c r="U96" s="2"/>
      <c r="V96" s="7">
        <f t="shared" si="50"/>
        <v>4.8762291692882953E-3</v>
      </c>
      <c r="W96" s="2"/>
      <c r="X96" s="6">
        <f t="shared" si="51"/>
        <v>-4340</v>
      </c>
      <c r="Y96" s="2"/>
      <c r="Z96" s="7">
        <f t="shared" si="52"/>
        <v>-1</v>
      </c>
    </row>
    <row r="97" spans="1:26" s="24" customFormat="1" hidden="1" outlineLevel="2" x14ac:dyDescent="0.25">
      <c r="A97" s="27"/>
      <c r="B97" s="11" t="str">
        <f>CONCATENATE("          ", "6253", " - ", "ROYALTY DUE ATHLETICS-LRG")</f>
        <v xml:space="preserve">          6253 - ROYALTY DUE ATHLETICS-LRG</v>
      </c>
      <c r="C97" s="11"/>
      <c r="D97" s="6"/>
      <c r="E97" s="2"/>
      <c r="F97" s="7">
        <f t="shared" si="45"/>
        <v>0</v>
      </c>
      <c r="G97" s="2"/>
      <c r="H97" s="6">
        <v>3700</v>
      </c>
      <c r="I97" s="2"/>
      <c r="J97" s="7">
        <f t="shared" si="46"/>
        <v>1.7711145576043044E-2</v>
      </c>
      <c r="K97" s="2"/>
      <c r="L97" s="6">
        <f t="shared" si="47"/>
        <v>-3700</v>
      </c>
      <c r="M97" s="2"/>
      <c r="N97" s="7">
        <f t="shared" si="48"/>
        <v>-1</v>
      </c>
      <c r="O97" s="11"/>
      <c r="P97" s="6">
        <v>4366.95</v>
      </c>
      <c r="Q97" s="2"/>
      <c r="R97" s="7">
        <f t="shared" si="49"/>
        <v>4.7061326513950143E-3</v>
      </c>
      <c r="S97" s="2"/>
      <c r="T97" s="6">
        <v>14800</v>
      </c>
      <c r="U97" s="2"/>
      <c r="V97" s="7">
        <f t="shared" si="50"/>
        <v>1.6628615600337966E-2</v>
      </c>
      <c r="W97" s="2"/>
      <c r="X97" s="6">
        <f t="shared" si="51"/>
        <v>-10433.049999999999</v>
      </c>
      <c r="Y97" s="2"/>
      <c r="Z97" s="7">
        <f t="shared" si="52"/>
        <v>-0.7049358108108108</v>
      </c>
    </row>
    <row r="98" spans="1:26" s="24" customFormat="1" hidden="1" outlineLevel="2" x14ac:dyDescent="0.25">
      <c r="A98" s="27"/>
      <c r="B98" s="11" t="str">
        <f>CONCATENATE("          ", "6254", " - ", "ROYALTY &amp; COMMISSIONS")</f>
        <v xml:space="preserve">          6254 - ROYALTY &amp; COMMISSIONS</v>
      </c>
      <c r="C98" s="11"/>
      <c r="D98" s="6">
        <v>882.02</v>
      </c>
      <c r="E98" s="2"/>
      <c r="F98" s="7">
        <f t="shared" si="45"/>
        <v>3.9751623785462195E-3</v>
      </c>
      <c r="G98" s="2"/>
      <c r="H98" s="6">
        <v>700</v>
      </c>
      <c r="I98" s="2"/>
      <c r="J98" s="7">
        <f t="shared" si="46"/>
        <v>3.3507572711432782E-3</v>
      </c>
      <c r="K98" s="2"/>
      <c r="L98" s="6">
        <f t="shared" si="47"/>
        <v>182.01999999999998</v>
      </c>
      <c r="M98" s="2"/>
      <c r="N98" s="7">
        <f t="shared" si="48"/>
        <v>0.26002857142857139</v>
      </c>
      <c r="O98" s="11"/>
      <c r="P98" s="6">
        <v>1497.89</v>
      </c>
      <c r="Q98" s="2"/>
      <c r="R98" s="7">
        <f t="shared" si="49"/>
        <v>1.6142316805088401E-3</v>
      </c>
      <c r="S98" s="2"/>
      <c r="T98" s="6">
        <v>2800</v>
      </c>
      <c r="U98" s="2"/>
      <c r="V98" s="7">
        <f t="shared" si="50"/>
        <v>3.1459543027666419E-3</v>
      </c>
      <c r="W98" s="2"/>
      <c r="X98" s="6">
        <f t="shared" si="51"/>
        <v>-1302.1099999999999</v>
      </c>
      <c r="Y98" s="2"/>
      <c r="Z98" s="7">
        <f t="shared" si="52"/>
        <v>-0.46503928571428566</v>
      </c>
    </row>
    <row r="99" spans="1:26" s="26" customFormat="1" outlineLevel="1" collapsed="1" x14ac:dyDescent="0.25">
      <c r="A99" s="25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SUM(OSRRefD22_11x_0)</f>
        <v>0</v>
      </c>
      <c r="E99" s="1"/>
      <c r="F99" s="5">
        <f t="shared" ref="F99:F101" si="53">IF(D$12=0,0,D99/D$12)</f>
        <v>0</v>
      </c>
      <c r="G99" s="1"/>
      <c r="H99" s="1">
        <f>SUM(OSRRefH22_11x_0)</f>
        <v>300</v>
      </c>
      <c r="I99" s="1"/>
      <c r="J99" s="5">
        <f t="shared" ref="J99:J101" si="54">IF(H$12=0,0,H99/H$12)</f>
        <v>1.4360388304899764E-3</v>
      </c>
      <c r="K99" s="1"/>
      <c r="L99" s="1">
        <f t="shared" ref="L99:L101" si="55">+D99-H99</f>
        <v>-300</v>
      </c>
      <c r="M99" s="1"/>
      <c r="N99" s="5">
        <f t="shared" ref="N99:N101" si="56">IF(H99=0,0,L99/H99)</f>
        <v>-1</v>
      </c>
      <c r="O99" s="13"/>
      <c r="P99" s="1">
        <f>SUM(OSRRefP22_11x_0)</f>
        <v>296.64</v>
      </c>
      <c r="Q99" s="1"/>
      <c r="R99" s="5">
        <f t="shared" ref="R99:R101" si="57">IF(P$12=0,0,P99/P$12)</f>
        <v>3.1968014053511423E-4</v>
      </c>
      <c r="S99" s="1"/>
      <c r="T99" s="1">
        <f>SUM(OSRRefT22_11x_0)</f>
        <v>2100</v>
      </c>
      <c r="U99" s="1"/>
      <c r="V99" s="5">
        <f t="shared" ref="V99:V101" si="58">IF(T$12=0,0,T99/T$12)</f>
        <v>2.3594657270749816E-3</v>
      </c>
      <c r="W99" s="1"/>
      <c r="X99" s="1">
        <f t="shared" ref="X99:X101" si="59">+P99-T99</f>
        <v>-1803.3600000000001</v>
      </c>
      <c r="Y99" s="1"/>
      <c r="Z99" s="5">
        <f t="shared" ref="Z99:Z101" si="60">IF(T99=0,0,X99/T99)</f>
        <v>-0.85874285714285725</v>
      </c>
    </row>
    <row r="100" spans="1:26" s="24" customFormat="1" hidden="1" outlineLevel="2" x14ac:dyDescent="0.25">
      <c r="A100" s="27"/>
      <c r="B100" s="11" t="str">
        <f>CONCATENATE("          ", "6258", " - ", "MEMBERSHIP DUES")</f>
        <v xml:space="preserve">          6258 - MEMBERSHIP DUES</v>
      </c>
      <c r="C100" s="11"/>
      <c r="D100" s="6"/>
      <c r="E100" s="2"/>
      <c r="F100" s="7">
        <f t="shared" si="53"/>
        <v>0</v>
      </c>
      <c r="G100" s="2"/>
      <c r="H100" s="6">
        <v>0</v>
      </c>
      <c r="I100" s="2"/>
      <c r="J100" s="7">
        <f t="shared" si="54"/>
        <v>0</v>
      </c>
      <c r="K100" s="2"/>
      <c r="L100" s="6">
        <f t="shared" si="55"/>
        <v>0</v>
      </c>
      <c r="M100" s="2"/>
      <c r="N100" s="7">
        <f t="shared" si="56"/>
        <v>0</v>
      </c>
      <c r="O100" s="11"/>
      <c r="P100" s="6"/>
      <c r="Q100" s="2"/>
      <c r="R100" s="7">
        <f t="shared" si="57"/>
        <v>0</v>
      </c>
      <c r="S100" s="2"/>
      <c r="T100" s="6">
        <v>1000</v>
      </c>
      <c r="U100" s="2"/>
      <c r="V100" s="7">
        <f t="shared" si="58"/>
        <v>1.1235551081309437E-3</v>
      </c>
      <c r="W100" s="2"/>
      <c r="X100" s="6">
        <f t="shared" si="59"/>
        <v>-1000</v>
      </c>
      <c r="Y100" s="2"/>
      <c r="Z100" s="7">
        <f t="shared" si="60"/>
        <v>-1</v>
      </c>
    </row>
    <row r="101" spans="1:26" s="24" customFormat="1" hidden="1" outlineLevel="2" x14ac:dyDescent="0.25">
      <c r="A101" s="27"/>
      <c r="B101" s="11" t="str">
        <f>CONCATENATE("          ", "6275", " - ", "SUBSCRIPTIONS")</f>
        <v xml:space="preserve">          6275 - SUBSCRIPTIONS</v>
      </c>
      <c r="C101" s="11"/>
      <c r="D101" s="6"/>
      <c r="E101" s="2"/>
      <c r="F101" s="7">
        <f t="shared" si="53"/>
        <v>0</v>
      </c>
      <c r="G101" s="2"/>
      <c r="H101" s="6">
        <v>300</v>
      </c>
      <c r="I101" s="2"/>
      <c r="J101" s="7">
        <f t="shared" si="54"/>
        <v>1.4360388304899764E-3</v>
      </c>
      <c r="K101" s="2"/>
      <c r="L101" s="6">
        <f t="shared" si="55"/>
        <v>-300</v>
      </c>
      <c r="M101" s="2"/>
      <c r="N101" s="7">
        <f t="shared" si="56"/>
        <v>-1</v>
      </c>
      <c r="O101" s="11"/>
      <c r="P101" s="6">
        <v>296.64</v>
      </c>
      <c r="Q101" s="2"/>
      <c r="R101" s="7">
        <f t="shared" si="57"/>
        <v>3.1968014053511423E-4</v>
      </c>
      <c r="S101" s="2"/>
      <c r="T101" s="6">
        <v>1100</v>
      </c>
      <c r="U101" s="2"/>
      <c r="V101" s="7">
        <f t="shared" si="58"/>
        <v>1.235910618944038E-3</v>
      </c>
      <c r="W101" s="2"/>
      <c r="X101" s="6">
        <f t="shared" si="59"/>
        <v>-803.36</v>
      </c>
      <c r="Y101" s="2"/>
      <c r="Z101" s="7">
        <f t="shared" si="60"/>
        <v>-0.73032727272727271</v>
      </c>
    </row>
    <row r="102" spans="1:26" s="26" customFormat="1" outlineLevel="1" collapsed="1" x14ac:dyDescent="0.25">
      <c r="A102" s="25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SUM(OSRRefD22_12x_0)</f>
        <v>500.04999999999995</v>
      </c>
      <c r="E102" s="1"/>
      <c r="F102" s="5">
        <f t="shared" ref="F102:F106" si="61">IF(D$12=0,0,D102/D$12)</f>
        <v>2.2536676576404586E-3</v>
      </c>
      <c r="G102" s="1"/>
      <c r="H102" s="1">
        <f>SUM(OSRRefH22_12x_0)</f>
        <v>625</v>
      </c>
      <c r="I102" s="1"/>
      <c r="J102" s="5">
        <f t="shared" ref="J102:J106" si="62">IF(H$12=0,0,H102/H$12)</f>
        <v>2.9917475635207842E-3</v>
      </c>
      <c r="K102" s="1"/>
      <c r="L102" s="1">
        <f t="shared" ref="L102:L106" si="63">+D102-H102</f>
        <v>-124.95000000000005</v>
      </c>
      <c r="M102" s="1"/>
      <c r="N102" s="5">
        <f t="shared" ref="N102:N106" si="64">IF(H102=0,0,L102/H102)</f>
        <v>-0.19992000000000007</v>
      </c>
      <c r="O102" s="13"/>
      <c r="P102" s="1">
        <f>SUM(OSRRefP22_12x_0)</f>
        <v>1933.3</v>
      </c>
      <c r="Q102" s="1"/>
      <c r="R102" s="5">
        <f t="shared" ref="R102:R106" si="65">IF(P$12=0,0,P102/P$12)</f>
        <v>2.0834601392143216E-3</v>
      </c>
      <c r="S102" s="1"/>
      <c r="T102" s="1">
        <f>SUM(OSRRefT22_12x_0)</f>
        <v>3500</v>
      </c>
      <c r="U102" s="1"/>
      <c r="V102" s="5">
        <f t="shared" ref="V102:V106" si="66">IF(T$12=0,0,T102/T$12)</f>
        <v>3.932442878458303E-3</v>
      </c>
      <c r="W102" s="1"/>
      <c r="X102" s="1">
        <f t="shared" ref="X102:X106" si="67">+P102-T102</f>
        <v>-1566.7</v>
      </c>
      <c r="Y102" s="1"/>
      <c r="Z102" s="5">
        <f t="shared" ref="Z102:Z106" si="68">IF(T102=0,0,X102/T102)</f>
        <v>-0.44762857142857143</v>
      </c>
    </row>
    <row r="103" spans="1:26" s="24" customFormat="1" hidden="1" outlineLevel="2" x14ac:dyDescent="0.25">
      <c r="A103" s="27"/>
      <c r="B103" s="11" t="str">
        <f>CONCATENATE("          ", "6234", " - ", "EXPENDABLE SUPPLIES &amp; EQUIPMEN")</f>
        <v xml:space="preserve">          6234 - EXPENDABLE SUPPLIES &amp; EQUIPMEN</v>
      </c>
      <c r="C103" s="11"/>
      <c r="D103" s="6"/>
      <c r="E103" s="2"/>
      <c r="F103" s="7">
        <f t="shared" si="61"/>
        <v>0</v>
      </c>
      <c r="G103" s="2"/>
      <c r="H103" s="6">
        <v>200</v>
      </c>
      <c r="I103" s="2"/>
      <c r="J103" s="7">
        <f t="shared" si="62"/>
        <v>9.5735922032665099E-4</v>
      </c>
      <c r="K103" s="2"/>
      <c r="L103" s="6">
        <f t="shared" si="63"/>
        <v>-200</v>
      </c>
      <c r="M103" s="2"/>
      <c r="N103" s="7">
        <f t="shared" si="64"/>
        <v>-1</v>
      </c>
      <c r="O103" s="11"/>
      <c r="P103" s="6">
        <v>-15.95</v>
      </c>
      <c r="Q103" s="2"/>
      <c r="R103" s="7">
        <f t="shared" si="65"/>
        <v>-1.7188842507871738E-5</v>
      </c>
      <c r="S103" s="2"/>
      <c r="T103" s="6">
        <v>1800</v>
      </c>
      <c r="U103" s="2"/>
      <c r="V103" s="7">
        <f t="shared" si="66"/>
        <v>2.0223991946356984E-3</v>
      </c>
      <c r="W103" s="2"/>
      <c r="X103" s="6">
        <f t="shared" si="67"/>
        <v>-1815.95</v>
      </c>
      <c r="Y103" s="2"/>
      <c r="Z103" s="7">
        <f t="shared" si="68"/>
        <v>-1.0088611111111112</v>
      </c>
    </row>
    <row r="104" spans="1:26" s="24" customFormat="1" hidden="1" outlineLevel="2" x14ac:dyDescent="0.25">
      <c r="A104" s="27"/>
      <c r="B104" s="11" t="str">
        <f>CONCATENATE("          ", "6237", " - ", "JANITORIAL SUPPLIES")</f>
        <v xml:space="preserve">          6237 - JANITORIAL SUPPLIES</v>
      </c>
      <c r="C104" s="11"/>
      <c r="D104" s="6"/>
      <c r="E104" s="2"/>
      <c r="F104" s="7">
        <f t="shared" si="61"/>
        <v>0</v>
      </c>
      <c r="G104" s="2"/>
      <c r="H104" s="6">
        <v>25</v>
      </c>
      <c r="I104" s="2"/>
      <c r="J104" s="7">
        <f t="shared" si="62"/>
        <v>1.1966990254083137E-4</v>
      </c>
      <c r="K104" s="2"/>
      <c r="L104" s="6">
        <f t="shared" si="63"/>
        <v>-25</v>
      </c>
      <c r="M104" s="2"/>
      <c r="N104" s="7">
        <f t="shared" si="64"/>
        <v>-1</v>
      </c>
      <c r="O104" s="11"/>
      <c r="P104" s="6"/>
      <c r="Q104" s="2"/>
      <c r="R104" s="7">
        <f t="shared" si="65"/>
        <v>0</v>
      </c>
      <c r="S104" s="2"/>
      <c r="T104" s="6">
        <v>100</v>
      </c>
      <c r="U104" s="2"/>
      <c r="V104" s="7">
        <f t="shared" si="66"/>
        <v>1.1235551081309436E-4</v>
      </c>
      <c r="W104" s="2"/>
      <c r="X104" s="6">
        <f t="shared" si="67"/>
        <v>-100</v>
      </c>
      <c r="Y104" s="2"/>
      <c r="Z104" s="7">
        <f t="shared" si="68"/>
        <v>-1</v>
      </c>
    </row>
    <row r="105" spans="1:26" s="24" customFormat="1" hidden="1" outlineLevel="2" x14ac:dyDescent="0.25">
      <c r="A105" s="27"/>
      <c r="B105" s="11" t="str">
        <f>CONCATENATE("          ", "6241", " - ", "OFFICE EXPENSE")</f>
        <v xml:space="preserve">          6241 - OFFICE EXPENSE</v>
      </c>
      <c r="C105" s="11"/>
      <c r="D105" s="6">
        <v>386.89</v>
      </c>
      <c r="E105" s="2"/>
      <c r="F105" s="7">
        <f t="shared" si="61"/>
        <v>1.7436685932697071E-3</v>
      </c>
      <c r="G105" s="2"/>
      <c r="H105" s="6">
        <v>200</v>
      </c>
      <c r="I105" s="2"/>
      <c r="J105" s="7">
        <f t="shared" si="62"/>
        <v>9.5735922032665099E-4</v>
      </c>
      <c r="K105" s="2"/>
      <c r="L105" s="6">
        <f t="shared" si="63"/>
        <v>186.89</v>
      </c>
      <c r="M105" s="2"/>
      <c r="N105" s="7">
        <f t="shared" si="64"/>
        <v>0.93444999999999989</v>
      </c>
      <c r="O105" s="11"/>
      <c r="P105" s="6">
        <v>1656.46</v>
      </c>
      <c r="Q105" s="2"/>
      <c r="R105" s="7">
        <f t="shared" si="65"/>
        <v>1.7851178721372551E-3</v>
      </c>
      <c r="S105" s="2"/>
      <c r="T105" s="6">
        <v>800</v>
      </c>
      <c r="U105" s="2"/>
      <c r="V105" s="7">
        <f t="shared" si="66"/>
        <v>8.9884408650475485E-4</v>
      </c>
      <c r="W105" s="2"/>
      <c r="X105" s="6">
        <f t="shared" si="67"/>
        <v>856.46</v>
      </c>
      <c r="Y105" s="2"/>
      <c r="Z105" s="7">
        <f t="shared" si="68"/>
        <v>1.0705750000000001</v>
      </c>
    </row>
    <row r="106" spans="1:26" s="24" customFormat="1" hidden="1" outlineLevel="2" x14ac:dyDescent="0.25">
      <c r="A106" s="27"/>
      <c r="B106" s="11" t="str">
        <f>CONCATENATE("          ", "6247", " - ", "STORE SUPPLIES")</f>
        <v xml:space="preserve">          6247 - STORE SUPPLIES</v>
      </c>
      <c r="C106" s="11"/>
      <c r="D106" s="6">
        <v>113.16</v>
      </c>
      <c r="E106" s="2"/>
      <c r="F106" s="7">
        <f t="shared" si="61"/>
        <v>5.0999906437075148E-4</v>
      </c>
      <c r="G106" s="2"/>
      <c r="H106" s="6">
        <v>200</v>
      </c>
      <c r="I106" s="2"/>
      <c r="J106" s="7">
        <f t="shared" si="62"/>
        <v>9.5735922032665099E-4</v>
      </c>
      <c r="K106" s="2"/>
      <c r="L106" s="6">
        <f t="shared" si="63"/>
        <v>-86.84</v>
      </c>
      <c r="M106" s="2"/>
      <c r="N106" s="7">
        <f t="shared" si="64"/>
        <v>-0.43420000000000003</v>
      </c>
      <c r="O106" s="11"/>
      <c r="P106" s="6">
        <v>292.79000000000002</v>
      </c>
      <c r="Q106" s="2"/>
      <c r="R106" s="7">
        <f t="shared" si="65"/>
        <v>3.1553110958493832E-4</v>
      </c>
      <c r="S106" s="2"/>
      <c r="T106" s="6">
        <v>800</v>
      </c>
      <c r="U106" s="2"/>
      <c r="V106" s="7">
        <f t="shared" si="66"/>
        <v>8.9884408650475485E-4</v>
      </c>
      <c r="W106" s="2"/>
      <c r="X106" s="6">
        <f t="shared" si="67"/>
        <v>-507.21</v>
      </c>
      <c r="Y106" s="2"/>
      <c r="Z106" s="7">
        <f t="shared" si="68"/>
        <v>-0.63401249999999998</v>
      </c>
    </row>
    <row r="107" spans="1:26" s="26" customFormat="1" outlineLevel="1" collapsed="1" x14ac:dyDescent="0.25">
      <c r="A107" s="25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SUM(OSRRefD22_13x_0)</f>
        <v>555.4</v>
      </c>
      <c r="E107" s="1"/>
      <c r="F107" s="5">
        <f t="shared" ref="F107:F113" si="69">IF(D$12=0,0,D107/D$12)</f>
        <v>2.503123721734848E-3</v>
      </c>
      <c r="G107" s="1"/>
      <c r="H107" s="1">
        <f>SUM(OSRRefH22_13x_0)</f>
        <v>650</v>
      </c>
      <c r="I107" s="1"/>
      <c r="J107" s="5">
        <f t="shared" ref="J107:J113" si="70">IF(H$12=0,0,H107/H$12)</f>
        <v>3.1114174660616155E-3</v>
      </c>
      <c r="K107" s="1"/>
      <c r="L107" s="1">
        <f t="shared" ref="L107:L113" si="71">+D107-H107</f>
        <v>-94.600000000000023</v>
      </c>
      <c r="M107" s="1"/>
      <c r="N107" s="5">
        <f t="shared" ref="N107:N113" si="72">IF(H107=0,0,L107/H107)</f>
        <v>-0.14553846153846156</v>
      </c>
      <c r="O107" s="13"/>
      <c r="P107" s="1">
        <f>SUM(OSRRefP22_13x_0)</f>
        <v>2603.92</v>
      </c>
      <c r="Q107" s="1"/>
      <c r="R107" s="5">
        <f t="shared" ref="R107:R113" si="73">IF(P$12=0,0,P107/P$12)</f>
        <v>2.8061674472161366E-3</v>
      </c>
      <c r="S107" s="1"/>
      <c r="T107" s="1">
        <f>SUM(OSRRefT22_13x_0)</f>
        <v>2300</v>
      </c>
      <c r="U107" s="1"/>
      <c r="V107" s="5">
        <f t="shared" ref="V107:V113" si="74">IF(T$12=0,0,T107/T$12)</f>
        <v>2.5841767487011702E-3</v>
      </c>
      <c r="W107" s="1"/>
      <c r="X107" s="1">
        <f t="shared" ref="X107:X113" si="75">+P107-T107</f>
        <v>303.92000000000007</v>
      </c>
      <c r="Y107" s="1"/>
      <c r="Z107" s="5">
        <f t="shared" ref="Z107:Z113" si="76">IF(T107=0,0,X107/T107)</f>
        <v>0.13213913043478265</v>
      </c>
    </row>
    <row r="108" spans="1:26" s="24" customFormat="1" hidden="1" outlineLevel="2" x14ac:dyDescent="0.25">
      <c r="A108" s="27"/>
      <c r="B108" s="11" t="str">
        <f>CONCATENATE("          ", "6309", " - ", "TELEPHONE")</f>
        <v xml:space="preserve">          6309 - TELEPHONE</v>
      </c>
      <c r="C108" s="11"/>
      <c r="D108" s="6">
        <v>555.4</v>
      </c>
      <c r="E108" s="2"/>
      <c r="F108" s="7">
        <f t="shared" si="69"/>
        <v>2.503123721734848E-3</v>
      </c>
      <c r="G108" s="2"/>
      <c r="H108" s="6">
        <v>650</v>
      </c>
      <c r="I108" s="2"/>
      <c r="J108" s="7">
        <f t="shared" si="70"/>
        <v>3.1114174660616155E-3</v>
      </c>
      <c r="K108" s="2"/>
      <c r="L108" s="6">
        <f t="shared" si="71"/>
        <v>-94.600000000000023</v>
      </c>
      <c r="M108" s="2"/>
      <c r="N108" s="7">
        <f t="shared" si="72"/>
        <v>-0.14553846153846156</v>
      </c>
      <c r="O108" s="11"/>
      <c r="P108" s="6">
        <v>2603.92</v>
      </c>
      <c r="Q108" s="2"/>
      <c r="R108" s="7">
        <f t="shared" si="73"/>
        <v>2.8061674472161366E-3</v>
      </c>
      <c r="S108" s="2"/>
      <c r="T108" s="6">
        <v>2300</v>
      </c>
      <c r="U108" s="2"/>
      <c r="V108" s="7">
        <f t="shared" si="74"/>
        <v>2.5841767487011702E-3</v>
      </c>
      <c r="W108" s="2"/>
      <c r="X108" s="6">
        <f t="shared" si="75"/>
        <v>303.92000000000007</v>
      </c>
      <c r="Y108" s="2"/>
      <c r="Z108" s="7">
        <f t="shared" si="76"/>
        <v>0.13213913043478265</v>
      </c>
    </row>
    <row r="109" spans="1:26" s="26" customFormat="1" outlineLevel="1" collapsed="1" x14ac:dyDescent="0.25">
      <c r="A109" s="25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SUM(OSRRefD22_14x_0)</f>
        <v>1042.56</v>
      </c>
      <c r="E109" s="1"/>
      <c r="F109" s="5">
        <f t="shared" si="69"/>
        <v>4.6986976365356193E-3</v>
      </c>
      <c r="G109" s="1"/>
      <c r="H109" s="1">
        <f>SUM(OSRRefH22_14x_0)</f>
        <v>0</v>
      </c>
      <c r="I109" s="1"/>
      <c r="J109" s="5">
        <f t="shared" si="70"/>
        <v>0</v>
      </c>
      <c r="K109" s="1"/>
      <c r="L109" s="1">
        <f t="shared" si="71"/>
        <v>1042.56</v>
      </c>
      <c r="M109" s="1"/>
      <c r="N109" s="5">
        <f t="shared" si="72"/>
        <v>0</v>
      </c>
      <c r="O109" s="13"/>
      <c r="P109" s="1">
        <f>SUM(OSRRefP22_14x_0)</f>
        <v>1146.06</v>
      </c>
      <c r="Q109" s="1"/>
      <c r="R109" s="5">
        <f t="shared" si="73"/>
        <v>1.2350749118853594E-3</v>
      </c>
      <c r="S109" s="1"/>
      <c r="T109" s="1">
        <f>SUM(OSRRefT22_14x_0)</f>
        <v>700</v>
      </c>
      <c r="U109" s="1"/>
      <c r="V109" s="5">
        <f t="shared" si="74"/>
        <v>7.8648857569166048E-4</v>
      </c>
      <c r="W109" s="1"/>
      <c r="X109" s="1">
        <f t="shared" si="75"/>
        <v>446.05999999999995</v>
      </c>
      <c r="Y109" s="1"/>
      <c r="Z109" s="5">
        <f t="shared" si="76"/>
        <v>0.63722857142857137</v>
      </c>
    </row>
    <row r="110" spans="1:26" s="24" customFormat="1" hidden="1" outlineLevel="2" x14ac:dyDescent="0.25">
      <c r="A110" s="27"/>
      <c r="B110" s="11" t="str">
        <f>CONCATENATE("          ", "6376", " - ", "TRAINING")</f>
        <v xml:space="preserve">          6376 - TRAINING</v>
      </c>
      <c r="C110" s="11"/>
      <c r="D110" s="6">
        <v>1042.56</v>
      </c>
      <c r="E110" s="2"/>
      <c r="F110" s="7">
        <f t="shared" si="69"/>
        <v>4.6986976365356193E-3</v>
      </c>
      <c r="G110" s="2"/>
      <c r="H110" s="6">
        <v>0</v>
      </c>
      <c r="I110" s="2"/>
      <c r="J110" s="7">
        <f t="shared" si="70"/>
        <v>0</v>
      </c>
      <c r="K110" s="2"/>
      <c r="L110" s="6">
        <f t="shared" si="71"/>
        <v>1042.56</v>
      </c>
      <c r="M110" s="2"/>
      <c r="N110" s="7">
        <f t="shared" si="72"/>
        <v>0</v>
      </c>
      <c r="O110" s="11"/>
      <c r="P110" s="6">
        <v>1146.06</v>
      </c>
      <c r="Q110" s="2"/>
      <c r="R110" s="7">
        <f t="shared" si="73"/>
        <v>1.2350749118853594E-3</v>
      </c>
      <c r="S110" s="2"/>
      <c r="T110" s="6">
        <v>700</v>
      </c>
      <c r="U110" s="2"/>
      <c r="V110" s="7">
        <f t="shared" si="74"/>
        <v>7.8648857569166048E-4</v>
      </c>
      <c r="W110" s="2"/>
      <c r="X110" s="6">
        <f t="shared" si="75"/>
        <v>446.05999999999995</v>
      </c>
      <c r="Y110" s="2"/>
      <c r="Z110" s="7">
        <f t="shared" si="76"/>
        <v>0.63722857142857137</v>
      </c>
    </row>
    <row r="111" spans="1:26" s="26" customFormat="1" outlineLevel="1" collapsed="1" x14ac:dyDescent="0.25">
      <c r="A111" s="25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SUM(OSRRefD22_15x_0)</f>
        <v>107.04</v>
      </c>
      <c r="E111" s="1"/>
      <c r="F111" s="5">
        <f t="shared" si="69"/>
        <v>4.8241693045462394E-4</v>
      </c>
      <c r="G111" s="1"/>
      <c r="H111" s="1">
        <f>SUM(OSRRefH22_15x_0)</f>
        <v>50</v>
      </c>
      <c r="I111" s="1"/>
      <c r="J111" s="5">
        <f t="shared" si="70"/>
        <v>2.3933980508166275E-4</v>
      </c>
      <c r="K111" s="1"/>
      <c r="L111" s="1">
        <f t="shared" si="71"/>
        <v>57.040000000000006</v>
      </c>
      <c r="M111" s="1"/>
      <c r="N111" s="5">
        <f t="shared" si="72"/>
        <v>1.1408</v>
      </c>
      <c r="O111" s="13"/>
      <c r="P111" s="1">
        <f>SUM(OSRRefP22_15x_0)</f>
        <v>107.04</v>
      </c>
      <c r="Q111" s="1"/>
      <c r="R111" s="5">
        <f t="shared" si="73"/>
        <v>1.1535383711865774E-4</v>
      </c>
      <c r="S111" s="1"/>
      <c r="T111" s="1">
        <f>SUM(OSRRefT22_15x_0)</f>
        <v>200</v>
      </c>
      <c r="U111" s="1"/>
      <c r="V111" s="5">
        <f t="shared" si="74"/>
        <v>2.2471102162618871E-4</v>
      </c>
      <c r="W111" s="1"/>
      <c r="X111" s="1">
        <f t="shared" si="75"/>
        <v>-92.96</v>
      </c>
      <c r="Y111" s="1"/>
      <c r="Z111" s="5">
        <f t="shared" si="76"/>
        <v>-0.46479999999999999</v>
      </c>
    </row>
    <row r="112" spans="1:26" s="24" customFormat="1" hidden="1" outlineLevel="2" x14ac:dyDescent="0.25">
      <c r="A112" s="27"/>
      <c r="B112" s="11" t="str">
        <f>CONCATENATE("          ", "6292", " - ", "TRAVEL/CONFERENCE")</f>
        <v xml:space="preserve">          6292 - TRAVEL/CONFERENCE</v>
      </c>
      <c r="C112" s="11"/>
      <c r="D112" s="6">
        <v>107.04</v>
      </c>
      <c r="E112" s="2"/>
      <c r="F112" s="7">
        <f t="shared" si="69"/>
        <v>4.8241693045462394E-4</v>
      </c>
      <c r="G112" s="2"/>
      <c r="H112" s="6"/>
      <c r="I112" s="2"/>
      <c r="J112" s="7">
        <f t="shared" si="70"/>
        <v>0</v>
      </c>
      <c r="K112" s="2"/>
      <c r="L112" s="6">
        <f t="shared" si="71"/>
        <v>107.04</v>
      </c>
      <c r="M112" s="2"/>
      <c r="N112" s="7">
        <f t="shared" si="72"/>
        <v>0</v>
      </c>
      <c r="O112" s="11"/>
      <c r="P112" s="6">
        <v>107.04</v>
      </c>
      <c r="Q112" s="2"/>
      <c r="R112" s="7">
        <f t="shared" si="73"/>
        <v>1.1535383711865774E-4</v>
      </c>
      <c r="S112" s="2"/>
      <c r="T112" s="6"/>
      <c r="U112" s="2"/>
      <c r="V112" s="7">
        <f t="shared" si="74"/>
        <v>0</v>
      </c>
      <c r="W112" s="2"/>
      <c r="X112" s="6">
        <f t="shared" si="75"/>
        <v>107.04</v>
      </c>
      <c r="Y112" s="2"/>
      <c r="Z112" s="7">
        <f t="shared" si="76"/>
        <v>0</v>
      </c>
    </row>
    <row r="113" spans="1:26" s="24" customFormat="1" hidden="1" outlineLevel="2" x14ac:dyDescent="0.25">
      <c r="A113" s="27"/>
      <c r="B113" s="11" t="str">
        <f>CONCATENATE("          ", "6294", " - ", "TRAVEL OPERATIONAL")</f>
        <v xml:space="preserve">          6294 - TRAVEL OPERATIONAL</v>
      </c>
      <c r="C113" s="11"/>
      <c r="D113" s="6"/>
      <c r="E113" s="2"/>
      <c r="F113" s="7">
        <f t="shared" si="69"/>
        <v>0</v>
      </c>
      <c r="G113" s="2"/>
      <c r="H113" s="6">
        <v>50</v>
      </c>
      <c r="I113" s="2"/>
      <c r="J113" s="7">
        <f t="shared" si="70"/>
        <v>2.3933980508166275E-4</v>
      </c>
      <c r="K113" s="2"/>
      <c r="L113" s="6">
        <f t="shared" si="71"/>
        <v>-50</v>
      </c>
      <c r="M113" s="2"/>
      <c r="N113" s="7">
        <f t="shared" si="72"/>
        <v>-1</v>
      </c>
      <c r="O113" s="11"/>
      <c r="P113" s="6"/>
      <c r="Q113" s="2"/>
      <c r="R113" s="7">
        <f t="shared" si="73"/>
        <v>0</v>
      </c>
      <c r="S113" s="2"/>
      <c r="T113" s="6">
        <v>200</v>
      </c>
      <c r="U113" s="2"/>
      <c r="V113" s="7">
        <f t="shared" si="74"/>
        <v>2.2471102162618871E-4</v>
      </c>
      <c r="W113" s="2"/>
      <c r="X113" s="6">
        <f t="shared" si="75"/>
        <v>-200</v>
      </c>
      <c r="Y113" s="2"/>
      <c r="Z113" s="7">
        <f t="shared" si="76"/>
        <v>-1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9" t="s">
        <v>0</v>
      </c>
      <c r="C115" s="10"/>
      <c r="D115" s="4">
        <f>SUM(OSRRefD25x_0)</f>
        <v>0</v>
      </c>
      <c r="E115" s="4"/>
      <c r="F115" s="12">
        <f t="shared" ref="F115:F118" si="77">IF(D$12=0,0,D115/D$12)</f>
        <v>0</v>
      </c>
      <c r="G115" s="4"/>
      <c r="H115" s="4">
        <f>SUM(OSRRefH25x_0)</f>
        <v>8625</v>
      </c>
      <c r="I115" s="4"/>
      <c r="J115" s="12">
        <f t="shared" ref="J115:J118" si="78">IF(H$12=0,0,H115/H$12)</f>
        <v>4.1286116376586822E-2</v>
      </c>
      <c r="K115" s="4"/>
      <c r="L115" s="4">
        <f t="shared" ref="L115:L118" si="79">+D115-H115</f>
        <v>-8625</v>
      </c>
      <c r="M115" s="4"/>
      <c r="N115" s="12">
        <f t="shared" ref="N115:N118" si="80">IF(H115=0,0,L115/H115)</f>
        <v>-1</v>
      </c>
      <c r="O115" s="10"/>
      <c r="P115" s="4">
        <f>SUM(OSRRefP25x_0)</f>
        <v>14396.98</v>
      </c>
      <c r="Q115" s="4"/>
      <c r="R115" s="12">
        <f t="shared" ref="R115:R118" si="81">IF(P$12=0,0,P115/P$12)</f>
        <v>1.5515198859497131E-2</v>
      </c>
      <c r="S115" s="4"/>
      <c r="T115" s="4">
        <f>SUM(OSRRefT25x_0)</f>
        <v>34500</v>
      </c>
      <c r="U115" s="4"/>
      <c r="V115" s="12">
        <f t="shared" ref="V115:V118" si="82">IF(T$12=0,0,T115/T$12)</f>
        <v>3.8762651230517552E-2</v>
      </c>
      <c r="W115" s="4"/>
      <c r="X115" s="4">
        <f t="shared" ref="X115:X118" si="83">+P115-T115</f>
        <v>-20103.02</v>
      </c>
      <c r="Y115" s="4"/>
      <c r="Z115" s="12">
        <f t="shared" ref="Z115:Z118" si="84">IF(T115=0,0,X115/T115)</f>
        <v>-0.58269623188405795</v>
      </c>
    </row>
    <row r="116" spans="1:26" s="24" customFormat="1" hidden="1" outlineLevel="1" x14ac:dyDescent="0.25">
      <c r="A116" s="44"/>
      <c r="B116" s="11" t="str">
        <f>CONCATENATE("          ", "9150", " - ", "MISC. INCOME")</f>
        <v xml:space="preserve">          9150 - MISC. INCOME</v>
      </c>
      <c r="C116" s="11"/>
      <c r="D116" s="2">
        <f t="shared" ref="D116:D118" si="85">0</f>
        <v>0</v>
      </c>
      <c r="E116" s="2"/>
      <c r="F116" s="19">
        <f t="shared" si="77"/>
        <v>0</v>
      </c>
      <c r="G116" s="2"/>
      <c r="H116" s="2">
        <v>7725</v>
      </c>
      <c r="I116" s="2"/>
      <c r="J116" s="19">
        <f t="shared" si="78"/>
        <v>3.6977999885116894E-2</v>
      </c>
      <c r="K116" s="2"/>
      <c r="L116" s="2">
        <f t="shared" si="79"/>
        <v>-7725</v>
      </c>
      <c r="M116" s="2"/>
      <c r="N116" s="19">
        <f t="shared" si="80"/>
        <v>-1</v>
      </c>
      <c r="O116" s="11"/>
      <c r="P116" s="2">
        <f>--14396.98</f>
        <v>14396.98</v>
      </c>
      <c r="Q116" s="2"/>
      <c r="R116" s="19">
        <f t="shared" si="81"/>
        <v>1.5515198859497131E-2</v>
      </c>
      <c r="S116" s="2"/>
      <c r="T116" s="2">
        <v>30900</v>
      </c>
      <c r="U116" s="2"/>
      <c r="V116" s="19">
        <f t="shared" si="82"/>
        <v>3.4717852841246157E-2</v>
      </c>
      <c r="W116" s="2"/>
      <c r="X116" s="2">
        <f t="shared" si="83"/>
        <v>-16503.02</v>
      </c>
      <c r="Y116" s="2"/>
      <c r="Z116" s="19">
        <f t="shared" si="84"/>
        <v>-0.53407831715210352</v>
      </c>
    </row>
    <row r="117" spans="1:26" s="24" customFormat="1" hidden="1" outlineLevel="1" x14ac:dyDescent="0.25">
      <c r="A117" s="44"/>
      <c r="B117" s="11" t="str">
        <f>CONCATENATE("          ", "9151", " - ", "MISC. INCOME")</f>
        <v xml:space="preserve">          9151 - MISC. INCOME</v>
      </c>
      <c r="C117" s="11"/>
      <c r="D117" s="2">
        <f t="shared" si="85"/>
        <v>0</v>
      </c>
      <c r="E117" s="2"/>
      <c r="F117" s="19">
        <f t="shared" si="77"/>
        <v>0</v>
      </c>
      <c r="G117" s="2"/>
      <c r="H117" s="2">
        <v>100</v>
      </c>
      <c r="I117" s="2"/>
      <c r="J117" s="19">
        <f t="shared" si="78"/>
        <v>4.7867961016332549E-4</v>
      </c>
      <c r="K117" s="2"/>
      <c r="L117" s="2">
        <f t="shared" si="79"/>
        <v>-100</v>
      </c>
      <c r="M117" s="2"/>
      <c r="N117" s="19">
        <f t="shared" si="80"/>
        <v>-1</v>
      </c>
      <c r="O117" s="11"/>
      <c r="P117" s="2">
        <f t="shared" ref="P117:P118" si="86">0</f>
        <v>0</v>
      </c>
      <c r="Q117" s="2"/>
      <c r="R117" s="19">
        <f t="shared" si="81"/>
        <v>0</v>
      </c>
      <c r="S117" s="2"/>
      <c r="T117" s="2">
        <v>400</v>
      </c>
      <c r="U117" s="2"/>
      <c r="V117" s="19">
        <f t="shared" si="82"/>
        <v>4.4942204325237742E-4</v>
      </c>
      <c r="W117" s="2"/>
      <c r="X117" s="2">
        <f t="shared" si="83"/>
        <v>-400</v>
      </c>
      <c r="Y117" s="2"/>
      <c r="Z117" s="19">
        <f t="shared" si="84"/>
        <v>-1</v>
      </c>
    </row>
    <row r="118" spans="1:26" s="24" customFormat="1" hidden="1" outlineLevel="1" x14ac:dyDescent="0.25">
      <c r="A118" s="44"/>
      <c r="B118" s="11" t="str">
        <f>CONCATENATE("          ", "9160", " - ", "MISC. INCOME")</f>
        <v xml:space="preserve">          9160 - MISC. INCOME</v>
      </c>
      <c r="C118" s="11"/>
      <c r="D118" s="2">
        <f t="shared" si="85"/>
        <v>0</v>
      </c>
      <c r="E118" s="2"/>
      <c r="F118" s="19">
        <f t="shared" si="77"/>
        <v>0</v>
      </c>
      <c r="G118" s="2"/>
      <c r="H118" s="2">
        <v>800</v>
      </c>
      <c r="I118" s="2"/>
      <c r="J118" s="19">
        <f t="shared" si="78"/>
        <v>3.8294368813066039E-3</v>
      </c>
      <c r="K118" s="2"/>
      <c r="L118" s="2">
        <f t="shared" si="79"/>
        <v>-800</v>
      </c>
      <c r="M118" s="2"/>
      <c r="N118" s="19">
        <f t="shared" si="80"/>
        <v>-1</v>
      </c>
      <c r="O118" s="11"/>
      <c r="P118" s="2">
        <f t="shared" si="86"/>
        <v>0</v>
      </c>
      <c r="Q118" s="2"/>
      <c r="R118" s="19">
        <f t="shared" si="81"/>
        <v>0</v>
      </c>
      <c r="S118" s="2"/>
      <c r="T118" s="2">
        <v>3200</v>
      </c>
      <c r="U118" s="2"/>
      <c r="V118" s="19">
        <f t="shared" si="82"/>
        <v>3.5953763460190194E-3</v>
      </c>
      <c r="W118" s="2"/>
      <c r="X118" s="2">
        <f t="shared" si="83"/>
        <v>-3200</v>
      </c>
      <c r="Y118" s="2"/>
      <c r="Z118" s="19">
        <f t="shared" si="84"/>
        <v>-1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3</v>
      </c>
      <c r="C120" s="28"/>
      <c r="D120" s="22">
        <f>+D53-D55+D115</f>
        <v>41821.009999999966</v>
      </c>
      <c r="E120" s="14"/>
      <c r="F120" s="20">
        <f>IF(D$12=0,0,D120/D$12)</f>
        <v>0.18848246704701155</v>
      </c>
      <c r="G120" s="14"/>
      <c r="H120" s="22">
        <f>+H53-H55+H115</f>
        <v>66156.349542194715</v>
      </c>
      <c r="I120" s="14"/>
      <c r="J120" s="20">
        <f>IF(H$12=0,0,H120/H$12)</f>
        <v>0.31667695608686464</v>
      </c>
      <c r="K120" s="16"/>
      <c r="L120" s="22">
        <f>+D120-H120</f>
        <v>-24335.33954219475</v>
      </c>
      <c r="M120" s="16"/>
      <c r="N120" s="20">
        <f>IF(H120=0,0,L120/H120)</f>
        <v>-0.36784586378475431</v>
      </c>
      <c r="O120" s="29"/>
      <c r="P120" s="22">
        <f>+P53-P55+P115</f>
        <v>281179.42999999982</v>
      </c>
      <c r="Q120" s="14"/>
      <c r="R120" s="20">
        <f>IF(P$12=0,0,P120/P$12)</f>
        <v>0.30301874223969544</v>
      </c>
      <c r="S120" s="14"/>
      <c r="T120" s="22">
        <f>+T53-T55+T115</f>
        <v>291428.80694940098</v>
      </c>
      <c r="U120" s="14"/>
      <c r="V120" s="20">
        <f>IF(T$12=0,0,T120/T$12)</f>
        <v>0.32743632470450612</v>
      </c>
      <c r="W120" s="16"/>
      <c r="X120" s="22">
        <f>+P120-T120</f>
        <v>-10249.376949401165</v>
      </c>
      <c r="Y120" s="16"/>
      <c r="Z120" s="20">
        <f>IF(T120=0,0,X120/T120)</f>
        <v>-3.5169402286235558E-2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17568.990000000002</v>
      </c>
      <c r="E122" s="4"/>
      <c r="F122" s="12">
        <f>IF(D$12=0,0,D122/D$12)</f>
        <v>7.9181410939723321E-2</v>
      </c>
      <c r="G122" s="4"/>
      <c r="H122" s="4">
        <v>21029</v>
      </c>
      <c r="I122" s="4"/>
      <c r="J122" s="12">
        <f>IF(H$12=0,0,H122/H$12)</f>
        <v>0.10066153522124571</v>
      </c>
      <c r="K122" s="4"/>
      <c r="L122" s="4">
        <f>+D122-H122</f>
        <v>-3460.0099999999984</v>
      </c>
      <c r="M122" s="4"/>
      <c r="N122" s="12">
        <f>IF(H122=0,0,L122/H122)</f>
        <v>-0.16453516572352458</v>
      </c>
      <c r="O122" s="10"/>
      <c r="P122" s="4">
        <v>93407.549999999988</v>
      </c>
      <c r="Q122" s="4"/>
      <c r="R122" s="12">
        <f>IF(P$12=0,0,P122/P$12)</f>
        <v>0.10066254959223539</v>
      </c>
      <c r="S122" s="4"/>
      <c r="T122" s="4">
        <v>107181</v>
      </c>
      <c r="U122" s="4"/>
      <c r="V122" s="12">
        <f>IF(T$12=0,0,T122/T$12)</f>
        <v>0.12042376004458266</v>
      </c>
      <c r="W122" s="4"/>
      <c r="X122" s="4">
        <f>+P122-T122</f>
        <v>-13773.450000000012</v>
      </c>
      <c r="Y122" s="4"/>
      <c r="Z122" s="12">
        <f>IF(T122=0,0,X122/T122)</f>
        <v>-0.12850645170319377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4</v>
      </c>
      <c r="C124" s="28"/>
      <c r="D124" s="31">
        <f>+D120-D122</f>
        <v>24252.019999999964</v>
      </c>
      <c r="E124" s="14"/>
      <c r="F124" s="33">
        <f>IF(D$12=0,0,D124/D$12)</f>
        <v>0.10930105610728821</v>
      </c>
      <c r="G124" s="14"/>
      <c r="H124" s="31">
        <f>+H120-H122</f>
        <v>45127.349542194715</v>
      </c>
      <c r="I124" s="14"/>
      <c r="J124" s="33">
        <f>IF(H$12=0,0,H124/H$12)</f>
        <v>0.21601542086561892</v>
      </c>
      <c r="K124" s="16"/>
      <c r="L124" s="31">
        <f>D124-H124</f>
        <v>-20875.329542194751</v>
      </c>
      <c r="M124" s="16"/>
      <c r="N124" s="33">
        <f>IF(H124=0,0,L124/H124)</f>
        <v>-0.46258709527525033</v>
      </c>
      <c r="O124" s="29"/>
      <c r="P124" s="31">
        <f>+P120-P122</f>
        <v>187771.87999999983</v>
      </c>
      <c r="Q124" s="14"/>
      <c r="R124" s="33">
        <f>IF(P$12=0,0,P124/P$12)</f>
        <v>0.20235619264746008</v>
      </c>
      <c r="S124" s="14"/>
      <c r="T124" s="31">
        <f>+T120-T122</f>
        <v>184247.80694940098</v>
      </c>
      <c r="U124" s="14"/>
      <c r="V124" s="33">
        <f>IF(T$12=0,0,T124/T$12)</f>
        <v>0.20701256465992343</v>
      </c>
      <c r="W124" s="16"/>
      <c r="X124" s="31">
        <f>P124-T124</f>
        <v>3524.0730505988467</v>
      </c>
      <c r="Y124" s="16"/>
      <c r="Z124" s="33">
        <f>IF(T124=0,0,X124/T124)</f>
        <v>1.9126811379451832E-2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5</v>
      </c>
      <c r="C127" s="28"/>
      <c r="D127" s="32">
        <f>SUM(D124:D126)</f>
        <v>24252.019999999964</v>
      </c>
      <c r="E127" s="14"/>
      <c r="F127" s="34">
        <f>IF(D$12=0,0,D127/D$12)</f>
        <v>0.10930105610728821</v>
      </c>
      <c r="G127" s="14"/>
      <c r="H127" s="32">
        <f>SUM(H124:H126)</f>
        <v>45127.349542194715</v>
      </c>
      <c r="I127" s="14"/>
      <c r="J127" s="34">
        <f>IF(H$12=0,0,H127/H$12)</f>
        <v>0.21601542086561892</v>
      </c>
      <c r="K127" s="16"/>
      <c r="L127" s="32">
        <f>+D127-H127</f>
        <v>-20875.329542194751</v>
      </c>
      <c r="M127" s="16"/>
      <c r="N127" s="34">
        <f>IF(H127=0,0,L127/H127)</f>
        <v>-0.46258709527525033</v>
      </c>
      <c r="O127" s="29"/>
      <c r="P127" s="32">
        <f>SUM(P124:P126)</f>
        <v>187771.87999999983</v>
      </c>
      <c r="Q127" s="14"/>
      <c r="R127" s="34">
        <f>IF(P$12=0,0,P127/P$12)</f>
        <v>0.20235619264746008</v>
      </c>
      <c r="S127" s="14"/>
      <c r="T127" s="32">
        <f>SUM(T124:T126)</f>
        <v>184247.80694940098</v>
      </c>
      <c r="U127" s="14"/>
      <c r="V127" s="34">
        <f>IF(T$12=0,0,T127/T$12)</f>
        <v>0.20701256465992343</v>
      </c>
      <c r="W127" s="16"/>
      <c r="X127" s="32">
        <f>+P127-T127</f>
        <v>3524.0730505988467</v>
      </c>
      <c r="Y127" s="16"/>
      <c r="Z127" s="34">
        <f>IF(T127=0,0,X127/T127)</f>
        <v>1.9126811379451832E-2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60">
        <v>43791.348211921293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4" t="s">
        <v>314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55"/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305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57527.47</v>
      </c>
      <c r="E12" s="4"/>
      <c r="F12" s="12"/>
      <c r="G12" s="4"/>
      <c r="H12" s="4">
        <f>SUM(OSRRefH13x_0)</f>
        <v>55575</v>
      </c>
      <c r="I12" s="4"/>
      <c r="J12" s="12"/>
      <c r="K12" s="4"/>
      <c r="L12" s="4">
        <f t="shared" ref="L12:L28" si="0">+D12-H12</f>
        <v>1952.4700000000012</v>
      </c>
      <c r="M12" s="4"/>
      <c r="N12" s="12">
        <f t="shared" ref="N12:N28" si="1">IF(H12=0,0,L12/H12)</f>
        <v>3.5132163742690077E-2</v>
      </c>
      <c r="O12" s="10"/>
      <c r="P12" s="4">
        <f>SUM(OSRRefP13x_0)</f>
        <v>229491.71</v>
      </c>
      <c r="Q12" s="4"/>
      <c r="R12" s="12"/>
      <c r="S12" s="4"/>
      <c r="T12" s="4">
        <f>SUM(OSRRefT13x_0)</f>
        <v>261012.5</v>
      </c>
      <c r="U12" s="4"/>
      <c r="V12" s="12"/>
      <c r="W12" s="4"/>
      <c r="X12" s="4">
        <f t="shared" ref="X12:X28" si="2">+P12-T12</f>
        <v>-31520.790000000008</v>
      </c>
      <c r="Y12" s="4"/>
      <c r="Z12" s="12">
        <f t="shared" ref="Z12:Z28" si="3">IF(T12=0,0,X12/T12)</f>
        <v>-0.1207635266510225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45125</v>
      </c>
      <c r="I13" s="2"/>
      <c r="J13" s="19"/>
      <c r="K13" s="2"/>
      <c r="L13" s="2">
        <f t="shared" si="0"/>
        <v>-45125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211137.5</v>
      </c>
      <c r="U13" s="2"/>
      <c r="V13" s="19"/>
      <c r="W13" s="2"/>
      <c r="X13" s="2">
        <f t="shared" si="2"/>
        <v>-211137.5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--1480.05</f>
        <v>1480.05</v>
      </c>
      <c r="E14" s="2"/>
      <c r="F14" s="19"/>
      <c r="G14" s="2"/>
      <c r="H14" s="2"/>
      <c r="I14" s="2"/>
      <c r="J14" s="19"/>
      <c r="K14" s="2"/>
      <c r="L14" s="2">
        <f t="shared" si="0"/>
        <v>1480.05</v>
      </c>
      <c r="M14" s="2"/>
      <c r="N14" s="19">
        <f t="shared" si="1"/>
        <v>0</v>
      </c>
      <c r="O14" s="11"/>
      <c r="P14" s="2">
        <f>--96774.25</f>
        <v>96774.25</v>
      </c>
      <c r="Q14" s="2"/>
      <c r="R14" s="19"/>
      <c r="S14" s="2"/>
      <c r="T14" s="2"/>
      <c r="U14" s="2"/>
      <c r="V14" s="19"/>
      <c r="W14" s="2"/>
      <c r="X14" s="2">
        <f t="shared" si="2"/>
        <v>96774.25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--12160.33</f>
        <v>12160.33</v>
      </c>
      <c r="E15" s="2"/>
      <c r="F15" s="19"/>
      <c r="G15" s="2"/>
      <c r="H15" s="2"/>
      <c r="I15" s="2"/>
      <c r="J15" s="19"/>
      <c r="K15" s="2"/>
      <c r="L15" s="2">
        <f t="shared" si="0"/>
        <v>12160.33</v>
      </c>
      <c r="M15" s="2"/>
      <c r="N15" s="19">
        <f t="shared" si="1"/>
        <v>0</v>
      </c>
      <c r="O15" s="11"/>
      <c r="P15" s="2">
        <f>--31918.22</f>
        <v>31918.22</v>
      </c>
      <c r="Q15" s="2"/>
      <c r="R15" s="19"/>
      <c r="S15" s="2"/>
      <c r="T15" s="2"/>
      <c r="U15" s="2"/>
      <c r="V15" s="19"/>
      <c r="W15" s="2"/>
      <c r="X15" s="2">
        <f t="shared" si="2"/>
        <v>31918.22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--2.55</f>
        <v>2.5499999999999998</v>
      </c>
      <c r="E16" s="2"/>
      <c r="F16" s="19"/>
      <c r="G16" s="2"/>
      <c r="H16" s="2"/>
      <c r="I16" s="2"/>
      <c r="J16" s="19"/>
      <c r="K16" s="2"/>
      <c r="L16" s="2">
        <f t="shared" si="0"/>
        <v>2.5499999999999998</v>
      </c>
      <c r="M16" s="2"/>
      <c r="N16" s="19">
        <f t="shared" si="1"/>
        <v>0</v>
      </c>
      <c r="O16" s="11"/>
      <c r="P16" s="2">
        <f>--98.28</f>
        <v>98.28</v>
      </c>
      <c r="Q16" s="2"/>
      <c r="R16" s="19"/>
      <c r="S16" s="2"/>
      <c r="T16" s="2"/>
      <c r="U16" s="2"/>
      <c r="V16" s="19"/>
      <c r="W16" s="2"/>
      <c r="X16" s="2">
        <f t="shared" si="2"/>
        <v>98.28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--402.65</f>
        <v>402.65</v>
      </c>
      <c r="E17" s="2"/>
      <c r="F17" s="19"/>
      <c r="G17" s="2"/>
      <c r="H17" s="2"/>
      <c r="I17" s="2"/>
      <c r="J17" s="19"/>
      <c r="K17" s="2"/>
      <c r="L17" s="2">
        <f t="shared" si="0"/>
        <v>402.65</v>
      </c>
      <c r="M17" s="2"/>
      <c r="N17" s="19">
        <f t="shared" si="1"/>
        <v>0</v>
      </c>
      <c r="O17" s="11"/>
      <c r="P17" s="2">
        <f>--1374</f>
        <v>1374</v>
      </c>
      <c r="Q17" s="2"/>
      <c r="R17" s="19"/>
      <c r="S17" s="2"/>
      <c r="T17" s="2"/>
      <c r="U17" s="2"/>
      <c r="V17" s="19"/>
      <c r="W17" s="2"/>
      <c r="X17" s="2">
        <f t="shared" si="2"/>
        <v>1374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>--1178.45</f>
        <v>1178.45</v>
      </c>
      <c r="E18" s="2"/>
      <c r="F18" s="19"/>
      <c r="G18" s="2"/>
      <c r="H18" s="2"/>
      <c r="I18" s="2"/>
      <c r="J18" s="19"/>
      <c r="K18" s="2"/>
      <c r="L18" s="2">
        <f t="shared" si="0"/>
        <v>1178.45</v>
      </c>
      <c r="M18" s="2"/>
      <c r="N18" s="19">
        <f t="shared" si="1"/>
        <v>0</v>
      </c>
      <c r="O18" s="11"/>
      <c r="P18" s="2">
        <f>--5091.03</f>
        <v>5091.03</v>
      </c>
      <c r="Q18" s="2"/>
      <c r="R18" s="19"/>
      <c r="S18" s="2"/>
      <c r="T18" s="2"/>
      <c r="U18" s="2"/>
      <c r="V18" s="19"/>
      <c r="W18" s="2"/>
      <c r="X18" s="2">
        <f t="shared" si="2"/>
        <v>5091.03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--40.79</f>
        <v>40.79</v>
      </c>
      <c r="E19" s="2"/>
      <c r="F19" s="19"/>
      <c r="G19" s="2"/>
      <c r="H19" s="2"/>
      <c r="I19" s="2"/>
      <c r="J19" s="19"/>
      <c r="K19" s="2"/>
      <c r="L19" s="2">
        <f t="shared" si="0"/>
        <v>40.79</v>
      </c>
      <c r="M19" s="2"/>
      <c r="N19" s="19">
        <f t="shared" si="1"/>
        <v>0</v>
      </c>
      <c r="O19" s="11"/>
      <c r="P19" s="2">
        <f>--217.88</f>
        <v>217.88</v>
      </c>
      <c r="Q19" s="2"/>
      <c r="R19" s="19"/>
      <c r="S19" s="2"/>
      <c r="T19" s="2"/>
      <c r="U19" s="2"/>
      <c r="V19" s="19"/>
      <c r="W19" s="2"/>
      <c r="X19" s="2">
        <f t="shared" si="2"/>
        <v>217.88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ref="D20:D21" si="4">0</f>
        <v>0</v>
      </c>
      <c r="E20" s="2"/>
      <c r="F20" s="19"/>
      <c r="G20" s="2"/>
      <c r="H20" s="2">
        <v>10450</v>
      </c>
      <c r="I20" s="2"/>
      <c r="J20" s="19"/>
      <c r="K20" s="2"/>
      <c r="L20" s="2">
        <f t="shared" si="0"/>
        <v>-10450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49875</v>
      </c>
      <c r="U20" s="2"/>
      <c r="V20" s="19"/>
      <c r="W20" s="2"/>
      <c r="X20" s="2">
        <f t="shared" si="2"/>
        <v>-49875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--152.75</f>
        <v>152.75</v>
      </c>
      <c r="Q21" s="2"/>
      <c r="R21" s="19"/>
      <c r="S21" s="2"/>
      <c r="T21" s="2"/>
      <c r="U21" s="2"/>
      <c r="V21" s="19"/>
      <c r="W21" s="2"/>
      <c r="X21" s="2">
        <f t="shared" si="2"/>
        <v>152.75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--2246.8</f>
        <v>2246.8000000000002</v>
      </c>
      <c r="E22" s="2"/>
      <c r="F22" s="19"/>
      <c r="G22" s="2"/>
      <c r="H22" s="2"/>
      <c r="I22" s="2"/>
      <c r="J22" s="19"/>
      <c r="K22" s="2"/>
      <c r="L22" s="2">
        <f t="shared" si="0"/>
        <v>2246.8000000000002</v>
      </c>
      <c r="M22" s="2"/>
      <c r="N22" s="19">
        <f t="shared" si="1"/>
        <v>0</v>
      </c>
      <c r="O22" s="11"/>
      <c r="P22" s="2">
        <f>--4348.3</f>
        <v>4348.3</v>
      </c>
      <c r="Q22" s="2"/>
      <c r="R22" s="19"/>
      <c r="S22" s="2"/>
      <c r="T22" s="2"/>
      <c r="U22" s="2"/>
      <c r="V22" s="19"/>
      <c r="W22" s="2"/>
      <c r="X22" s="2">
        <f t="shared" si="2"/>
        <v>4348.3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--40316.8</f>
        <v>40316.800000000003</v>
      </c>
      <c r="E23" s="2"/>
      <c r="F23" s="19"/>
      <c r="G23" s="2"/>
      <c r="H23" s="2"/>
      <c r="I23" s="2"/>
      <c r="J23" s="19"/>
      <c r="K23" s="2"/>
      <c r="L23" s="2">
        <f t="shared" si="0"/>
        <v>40316.800000000003</v>
      </c>
      <c r="M23" s="2"/>
      <c r="N23" s="19">
        <f t="shared" si="1"/>
        <v>0</v>
      </c>
      <c r="O23" s="11"/>
      <c r="P23" s="2">
        <f>--90410.3</f>
        <v>90410.3</v>
      </c>
      <c r="Q23" s="2"/>
      <c r="R23" s="19"/>
      <c r="S23" s="2"/>
      <c r="T23" s="2"/>
      <c r="U23" s="2"/>
      <c r="V23" s="19"/>
      <c r="W23" s="2"/>
      <c r="X23" s="2">
        <f t="shared" si="2"/>
        <v>90410.3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-240</f>
        <v>-240</v>
      </c>
      <c r="E24" s="2"/>
      <c r="F24" s="19"/>
      <c r="G24" s="2"/>
      <c r="H24" s="2"/>
      <c r="I24" s="2"/>
      <c r="J24" s="19"/>
      <c r="K24" s="2"/>
      <c r="L24" s="2">
        <f t="shared" si="0"/>
        <v>-240</v>
      </c>
      <c r="M24" s="2"/>
      <c r="N24" s="19">
        <f t="shared" si="1"/>
        <v>0</v>
      </c>
      <c r="O24" s="11"/>
      <c r="P24" s="2">
        <f>--174.9</f>
        <v>174.9</v>
      </c>
      <c r="Q24" s="2"/>
      <c r="R24" s="19"/>
      <c r="S24" s="2"/>
      <c r="T24" s="2"/>
      <c r="U24" s="2"/>
      <c r="V24" s="19"/>
      <c r="W24" s="2"/>
      <c r="X24" s="2">
        <f t="shared" si="2"/>
        <v>174.9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-21</f>
        <v>-21</v>
      </c>
      <c r="E25" s="2"/>
      <c r="F25" s="19"/>
      <c r="G25" s="2"/>
      <c r="H25" s="2"/>
      <c r="I25" s="2"/>
      <c r="J25" s="19"/>
      <c r="K25" s="2"/>
      <c r="L25" s="2">
        <f t="shared" si="0"/>
        <v>-21</v>
      </c>
      <c r="M25" s="2"/>
      <c r="N25" s="19">
        <f t="shared" si="1"/>
        <v>0</v>
      </c>
      <c r="O25" s="11"/>
      <c r="P25" s="2">
        <f>-634.75</f>
        <v>-634.75</v>
      </c>
      <c r="Q25" s="2"/>
      <c r="R25" s="19"/>
      <c r="S25" s="2"/>
      <c r="T25" s="2"/>
      <c r="U25" s="2"/>
      <c r="V25" s="19"/>
      <c r="W25" s="2"/>
      <c r="X25" s="2">
        <f t="shared" si="2"/>
        <v>-634.75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-16.2</f>
        <v>-16.2</v>
      </c>
      <c r="Q26" s="2"/>
      <c r="R26" s="19"/>
      <c r="S26" s="2"/>
      <c r="T26" s="2"/>
      <c r="U26" s="2"/>
      <c r="V26" s="19"/>
      <c r="W26" s="2"/>
      <c r="X26" s="2">
        <f t="shared" si="2"/>
        <v>-16.2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>-39.95</f>
        <v>-39.950000000000003</v>
      </c>
      <c r="E27" s="2"/>
      <c r="F27" s="19"/>
      <c r="G27" s="2"/>
      <c r="H27" s="2"/>
      <c r="I27" s="2"/>
      <c r="J27" s="19"/>
      <c r="K27" s="2"/>
      <c r="L27" s="2">
        <f t="shared" si="0"/>
        <v>-39.950000000000003</v>
      </c>
      <c r="M27" s="2"/>
      <c r="N27" s="19">
        <f t="shared" si="1"/>
        <v>0</v>
      </c>
      <c r="O27" s="11"/>
      <c r="P27" s="2">
        <f>-409.1</f>
        <v>-409.1</v>
      </c>
      <c r="Q27" s="2"/>
      <c r="R27" s="19"/>
      <c r="S27" s="2"/>
      <c r="T27" s="2"/>
      <c r="U27" s="2"/>
      <c r="V27" s="19"/>
      <c r="W27" s="2"/>
      <c r="X27" s="2">
        <f t="shared" si="2"/>
        <v>-409.1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/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9" t="s">
        <v>8</v>
      </c>
      <c r="C30" s="10"/>
      <c r="D30" s="4">
        <f>SUM(OSRRefD16x_0)</f>
        <v>570.54</v>
      </c>
      <c r="E30" s="4"/>
      <c r="F30" s="12">
        <f t="shared" ref="F30:F35" si="5">IF(D$12=0,0,D30/D$12)</f>
        <v>9.9176967108061589E-3</v>
      </c>
      <c r="G30" s="4"/>
      <c r="H30" s="4">
        <f>SUM(OSRRefH16x_0)</f>
        <v>0</v>
      </c>
      <c r="I30" s="4"/>
      <c r="J30" s="12">
        <f t="shared" ref="J30:J35" si="6">IF(H$12=0,0,H30/H$12)</f>
        <v>0</v>
      </c>
      <c r="K30" s="4"/>
      <c r="L30" s="4">
        <f t="shared" ref="L30:L35" si="7">+D30-H30</f>
        <v>570.54</v>
      </c>
      <c r="M30" s="4"/>
      <c r="N30" s="12">
        <f t="shared" ref="N30:N35" si="8">IF(H30=0,0,L30/H30)</f>
        <v>0</v>
      </c>
      <c r="O30" s="10"/>
      <c r="P30" s="4">
        <f>SUM(OSRRefP16x_0)</f>
        <v>2462.1200000000003</v>
      </c>
      <c r="Q30" s="4"/>
      <c r="R30" s="12">
        <f t="shared" ref="R30:R35" si="9">IF(P$12=0,0,P30/P$12)</f>
        <v>1.0728579258919638E-2</v>
      </c>
      <c r="S30" s="4"/>
      <c r="T30" s="4">
        <f>SUM(OSRRefT16x_0)</f>
        <v>0</v>
      </c>
      <c r="U30" s="4"/>
      <c r="V30" s="12">
        <f t="shared" ref="V30:V35" si="10">IF(T$12=0,0,T30/T$12)</f>
        <v>0</v>
      </c>
      <c r="W30" s="4"/>
      <c r="X30" s="4">
        <f t="shared" ref="X30:X35" si="11">+P30-T30</f>
        <v>2462.1200000000003</v>
      </c>
      <c r="Y30" s="4"/>
      <c r="Z30" s="12">
        <f t="shared" ref="Z30:Z35" si="12">IF(T30=0,0,X30/T30)</f>
        <v>0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>
        <v>1343.54</v>
      </c>
      <c r="E31" s="2"/>
      <c r="F31" s="19">
        <f t="shared" si="5"/>
        <v>2.3354755562864139E-2</v>
      </c>
      <c r="G31" s="2"/>
      <c r="H31" s="2"/>
      <c r="I31" s="2"/>
      <c r="J31" s="19">
        <f t="shared" si="6"/>
        <v>0</v>
      </c>
      <c r="K31" s="2"/>
      <c r="L31" s="2">
        <f t="shared" si="7"/>
        <v>1343.54</v>
      </c>
      <c r="M31" s="2"/>
      <c r="N31" s="19">
        <f t="shared" si="8"/>
        <v>0</v>
      </c>
      <c r="O31" s="11"/>
      <c r="P31" s="2">
        <v>1356.49</v>
      </c>
      <c r="Q31" s="2"/>
      <c r="R31" s="19">
        <f t="shared" si="9"/>
        <v>5.9108453198592663E-3</v>
      </c>
      <c r="S31" s="2"/>
      <c r="T31" s="2"/>
      <c r="U31" s="2"/>
      <c r="V31" s="19">
        <f t="shared" si="10"/>
        <v>0</v>
      </c>
      <c r="W31" s="2"/>
      <c r="X31" s="2">
        <f t="shared" si="11"/>
        <v>1356.49</v>
      </c>
      <c r="Y31" s="2"/>
      <c r="Z31" s="19">
        <f t="shared" si="12"/>
        <v>0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5"/>
        <v>0</v>
      </c>
      <c r="G32" s="2"/>
      <c r="H32" s="2"/>
      <c r="I32" s="2"/>
      <c r="J32" s="19">
        <f t="shared" si="6"/>
        <v>0</v>
      </c>
      <c r="K32" s="2"/>
      <c r="L32" s="2">
        <f t="shared" si="7"/>
        <v>0</v>
      </c>
      <c r="M32" s="2"/>
      <c r="N32" s="19">
        <f t="shared" si="8"/>
        <v>0</v>
      </c>
      <c r="O32" s="11"/>
      <c r="P32" s="2">
        <v>11.85</v>
      </c>
      <c r="Q32" s="2"/>
      <c r="R32" s="19">
        <f t="shared" si="9"/>
        <v>5.1635852118579795E-5</v>
      </c>
      <c r="S32" s="2"/>
      <c r="T32" s="2"/>
      <c r="U32" s="2"/>
      <c r="V32" s="19">
        <f t="shared" si="10"/>
        <v>0</v>
      </c>
      <c r="W32" s="2"/>
      <c r="X32" s="2">
        <f t="shared" si="11"/>
        <v>11.85</v>
      </c>
      <c r="Y32" s="2"/>
      <c r="Z32" s="19">
        <f t="shared" si="12"/>
        <v>0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-1344</v>
      </c>
      <c r="E33" s="2"/>
      <c r="F33" s="19">
        <f t="shared" si="5"/>
        <v>-2.3362751742776102E-2</v>
      </c>
      <c r="G33" s="2"/>
      <c r="H33" s="2"/>
      <c r="I33" s="2"/>
      <c r="J33" s="19">
        <f t="shared" si="6"/>
        <v>0</v>
      </c>
      <c r="K33" s="2"/>
      <c r="L33" s="2">
        <f t="shared" si="7"/>
        <v>-1344</v>
      </c>
      <c r="M33" s="2"/>
      <c r="N33" s="19">
        <f t="shared" si="8"/>
        <v>0</v>
      </c>
      <c r="O33" s="11"/>
      <c r="P33" s="2">
        <v>-1440</v>
      </c>
      <c r="Q33" s="2"/>
      <c r="R33" s="19">
        <f t="shared" si="9"/>
        <v>-6.2747364599793172E-3</v>
      </c>
      <c r="S33" s="2"/>
      <c r="T33" s="2"/>
      <c r="U33" s="2"/>
      <c r="V33" s="19">
        <f t="shared" si="10"/>
        <v>0</v>
      </c>
      <c r="W33" s="2"/>
      <c r="X33" s="2">
        <f t="shared" si="11"/>
        <v>-1440</v>
      </c>
      <c r="Y33" s="2"/>
      <c r="Z33" s="19">
        <f t="shared" si="12"/>
        <v>0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571</v>
      </c>
      <c r="E34" s="2"/>
      <c r="F34" s="19">
        <f t="shared" si="5"/>
        <v>9.9256928907181206E-3</v>
      </c>
      <c r="G34" s="2"/>
      <c r="H34" s="2"/>
      <c r="I34" s="2"/>
      <c r="J34" s="19">
        <f t="shared" si="6"/>
        <v>0</v>
      </c>
      <c r="K34" s="2"/>
      <c r="L34" s="2">
        <f t="shared" si="7"/>
        <v>571</v>
      </c>
      <c r="M34" s="2"/>
      <c r="N34" s="19">
        <f t="shared" si="8"/>
        <v>0</v>
      </c>
      <c r="O34" s="11"/>
      <c r="P34" s="2">
        <v>2463</v>
      </c>
      <c r="Q34" s="2"/>
      <c r="R34" s="19">
        <f t="shared" si="9"/>
        <v>1.0732413820089624E-2</v>
      </c>
      <c r="S34" s="2"/>
      <c r="T34" s="2"/>
      <c r="U34" s="2"/>
      <c r="V34" s="19">
        <f t="shared" si="10"/>
        <v>0</v>
      </c>
      <c r="W34" s="2"/>
      <c r="X34" s="2">
        <f t="shared" si="11"/>
        <v>2463</v>
      </c>
      <c r="Y34" s="2"/>
      <c r="Z34" s="19">
        <f t="shared" si="12"/>
        <v>0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/>
      <c r="E35" s="2"/>
      <c r="F35" s="19">
        <f t="shared" si="5"/>
        <v>0</v>
      </c>
      <c r="G35" s="2"/>
      <c r="H35" s="2"/>
      <c r="I35" s="2"/>
      <c r="J35" s="19">
        <f t="shared" si="6"/>
        <v>0</v>
      </c>
      <c r="K35" s="2"/>
      <c r="L35" s="2">
        <f t="shared" si="7"/>
        <v>0</v>
      </c>
      <c r="M35" s="2"/>
      <c r="N35" s="19">
        <f t="shared" si="8"/>
        <v>0</v>
      </c>
      <c r="O35" s="11"/>
      <c r="P35" s="2">
        <v>70.78</v>
      </c>
      <c r="Q35" s="2"/>
      <c r="R35" s="19">
        <f t="shared" si="9"/>
        <v>3.0842072683148341E-4</v>
      </c>
      <c r="S35" s="2"/>
      <c r="T35" s="2"/>
      <c r="U35" s="2"/>
      <c r="V35" s="19">
        <f t="shared" si="10"/>
        <v>0</v>
      </c>
      <c r="W35" s="2"/>
      <c r="X35" s="2">
        <f t="shared" si="11"/>
        <v>70.78</v>
      </c>
      <c r="Y35" s="2"/>
      <c r="Z35" s="19">
        <f t="shared" si="12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2">
        <f>D12-D30</f>
        <v>56956.93</v>
      </c>
      <c r="E37" s="14"/>
      <c r="F37" s="20">
        <f>IF(D$12=0,0,D37/D$12)</f>
        <v>0.99008230328919378</v>
      </c>
      <c r="G37" s="14"/>
      <c r="H37" s="22">
        <f>H12-H30</f>
        <v>55575</v>
      </c>
      <c r="I37" s="14"/>
      <c r="J37" s="20">
        <f>IF(H$12=0,0,H37/H$12)</f>
        <v>1</v>
      </c>
      <c r="K37" s="16"/>
      <c r="L37" s="22">
        <f>+D37-H37</f>
        <v>1381.9300000000003</v>
      </c>
      <c r="M37" s="16"/>
      <c r="N37" s="20">
        <f>IF(H37=0,0,L37/H37)</f>
        <v>2.4866036887089524E-2</v>
      </c>
      <c r="O37" s="29"/>
      <c r="P37" s="22">
        <f>P12-P30</f>
        <v>227029.59</v>
      </c>
      <c r="Q37" s="14"/>
      <c r="R37" s="20">
        <f>IF(P$12=0,0,P37/P$12)</f>
        <v>0.98927142074108043</v>
      </c>
      <c r="S37" s="14"/>
      <c r="T37" s="22">
        <f>T12-T30</f>
        <v>261012.5</v>
      </c>
      <c r="U37" s="14"/>
      <c r="V37" s="20">
        <f>IF(T$12=0,0,T37/T$12)</f>
        <v>1</v>
      </c>
      <c r="W37" s="16"/>
      <c r="X37" s="22">
        <f>+P37-T37</f>
        <v>-33982.910000000003</v>
      </c>
      <c r="Y37" s="16"/>
      <c r="Z37" s="20">
        <f>IF(T37=0,0,X37/T37)</f>
        <v>-0.13019648484267995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1">
        <f>SUM(OSRRefD22x_0)</f>
        <v>56397.039999999994</v>
      </c>
      <c r="E39" s="21"/>
      <c r="F39" s="35">
        <f t="shared" ref="F39:F49" si="13">IF(D$12=0,0,D39/D$12)</f>
        <v>0.9803497355263493</v>
      </c>
      <c r="G39" s="21"/>
      <c r="H39" s="21">
        <f>SUM(OSRRefH22x_0)</f>
        <v>46868.883239047369</v>
      </c>
      <c r="I39" s="21"/>
      <c r="J39" s="35">
        <f t="shared" ref="J39:J49" si="14">IF(H$12=0,0,H39/H$12)</f>
        <v>0.84334472764817581</v>
      </c>
      <c r="K39" s="4"/>
      <c r="L39" s="21">
        <f t="shared" ref="L39:L49" si="15">+D39-H39</f>
        <v>9528.1567609526246</v>
      </c>
      <c r="M39" s="4"/>
      <c r="N39" s="35">
        <f t="shared" ref="N39:N49" si="16">IF(H39=0,0,L39/H39)</f>
        <v>0.20329387223407391</v>
      </c>
      <c r="O39" s="10"/>
      <c r="P39" s="21">
        <f>SUM(OSRRefP22x_0)</f>
        <v>176712.03999999998</v>
      </c>
      <c r="Q39" s="21"/>
      <c r="R39" s="35">
        <f t="shared" ref="R39:R49" si="17">IF(P$12=0,0,P39/P$12)</f>
        <v>0.77001491687869672</v>
      </c>
      <c r="S39" s="21"/>
      <c r="T39" s="21">
        <f>SUM(OSRRefT22x_0)</f>
        <v>188195.33388453163</v>
      </c>
      <c r="U39" s="21"/>
      <c r="V39" s="35">
        <f t="shared" ref="V39:V49" si="18">IF(T$12=0,0,T39/T$12)</f>
        <v>0.72102038747006991</v>
      </c>
      <c r="W39" s="4"/>
      <c r="X39" s="21">
        <f t="shared" ref="X39:X49" si="19">+P39-T39</f>
        <v>-11483.293884531653</v>
      </c>
      <c r="Y39" s="4"/>
      <c r="Z39" s="35">
        <f t="shared" ref="Z39:Z49" si="20">IF(T39=0,0,X39/T39)</f>
        <v>-6.101795218566522E-2</v>
      </c>
    </row>
    <row r="40" spans="1:26" s="26" customFormat="1" outlineLevel="1" collapsed="1" x14ac:dyDescent="0.25">
      <c r="A40" s="25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10006.25</v>
      </c>
      <c r="E40" s="1"/>
      <c r="F40" s="5">
        <f t="shared" si="13"/>
        <v>0.17393864183493554</v>
      </c>
      <c r="G40" s="1"/>
      <c r="H40" s="1">
        <f>SUM(OSRRefH22_0x_0)</f>
        <v>7490.6439261919786</v>
      </c>
      <c r="I40" s="1"/>
      <c r="J40" s="5">
        <f t="shared" si="14"/>
        <v>0.13478441612581157</v>
      </c>
      <c r="K40" s="1"/>
      <c r="L40" s="1">
        <f t="shared" si="15"/>
        <v>2515.6060738080214</v>
      </c>
      <c r="M40" s="1"/>
      <c r="N40" s="5">
        <f t="shared" si="16"/>
        <v>0.33583308706103199</v>
      </c>
      <c r="O40" s="13"/>
      <c r="P40" s="1">
        <f>SUM(OSRRefP22_0x_0)</f>
        <v>33122.35</v>
      </c>
      <c r="Q40" s="1"/>
      <c r="R40" s="5">
        <f t="shared" si="17"/>
        <v>0.1443291786008305</v>
      </c>
      <c r="S40" s="1"/>
      <c r="T40" s="1">
        <f>SUM(OSRRefT22_0x_0)</f>
        <v>28532.154416236226</v>
      </c>
      <c r="U40" s="1"/>
      <c r="V40" s="5">
        <f t="shared" si="18"/>
        <v>0.1093133639815573</v>
      </c>
      <c r="W40" s="1"/>
      <c r="X40" s="1">
        <f t="shared" si="19"/>
        <v>4590.1955837637724</v>
      </c>
      <c r="Y40" s="1"/>
      <c r="Z40" s="5">
        <f t="shared" si="20"/>
        <v>0.16087798757852373</v>
      </c>
    </row>
    <row r="41" spans="1:26" s="24" customFormat="1" hidden="1" outlineLevel="2" x14ac:dyDescent="0.25">
      <c r="A41" s="27"/>
      <c r="B41" s="11" t="str">
        <f>CONCATENATE("          ", "6111", " - ", "F.I.C.A.")</f>
        <v xml:space="preserve">          6111 - F.I.C.A.</v>
      </c>
      <c r="C41" s="11"/>
      <c r="D41" s="6">
        <v>2360.46</v>
      </c>
      <c r="E41" s="2"/>
      <c r="F41" s="7">
        <f t="shared" si="13"/>
        <v>4.1031875728239048E-2</v>
      </c>
      <c r="G41" s="2"/>
      <c r="H41" s="6">
        <v>1446.712670711541</v>
      </c>
      <c r="I41" s="2"/>
      <c r="J41" s="7">
        <f t="shared" si="14"/>
        <v>2.6031716971867586E-2</v>
      </c>
      <c r="K41" s="2"/>
      <c r="L41" s="6">
        <f t="shared" si="15"/>
        <v>913.74732928845901</v>
      </c>
      <c r="M41" s="2"/>
      <c r="N41" s="7">
        <f t="shared" si="16"/>
        <v>0.63160249287030013</v>
      </c>
      <c r="O41" s="11"/>
      <c r="P41" s="6">
        <v>5903.03</v>
      </c>
      <c r="Q41" s="2"/>
      <c r="R41" s="7">
        <f t="shared" si="17"/>
        <v>2.5722192753716462E-2</v>
      </c>
      <c r="S41" s="2"/>
      <c r="T41" s="6">
        <v>5562.0507704372421</v>
      </c>
      <c r="U41" s="2"/>
      <c r="V41" s="7">
        <f t="shared" si="18"/>
        <v>2.1309518779511486E-2</v>
      </c>
      <c r="W41" s="2"/>
      <c r="X41" s="6">
        <f t="shared" si="19"/>
        <v>340.97922956275761</v>
      </c>
      <c r="Y41" s="2"/>
      <c r="Z41" s="7">
        <f t="shared" si="20"/>
        <v>6.1304587756568191E-2</v>
      </c>
    </row>
    <row r="42" spans="1:26" s="24" customFormat="1" hidden="1" outlineLevel="2" x14ac:dyDescent="0.25">
      <c r="A42" s="27"/>
      <c r="B42" s="11" t="str">
        <f>CONCATENATE("          ", "6112", " - ", "COMPENSATION INSURANCE")</f>
        <v xml:space="preserve">          6112 - COMPENSATION INSURANCE</v>
      </c>
      <c r="C42" s="11"/>
      <c r="D42" s="6">
        <v>36.97</v>
      </c>
      <c r="E42" s="2"/>
      <c r="F42" s="7">
        <f t="shared" si="13"/>
        <v>6.426495029244289E-4</v>
      </c>
      <c r="G42" s="2"/>
      <c r="H42" s="6">
        <v>297.99340576923061</v>
      </c>
      <c r="I42" s="2"/>
      <c r="J42" s="7">
        <f t="shared" si="14"/>
        <v>5.3620046022353684E-3</v>
      </c>
      <c r="K42" s="2"/>
      <c r="L42" s="6">
        <f t="shared" si="15"/>
        <v>-261.02340576923064</v>
      </c>
      <c r="M42" s="2"/>
      <c r="N42" s="7">
        <f t="shared" si="16"/>
        <v>-0.87593685200997384</v>
      </c>
      <c r="O42" s="11"/>
      <c r="P42" s="6">
        <v>678.2</v>
      </c>
      <c r="Q42" s="2"/>
      <c r="R42" s="7">
        <f t="shared" si="17"/>
        <v>2.9552265744152593E-3</v>
      </c>
      <c r="S42" s="2"/>
      <c r="T42" s="6">
        <v>1072.7762607692307</v>
      </c>
      <c r="U42" s="2"/>
      <c r="V42" s="7">
        <f t="shared" si="18"/>
        <v>4.1100570308672214E-3</v>
      </c>
      <c r="W42" s="2"/>
      <c r="X42" s="6">
        <f t="shared" si="19"/>
        <v>-394.57626076923066</v>
      </c>
      <c r="Y42" s="2"/>
      <c r="Z42" s="7">
        <f t="shared" si="20"/>
        <v>-0.36780853119018597</v>
      </c>
    </row>
    <row r="43" spans="1:26" s="24" customFormat="1" hidden="1" outlineLevel="2" x14ac:dyDescent="0.25">
      <c r="A43" s="27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3"/>
        <v>5.3040399656025201E-2</v>
      </c>
      <c r="G43" s="2"/>
      <c r="H43" s="6">
        <v>2704</v>
      </c>
      <c r="I43" s="2"/>
      <c r="J43" s="7">
        <f t="shared" si="14"/>
        <v>4.8654970760233916E-2</v>
      </c>
      <c r="K43" s="2"/>
      <c r="L43" s="6">
        <f t="shared" si="15"/>
        <v>347.2800000000002</v>
      </c>
      <c r="M43" s="2"/>
      <c r="N43" s="7">
        <f t="shared" si="16"/>
        <v>0.12843195266272198</v>
      </c>
      <c r="O43" s="11"/>
      <c r="P43" s="6">
        <v>11586.14</v>
      </c>
      <c r="Q43" s="2"/>
      <c r="R43" s="7">
        <f t="shared" si="17"/>
        <v>5.0486093811406084E-2</v>
      </c>
      <c r="S43" s="2"/>
      <c r="T43" s="6">
        <v>10816</v>
      </c>
      <c r="U43" s="2"/>
      <c r="V43" s="7">
        <f t="shared" si="18"/>
        <v>4.1438628418179205E-2</v>
      </c>
      <c r="W43" s="2"/>
      <c r="X43" s="6">
        <f t="shared" si="19"/>
        <v>770.13999999999942</v>
      </c>
      <c r="Y43" s="2"/>
      <c r="Z43" s="7">
        <f t="shared" si="20"/>
        <v>7.1203772189349063E-2</v>
      </c>
    </row>
    <row r="44" spans="1:26" s="24" customFormat="1" hidden="1" outlineLevel="2" x14ac:dyDescent="0.25">
      <c r="A44" s="27"/>
      <c r="B44" s="11" t="str">
        <f>CONCATENATE("          ", "6114", " - ", "STATE UNEMPLOYMENT INSURANCE")</f>
        <v xml:space="preserve">          6114 - STATE UNEMPLOYMENT INSURANCE</v>
      </c>
      <c r="C44" s="11"/>
      <c r="D44" s="6">
        <v>76.510000000000005</v>
      </c>
      <c r="E44" s="2"/>
      <c r="F44" s="7">
        <f t="shared" si="13"/>
        <v>1.3299733153569939E-3</v>
      </c>
      <c r="G44" s="2"/>
      <c r="H44" s="6">
        <v>60.925665813423997</v>
      </c>
      <c r="I44" s="2"/>
      <c r="J44" s="7">
        <f t="shared" si="14"/>
        <v>1.0962782872410977E-3</v>
      </c>
      <c r="K44" s="2"/>
      <c r="L44" s="6">
        <f t="shared" si="15"/>
        <v>15.584334186576008</v>
      </c>
      <c r="M44" s="2"/>
      <c r="N44" s="7">
        <f t="shared" si="16"/>
        <v>0.25579259542769328</v>
      </c>
      <c r="O44" s="11"/>
      <c r="P44" s="6">
        <v>207.33</v>
      </c>
      <c r="Q44" s="2"/>
      <c r="R44" s="7">
        <f t="shared" si="17"/>
        <v>9.0343132656077213E-4</v>
      </c>
      <c r="S44" s="2"/>
      <c r="T44" s="6">
        <v>221.46834357756799</v>
      </c>
      <c r="U44" s="2"/>
      <c r="V44" s="7">
        <f t="shared" si="18"/>
        <v>8.4849707802334368E-4</v>
      </c>
      <c r="W44" s="2"/>
      <c r="X44" s="6">
        <f t="shared" si="19"/>
        <v>-14.13834357756798</v>
      </c>
      <c r="Y44" s="2"/>
      <c r="Z44" s="7">
        <f t="shared" si="20"/>
        <v>-6.3839117361782716E-2</v>
      </c>
    </row>
    <row r="45" spans="1:26" s="24" customFormat="1" hidden="1" outlineLevel="2" x14ac:dyDescent="0.25">
      <c r="A45" s="27"/>
      <c r="B45" s="11" t="str">
        <f>CONCATENATE("          ", "6115", " - ", "P.E.R.S.")</f>
        <v xml:space="preserve">          6115 - P.E.R.S.</v>
      </c>
      <c r="C45" s="11"/>
      <c r="D45" s="6">
        <v>2078.9</v>
      </c>
      <c r="E45" s="2"/>
      <c r="F45" s="7">
        <f t="shared" si="13"/>
        <v>3.6137518302125922E-2</v>
      </c>
      <c r="G45" s="2"/>
      <c r="H45" s="6">
        <v>1348.812257692306</v>
      </c>
      <c r="I45" s="2"/>
      <c r="J45" s="7">
        <f t="shared" si="14"/>
        <v>2.4270126094328492E-2</v>
      </c>
      <c r="K45" s="2"/>
      <c r="L45" s="6">
        <f t="shared" si="15"/>
        <v>730.08774230769404</v>
      </c>
      <c r="M45" s="2"/>
      <c r="N45" s="7">
        <f t="shared" si="16"/>
        <v>0.54128195984577365</v>
      </c>
      <c r="O45" s="11"/>
      <c r="P45" s="6">
        <v>5580.03</v>
      </c>
      <c r="Q45" s="2"/>
      <c r="R45" s="7">
        <f t="shared" si="17"/>
        <v>2.4314734506096104E-2</v>
      </c>
      <c r="S45" s="2"/>
      <c r="T45" s="6">
        <v>4855.7241276923032</v>
      </c>
      <c r="U45" s="2"/>
      <c r="V45" s="7">
        <f t="shared" si="18"/>
        <v>1.860341603445162E-2</v>
      </c>
      <c r="W45" s="2"/>
      <c r="X45" s="6">
        <f t="shared" si="19"/>
        <v>724.30587230769652</v>
      </c>
      <c r="Y45" s="2"/>
      <c r="Z45" s="7">
        <f t="shared" si="20"/>
        <v>0.14916536715439907</v>
      </c>
    </row>
    <row r="46" spans="1:26" s="24" customFormat="1" hidden="1" outlineLevel="2" x14ac:dyDescent="0.25">
      <c r="A46" s="27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3"/>
        <v>0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0</v>
      </c>
      <c r="M46" s="2"/>
      <c r="N46" s="7">
        <f t="shared" si="16"/>
        <v>0</v>
      </c>
      <c r="O46" s="11"/>
      <c r="P46" s="6"/>
      <c r="Q46" s="2"/>
      <c r="R46" s="7">
        <f t="shared" si="17"/>
        <v>0</v>
      </c>
      <c r="S46" s="2"/>
      <c r="T46" s="6">
        <v>0</v>
      </c>
      <c r="U46" s="2"/>
      <c r="V46" s="7">
        <f t="shared" si="18"/>
        <v>0</v>
      </c>
      <c r="W46" s="2"/>
      <c r="X46" s="6">
        <f t="shared" si="19"/>
        <v>0</v>
      </c>
      <c r="Y46" s="2"/>
      <c r="Z46" s="7">
        <f t="shared" si="20"/>
        <v>0</v>
      </c>
    </row>
    <row r="47" spans="1:26" s="24" customFormat="1" hidden="1" outlineLevel="2" x14ac:dyDescent="0.25">
      <c r="A47" s="27"/>
      <c r="B47" s="11" t="str">
        <f>CONCATENATE("          ", "6118", " - ", "VACATION")</f>
        <v xml:space="preserve">          6118 - VACATION</v>
      </c>
      <c r="C47" s="11"/>
      <c r="D47" s="6">
        <v>1263.1600000000001</v>
      </c>
      <c r="E47" s="2"/>
      <c r="F47" s="7">
        <f t="shared" si="13"/>
        <v>2.1957510038247814E-2</v>
      </c>
      <c r="G47" s="2"/>
      <c r="H47" s="6">
        <v>784.19317307692302</v>
      </c>
      <c r="I47" s="2"/>
      <c r="J47" s="7">
        <f t="shared" si="14"/>
        <v>1.4110538426935187E-2</v>
      </c>
      <c r="K47" s="2"/>
      <c r="L47" s="6">
        <f t="shared" si="15"/>
        <v>478.96682692307706</v>
      </c>
      <c r="M47" s="2"/>
      <c r="N47" s="7">
        <f t="shared" si="16"/>
        <v>0.6107765833305645</v>
      </c>
      <c r="O47" s="11"/>
      <c r="P47" s="6">
        <v>5056.2299999999996</v>
      </c>
      <c r="Q47" s="2"/>
      <c r="R47" s="7">
        <f t="shared" si="17"/>
        <v>2.2032299118778624E-2</v>
      </c>
      <c r="S47" s="2"/>
      <c r="T47" s="6">
        <v>2823.0954230769239</v>
      </c>
      <c r="U47" s="2"/>
      <c r="V47" s="7">
        <f t="shared" si="18"/>
        <v>1.0815939554913745E-2</v>
      </c>
      <c r="W47" s="2"/>
      <c r="X47" s="6">
        <f t="shared" si="19"/>
        <v>2233.1345769230757</v>
      </c>
      <c r="Y47" s="2"/>
      <c r="Z47" s="7">
        <f t="shared" si="20"/>
        <v>0.79102341304820534</v>
      </c>
    </row>
    <row r="48" spans="1:26" s="24" customFormat="1" hidden="1" outlineLevel="2" x14ac:dyDescent="0.25">
      <c r="A48" s="27"/>
      <c r="B48" s="11" t="str">
        <f>CONCATENATE("          ", "6119", " - ", "SICK LEAVE")</f>
        <v xml:space="preserve">          6119 - SICK LEAVE</v>
      </c>
      <c r="C48" s="11"/>
      <c r="D48" s="6">
        <v>834.81</v>
      </c>
      <c r="E48" s="2"/>
      <c r="F48" s="7">
        <f t="shared" si="13"/>
        <v>1.451150207022836E-2</v>
      </c>
      <c r="G48" s="2"/>
      <c r="H48" s="6">
        <v>548.00675312855412</v>
      </c>
      <c r="I48" s="2"/>
      <c r="J48" s="7">
        <f t="shared" si="14"/>
        <v>9.8606703217013793E-3</v>
      </c>
      <c r="K48" s="2"/>
      <c r="L48" s="6">
        <f t="shared" si="15"/>
        <v>286.80324687144582</v>
      </c>
      <c r="M48" s="2"/>
      <c r="N48" s="7">
        <f t="shared" si="16"/>
        <v>0.52335713973248443</v>
      </c>
      <c r="O48" s="11"/>
      <c r="P48" s="6">
        <v>3071.78</v>
      </c>
      <c r="Q48" s="2"/>
      <c r="R48" s="7">
        <f t="shared" si="17"/>
        <v>1.338514580766338E-2</v>
      </c>
      <c r="S48" s="2"/>
      <c r="T48" s="6">
        <v>1981.0394906829554</v>
      </c>
      <c r="U48" s="2"/>
      <c r="V48" s="7">
        <f t="shared" si="18"/>
        <v>7.5898261220552861E-3</v>
      </c>
      <c r="W48" s="2"/>
      <c r="X48" s="6">
        <f t="shared" si="19"/>
        <v>1090.7405093170448</v>
      </c>
      <c r="Y48" s="2"/>
      <c r="Z48" s="7">
        <f t="shared" si="20"/>
        <v>0.55058998795678549</v>
      </c>
    </row>
    <row r="49" spans="1:26" s="24" customFormat="1" hidden="1" outlineLevel="2" x14ac:dyDescent="0.25">
      <c r="A49" s="27"/>
      <c r="B49" s="11" t="str">
        <f>CONCATENATE("          ", "6156", " - ", "EMPLOYEE MEALS")</f>
        <v xml:space="preserve">          6156 - EMPLOYEE MEALS</v>
      </c>
      <c r="C49" s="11"/>
      <c r="D49" s="6">
        <v>304.16000000000003</v>
      </c>
      <c r="E49" s="2"/>
      <c r="F49" s="7">
        <f t="shared" si="13"/>
        <v>5.2872132217877824E-3</v>
      </c>
      <c r="G49" s="2"/>
      <c r="H49" s="6">
        <v>300</v>
      </c>
      <c r="I49" s="2"/>
      <c r="J49" s="7">
        <f t="shared" si="14"/>
        <v>5.3981106612685558E-3</v>
      </c>
      <c r="K49" s="2"/>
      <c r="L49" s="6">
        <f t="shared" si="15"/>
        <v>4.160000000000025</v>
      </c>
      <c r="M49" s="2"/>
      <c r="N49" s="7">
        <f t="shared" si="16"/>
        <v>1.3866666666666749E-2</v>
      </c>
      <c r="O49" s="11"/>
      <c r="P49" s="6">
        <v>1039.6099999999999</v>
      </c>
      <c r="Q49" s="2"/>
      <c r="R49" s="7">
        <f t="shared" si="17"/>
        <v>4.5300547021938174E-3</v>
      </c>
      <c r="S49" s="2"/>
      <c r="T49" s="6">
        <v>1200</v>
      </c>
      <c r="U49" s="2"/>
      <c r="V49" s="7">
        <f t="shared" si="18"/>
        <v>4.5974809635553849E-3</v>
      </c>
      <c r="W49" s="2"/>
      <c r="X49" s="6">
        <f t="shared" si="19"/>
        <v>-160.3900000000001</v>
      </c>
      <c r="Y49" s="2"/>
      <c r="Z49" s="7">
        <f t="shared" si="20"/>
        <v>-0.13365833333333341</v>
      </c>
    </row>
    <row r="50" spans="1:26" s="26" customFormat="1" outlineLevel="1" collapsed="1" x14ac:dyDescent="0.25">
      <c r="A50" s="25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18919.54</v>
      </c>
      <c r="E50" s="1"/>
      <c r="F50" s="5">
        <f t="shared" ref="F50:F60" si="21">IF(D$12=0,0,D50/D$12)</f>
        <v>0.32887836019904926</v>
      </c>
      <c r="G50" s="1"/>
      <c r="H50" s="1">
        <f>SUM(OSRRefH22_1x_0)</f>
        <v>22178.239312855392</v>
      </c>
      <c r="I50" s="1"/>
      <c r="J50" s="5">
        <f t="shared" ref="J50:J60" si="22">IF(H$12=0,0,H50/H$12)</f>
        <v>0.39906863360963368</v>
      </c>
      <c r="K50" s="1"/>
      <c r="L50" s="1">
        <f t="shared" ref="L50:L60" si="23">+D50-H50</f>
        <v>-3258.6993128553913</v>
      </c>
      <c r="M50" s="1"/>
      <c r="N50" s="5">
        <f t="shared" ref="N50:N60" si="24">IF(H50=0,0,L50/H50)</f>
        <v>-0.14693228199438352</v>
      </c>
      <c r="O50" s="13"/>
      <c r="P50" s="1">
        <f>SUM(OSRRefP22_1x_0)</f>
        <v>73167.64</v>
      </c>
      <c r="Q50" s="1"/>
      <c r="R50" s="5">
        <f t="shared" ref="R50:R60" si="25">IF(P$12=0,0,P50/P$12)</f>
        <v>0.31882476277683408</v>
      </c>
      <c r="S50" s="1"/>
      <c r="T50" s="1">
        <f>SUM(OSRRefT22_1x_0)</f>
        <v>80663.179468295406</v>
      </c>
      <c r="U50" s="1"/>
      <c r="V50" s="5">
        <f t="shared" ref="V50:V60" si="26">IF(T$12=0,0,T50/T$12)</f>
        <v>0.30903952672111645</v>
      </c>
      <c r="W50" s="1"/>
      <c r="X50" s="1">
        <f t="shared" ref="X50:X60" si="27">+P50-T50</f>
        <v>-7495.5394682954066</v>
      </c>
      <c r="Y50" s="1"/>
      <c r="Z50" s="5">
        <f t="shared" ref="Z50:Z60" si="28">IF(T50=0,0,X50/T50)</f>
        <v>-9.2923927840477968E-2</v>
      </c>
    </row>
    <row r="51" spans="1:26" s="24" customFormat="1" hidden="1" outlineLevel="2" x14ac:dyDescent="0.25">
      <c r="A51" s="27"/>
      <c r="B51" s="11" t="str">
        <f>CONCATENATE("          ", "6001", " - ", "ADMINISTRATIVE SALARIES")</f>
        <v xml:space="preserve">          6001 - ADMINISTRATIVE SALARIES</v>
      </c>
      <c r="C51" s="11"/>
      <c r="D51" s="6"/>
      <c r="E51" s="2"/>
      <c r="F51" s="7">
        <f t="shared" si="21"/>
        <v>0</v>
      </c>
      <c r="G51" s="2"/>
      <c r="H51" s="6">
        <v>7488.179000000001</v>
      </c>
      <c r="I51" s="2"/>
      <c r="J51" s="7">
        <f t="shared" si="22"/>
        <v>0.13474006297795774</v>
      </c>
      <c r="K51" s="2"/>
      <c r="L51" s="6">
        <f t="shared" si="23"/>
        <v>-7488.179000000001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26957.4444</v>
      </c>
      <c r="U51" s="2"/>
      <c r="V51" s="7">
        <f t="shared" si="26"/>
        <v>0.1032802812125856</v>
      </c>
      <c r="W51" s="2"/>
      <c r="X51" s="6">
        <f t="shared" si="27"/>
        <v>-26957.4444</v>
      </c>
      <c r="Y51" s="2"/>
      <c r="Z51" s="7">
        <f t="shared" si="28"/>
        <v>-1</v>
      </c>
    </row>
    <row r="52" spans="1:26" s="24" customFormat="1" hidden="1" outlineLevel="2" x14ac:dyDescent="0.25">
      <c r="A52" s="27"/>
      <c r="B52" s="11" t="str">
        <f>CONCATENATE("          ", "6002", " - ", "STAFF SALARIES")</f>
        <v xml:space="preserve">          6002 - STAFF SALARIES</v>
      </c>
      <c r="C52" s="11"/>
      <c r="D52" s="6">
        <v>11058.78</v>
      </c>
      <c r="E52" s="2"/>
      <c r="F52" s="7">
        <f t="shared" si="21"/>
        <v>0.19223477062349517</v>
      </c>
      <c r="G52" s="2"/>
      <c r="H52" s="6">
        <v>6940.9753846153908</v>
      </c>
      <c r="I52" s="2"/>
      <c r="J52" s="7">
        <f t="shared" si="22"/>
        <v>0.12489384407764986</v>
      </c>
      <c r="K52" s="2"/>
      <c r="L52" s="6">
        <f t="shared" si="23"/>
        <v>4117.8046153846099</v>
      </c>
      <c r="M52" s="2"/>
      <c r="N52" s="7">
        <f t="shared" si="24"/>
        <v>0.59326022456608718</v>
      </c>
      <c r="O52" s="11"/>
      <c r="P52" s="6">
        <v>47845.75</v>
      </c>
      <c r="Q52" s="2"/>
      <c r="R52" s="7">
        <f t="shared" si="25"/>
        <v>0.20848574443059403</v>
      </c>
      <c r="S52" s="2"/>
      <c r="T52" s="6">
        <v>24987.511384615402</v>
      </c>
      <c r="U52" s="2"/>
      <c r="V52" s="7">
        <f t="shared" si="26"/>
        <v>9.5733006597827311E-2</v>
      </c>
      <c r="W52" s="2"/>
      <c r="X52" s="6">
        <f t="shared" si="27"/>
        <v>22858.238615384598</v>
      </c>
      <c r="Y52" s="2"/>
      <c r="Z52" s="7">
        <f t="shared" si="28"/>
        <v>0.91478652129632332</v>
      </c>
    </row>
    <row r="53" spans="1:26" s="24" customFormat="1" hidden="1" outlineLevel="2" x14ac:dyDescent="0.25">
      <c r="A53" s="27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1"/>
        <v>0</v>
      </c>
      <c r="G53" s="2"/>
      <c r="H53" s="6">
        <v>0</v>
      </c>
      <c r="I53" s="2"/>
      <c r="J53" s="7">
        <f t="shared" si="22"/>
        <v>0</v>
      </c>
      <c r="K53" s="2"/>
      <c r="L53" s="6">
        <f t="shared" si="23"/>
        <v>0</v>
      </c>
      <c r="M53" s="2"/>
      <c r="N53" s="7">
        <f t="shared" si="24"/>
        <v>0</v>
      </c>
      <c r="O53" s="11"/>
      <c r="P53" s="6"/>
      <c r="Q53" s="2"/>
      <c r="R53" s="7">
        <f t="shared" si="25"/>
        <v>0</v>
      </c>
      <c r="S53" s="2"/>
      <c r="T53" s="6">
        <v>0</v>
      </c>
      <c r="U53" s="2"/>
      <c r="V53" s="7">
        <f t="shared" si="26"/>
        <v>0</v>
      </c>
      <c r="W53" s="2"/>
      <c r="X53" s="6">
        <f t="shared" si="27"/>
        <v>0</v>
      </c>
      <c r="Y53" s="2"/>
      <c r="Z53" s="7">
        <f t="shared" si="28"/>
        <v>0</v>
      </c>
    </row>
    <row r="54" spans="1:26" s="24" customFormat="1" hidden="1" outlineLevel="2" x14ac:dyDescent="0.25">
      <c r="A54" s="27"/>
      <c r="B54" s="11" t="str">
        <f>CONCATENATE("          ", "6004", " - ", "STAFF HOURLY")</f>
        <v xml:space="preserve">          6004 - STAFF HOURLY</v>
      </c>
      <c r="C54" s="11"/>
      <c r="D54" s="6"/>
      <c r="E54" s="2"/>
      <c r="F54" s="7">
        <f t="shared" si="21"/>
        <v>0</v>
      </c>
      <c r="G54" s="2"/>
      <c r="H54" s="6">
        <v>3220</v>
      </c>
      <c r="I54" s="2"/>
      <c r="J54" s="7">
        <f t="shared" si="22"/>
        <v>5.7939721097615832E-2</v>
      </c>
      <c r="K54" s="2"/>
      <c r="L54" s="6">
        <f t="shared" si="23"/>
        <v>-3220</v>
      </c>
      <c r="M54" s="2"/>
      <c r="N54" s="7">
        <f t="shared" si="24"/>
        <v>-1</v>
      </c>
      <c r="O54" s="11"/>
      <c r="P54" s="6"/>
      <c r="Q54" s="2"/>
      <c r="R54" s="7">
        <f t="shared" si="25"/>
        <v>0</v>
      </c>
      <c r="S54" s="2"/>
      <c r="T54" s="6">
        <v>12460</v>
      </c>
      <c r="U54" s="2"/>
      <c r="V54" s="7">
        <f t="shared" si="26"/>
        <v>4.7737177338250086E-2</v>
      </c>
      <c r="W54" s="2"/>
      <c r="X54" s="6">
        <f t="shared" si="27"/>
        <v>-12460</v>
      </c>
      <c r="Y54" s="2"/>
      <c r="Z54" s="7">
        <f t="shared" si="28"/>
        <v>-1</v>
      </c>
    </row>
    <row r="55" spans="1:26" s="24" customFormat="1" hidden="1" outlineLevel="2" x14ac:dyDescent="0.25">
      <c r="A55" s="27"/>
      <c r="B55" s="11" t="str">
        <f>CONCATENATE("          ", "6005", " - ", "TEMPORARY WAGES-HOURLY")</f>
        <v xml:space="preserve">          6005 - TEMPORARY WAGES-HOURLY</v>
      </c>
      <c r="C55" s="11"/>
      <c r="D55" s="6">
        <v>4012.75</v>
      </c>
      <c r="E55" s="2"/>
      <c r="F55" s="7">
        <f t="shared" si="21"/>
        <v>6.9753632482012509E-2</v>
      </c>
      <c r="G55" s="2"/>
      <c r="H55" s="6">
        <v>0</v>
      </c>
      <c r="I55" s="2"/>
      <c r="J55" s="7">
        <f t="shared" si="22"/>
        <v>0</v>
      </c>
      <c r="K55" s="2"/>
      <c r="L55" s="6">
        <f t="shared" si="23"/>
        <v>4012.75</v>
      </c>
      <c r="M55" s="2"/>
      <c r="N55" s="7">
        <f t="shared" si="24"/>
        <v>0</v>
      </c>
      <c r="O55" s="11"/>
      <c r="P55" s="6">
        <v>8195.25</v>
      </c>
      <c r="Q55" s="2"/>
      <c r="R55" s="7">
        <f t="shared" si="25"/>
        <v>3.5710440259476041E-2</v>
      </c>
      <c r="S55" s="2"/>
      <c r="T55" s="6">
        <v>0</v>
      </c>
      <c r="U55" s="2"/>
      <c r="V55" s="7">
        <f t="shared" si="26"/>
        <v>0</v>
      </c>
      <c r="W55" s="2"/>
      <c r="X55" s="6">
        <f t="shared" si="27"/>
        <v>8195.25</v>
      </c>
      <c r="Y55" s="2"/>
      <c r="Z55" s="7">
        <f t="shared" si="28"/>
        <v>0</v>
      </c>
    </row>
    <row r="56" spans="1:26" s="24" customFormat="1" hidden="1" outlineLevel="2" x14ac:dyDescent="0.25">
      <c r="A56" s="27"/>
      <c r="B56" s="11" t="str">
        <f>CONCATENATE("          ", "6006", " - ", "TEMPORARY PART TIME")</f>
        <v xml:space="preserve">          6006 - TEMPORARY PART TIME</v>
      </c>
      <c r="C56" s="11"/>
      <c r="D56" s="6"/>
      <c r="E56" s="2"/>
      <c r="F56" s="7">
        <f t="shared" si="21"/>
        <v>0</v>
      </c>
      <c r="G56" s="2"/>
      <c r="H56" s="6">
        <v>0</v>
      </c>
      <c r="I56" s="2"/>
      <c r="J56" s="7">
        <f t="shared" si="22"/>
        <v>0</v>
      </c>
      <c r="K56" s="2"/>
      <c r="L56" s="6">
        <f t="shared" si="23"/>
        <v>0</v>
      </c>
      <c r="M56" s="2"/>
      <c r="N56" s="7">
        <f t="shared" si="24"/>
        <v>0</v>
      </c>
      <c r="O56" s="11"/>
      <c r="P56" s="6">
        <v>57.37</v>
      </c>
      <c r="Q56" s="2"/>
      <c r="R56" s="7">
        <f t="shared" si="25"/>
        <v>2.4998724354792598E-4</v>
      </c>
      <c r="S56" s="2"/>
      <c r="T56" s="6">
        <v>0</v>
      </c>
      <c r="U56" s="2"/>
      <c r="V56" s="7">
        <f t="shared" si="26"/>
        <v>0</v>
      </c>
      <c r="W56" s="2"/>
      <c r="X56" s="6">
        <f t="shared" si="27"/>
        <v>57.37</v>
      </c>
      <c r="Y56" s="2"/>
      <c r="Z56" s="7">
        <f t="shared" si="28"/>
        <v>0</v>
      </c>
    </row>
    <row r="57" spans="1:26" s="24" customFormat="1" hidden="1" outlineLevel="2" x14ac:dyDescent="0.25">
      <c r="A57" s="27"/>
      <c r="B57" s="11" t="str">
        <f>CONCATENATE("          ", "6007", " - ", "STUDENT HOURLY")</f>
        <v xml:space="preserve">          6007 - STUDENT HOURLY</v>
      </c>
      <c r="C57" s="11"/>
      <c r="D57" s="6">
        <v>3848.01</v>
      </c>
      <c r="E57" s="2"/>
      <c r="F57" s="7">
        <f t="shared" si="21"/>
        <v>6.6889957093541577E-2</v>
      </c>
      <c r="G57" s="2"/>
      <c r="H57" s="6">
        <v>0</v>
      </c>
      <c r="I57" s="2"/>
      <c r="J57" s="7">
        <f t="shared" si="22"/>
        <v>0</v>
      </c>
      <c r="K57" s="2"/>
      <c r="L57" s="6">
        <f t="shared" si="23"/>
        <v>3848.01</v>
      </c>
      <c r="M57" s="2"/>
      <c r="N57" s="7">
        <f t="shared" si="24"/>
        <v>0</v>
      </c>
      <c r="O57" s="11"/>
      <c r="P57" s="6">
        <v>17069.27</v>
      </c>
      <c r="Q57" s="2"/>
      <c r="R57" s="7">
        <f t="shared" si="25"/>
        <v>7.4378590843216089E-2</v>
      </c>
      <c r="S57" s="2"/>
      <c r="T57" s="6">
        <v>3756.1363631999998</v>
      </c>
      <c r="U57" s="2"/>
      <c r="V57" s="7">
        <f t="shared" si="26"/>
        <v>1.439063785527513E-2</v>
      </c>
      <c r="W57" s="2"/>
      <c r="X57" s="6">
        <f t="shared" si="27"/>
        <v>13313.133636800001</v>
      </c>
      <c r="Y57" s="2"/>
      <c r="Z57" s="7">
        <f t="shared" si="28"/>
        <v>3.5443690935272705</v>
      </c>
    </row>
    <row r="58" spans="1:26" s="24" customFormat="1" hidden="1" outlineLevel="2" x14ac:dyDescent="0.25">
      <c r="A58" s="27"/>
      <c r="B58" s="11" t="str">
        <f>CONCATENATE("          ", "6008", " - ", "STUDENT HOURLY-FICA EXEMPT")</f>
        <v xml:space="preserve">          6008 - STUDENT HOURLY-FICA EXEMPT</v>
      </c>
      <c r="C58" s="11"/>
      <c r="D58" s="6"/>
      <c r="E58" s="2"/>
      <c r="F58" s="7">
        <f t="shared" si="21"/>
        <v>0</v>
      </c>
      <c r="G58" s="2"/>
      <c r="H58" s="6">
        <v>4529.0849282400004</v>
      </c>
      <c r="I58" s="2"/>
      <c r="J58" s="7">
        <f t="shared" si="22"/>
        <v>8.1495005456410266E-2</v>
      </c>
      <c r="K58" s="2"/>
      <c r="L58" s="6">
        <f t="shared" si="23"/>
        <v>-4529.0849282400004</v>
      </c>
      <c r="M58" s="2"/>
      <c r="N58" s="7">
        <f t="shared" si="24"/>
        <v>-1</v>
      </c>
      <c r="O58" s="11"/>
      <c r="P58" s="6"/>
      <c r="Q58" s="2"/>
      <c r="R58" s="7">
        <f t="shared" si="25"/>
        <v>0</v>
      </c>
      <c r="S58" s="2"/>
      <c r="T58" s="6">
        <v>12502.087320479999</v>
      </c>
      <c r="U58" s="2"/>
      <c r="V58" s="7">
        <f t="shared" si="26"/>
        <v>4.7898423717178291E-2</v>
      </c>
      <c r="W58" s="2"/>
      <c r="X58" s="6">
        <f t="shared" si="27"/>
        <v>-12502.087320479999</v>
      </c>
      <c r="Y58" s="2"/>
      <c r="Z58" s="7">
        <f t="shared" si="28"/>
        <v>-1</v>
      </c>
    </row>
    <row r="59" spans="1:26" s="24" customFormat="1" hidden="1" outlineLevel="2" x14ac:dyDescent="0.25">
      <c r="A59" s="27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1"/>
        <v>0</v>
      </c>
      <c r="G59" s="2"/>
      <c r="H59" s="6">
        <v>0</v>
      </c>
      <c r="I59" s="2"/>
      <c r="J59" s="7">
        <f t="shared" si="22"/>
        <v>0</v>
      </c>
      <c r="K59" s="2"/>
      <c r="L59" s="6">
        <f t="shared" si="23"/>
        <v>0</v>
      </c>
      <c r="M59" s="2"/>
      <c r="N59" s="7">
        <f t="shared" si="24"/>
        <v>0</v>
      </c>
      <c r="O59" s="11"/>
      <c r="P59" s="6"/>
      <c r="Q59" s="2"/>
      <c r="R59" s="7">
        <f t="shared" si="25"/>
        <v>0</v>
      </c>
      <c r="S59" s="2"/>
      <c r="T59" s="6">
        <v>0</v>
      </c>
      <c r="U59" s="2"/>
      <c r="V59" s="7">
        <f t="shared" si="26"/>
        <v>0</v>
      </c>
      <c r="W59" s="2"/>
      <c r="X59" s="6">
        <f t="shared" si="27"/>
        <v>0</v>
      </c>
      <c r="Y59" s="2"/>
      <c r="Z59" s="7">
        <f t="shared" si="28"/>
        <v>0</v>
      </c>
    </row>
    <row r="60" spans="1:26" s="24" customFormat="1" hidden="1" outlineLevel="2" x14ac:dyDescent="0.25">
      <c r="A60" s="27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1"/>
        <v>0</v>
      </c>
      <c r="G60" s="2"/>
      <c r="H60" s="6">
        <v>0</v>
      </c>
      <c r="I60" s="2"/>
      <c r="J60" s="7">
        <f t="shared" si="22"/>
        <v>0</v>
      </c>
      <c r="K60" s="2"/>
      <c r="L60" s="6">
        <f t="shared" si="23"/>
        <v>0</v>
      </c>
      <c r="M60" s="2"/>
      <c r="N60" s="7">
        <f t="shared" si="24"/>
        <v>0</v>
      </c>
      <c r="O60" s="11"/>
      <c r="P60" s="6"/>
      <c r="Q60" s="2"/>
      <c r="R60" s="7">
        <f t="shared" si="25"/>
        <v>0</v>
      </c>
      <c r="S60" s="2"/>
      <c r="T60" s="6">
        <v>0</v>
      </c>
      <c r="U60" s="2"/>
      <c r="V60" s="7">
        <f t="shared" si="26"/>
        <v>0</v>
      </c>
      <c r="W60" s="2"/>
      <c r="X60" s="6">
        <f t="shared" si="27"/>
        <v>0</v>
      </c>
      <c r="Y60" s="2"/>
      <c r="Z60" s="7">
        <f t="shared" si="28"/>
        <v>0</v>
      </c>
    </row>
    <row r="61" spans="1:26" s="26" customFormat="1" outlineLevel="1" collapsed="1" x14ac:dyDescent="0.25">
      <c r="A61" s="25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0</v>
      </c>
      <c r="E61" s="1"/>
      <c r="F61" s="5">
        <f t="shared" ref="F61:F73" si="29">IF(D$12=0,0,D61/D$12)</f>
        <v>0</v>
      </c>
      <c r="G61" s="1"/>
      <c r="H61" s="1">
        <f>SUM(OSRRefH22_2x_0)</f>
        <v>100</v>
      </c>
      <c r="I61" s="1"/>
      <c r="J61" s="5">
        <f t="shared" ref="J61:J73" si="30">IF(H$12=0,0,H61/H$12)</f>
        <v>1.7993702204228521E-3</v>
      </c>
      <c r="K61" s="1"/>
      <c r="L61" s="1">
        <f t="shared" ref="L61:L73" si="31">+D61-H61</f>
        <v>-100</v>
      </c>
      <c r="M61" s="1"/>
      <c r="N61" s="5">
        <f t="shared" ref="N61:N73" si="32">IF(H61=0,0,L61/H61)</f>
        <v>-1</v>
      </c>
      <c r="O61" s="13"/>
      <c r="P61" s="1">
        <f>SUM(OSRRefP22_2x_0)</f>
        <v>-857.46</v>
      </c>
      <c r="Q61" s="1"/>
      <c r="R61" s="5">
        <f t="shared" ref="R61:R73" si="33">IF(P$12=0,0,P61/P$12)</f>
        <v>-3.7363441145651845E-3</v>
      </c>
      <c r="S61" s="1"/>
      <c r="T61" s="1">
        <f>SUM(OSRRefT22_2x_0)</f>
        <v>400</v>
      </c>
      <c r="U61" s="1"/>
      <c r="V61" s="5">
        <f t="shared" ref="V61:V73" si="34">IF(T$12=0,0,T61/T$12)</f>
        <v>1.5324936545184618E-3</v>
      </c>
      <c r="W61" s="1"/>
      <c r="X61" s="1">
        <f t="shared" ref="X61:X73" si="35">+P61-T61</f>
        <v>-1257.46</v>
      </c>
      <c r="Y61" s="1"/>
      <c r="Z61" s="5">
        <f t="shared" ref="Z61:Z73" si="36">IF(T61=0,0,X61/T61)</f>
        <v>-3.1436500000000001</v>
      </c>
    </row>
    <row r="62" spans="1:26" s="24" customFormat="1" hidden="1" outlineLevel="2" x14ac:dyDescent="0.25">
      <c r="A62" s="27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29"/>
        <v>0</v>
      </c>
      <c r="G62" s="2"/>
      <c r="H62" s="6">
        <v>100</v>
      </c>
      <c r="I62" s="2"/>
      <c r="J62" s="7">
        <f t="shared" si="30"/>
        <v>1.7993702204228521E-3</v>
      </c>
      <c r="K62" s="2"/>
      <c r="L62" s="6">
        <f t="shared" si="31"/>
        <v>-100</v>
      </c>
      <c r="M62" s="2"/>
      <c r="N62" s="7">
        <f t="shared" si="32"/>
        <v>-1</v>
      </c>
      <c r="O62" s="11"/>
      <c r="P62" s="6">
        <v>-857.46</v>
      </c>
      <c r="Q62" s="2"/>
      <c r="R62" s="7">
        <f t="shared" si="33"/>
        <v>-3.7363441145651845E-3</v>
      </c>
      <c r="S62" s="2"/>
      <c r="T62" s="6">
        <v>400</v>
      </c>
      <c r="U62" s="2"/>
      <c r="V62" s="7">
        <f t="shared" si="34"/>
        <v>1.5324936545184618E-3</v>
      </c>
      <c r="W62" s="2"/>
      <c r="X62" s="6">
        <f t="shared" si="35"/>
        <v>-1257.46</v>
      </c>
      <c r="Y62" s="2"/>
      <c r="Z62" s="7">
        <f t="shared" si="36"/>
        <v>-3.1436500000000001</v>
      </c>
    </row>
    <row r="63" spans="1:26" s="26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0</v>
      </c>
      <c r="E63" s="1"/>
      <c r="F63" s="5">
        <f t="shared" si="29"/>
        <v>0</v>
      </c>
      <c r="G63" s="1"/>
      <c r="H63" s="1">
        <f>SUM(OSRRefH22_3x_0)</f>
        <v>0</v>
      </c>
      <c r="I63" s="1"/>
      <c r="J63" s="5">
        <f t="shared" si="30"/>
        <v>0</v>
      </c>
      <c r="K63" s="1"/>
      <c r="L63" s="1">
        <f t="shared" si="31"/>
        <v>0</v>
      </c>
      <c r="M63" s="1"/>
      <c r="N63" s="5">
        <f t="shared" si="32"/>
        <v>0</v>
      </c>
      <c r="O63" s="13"/>
      <c r="P63" s="1">
        <f>SUM(OSRRefP22_3x_0)</f>
        <v>0</v>
      </c>
      <c r="Q63" s="1"/>
      <c r="R63" s="5">
        <f t="shared" si="33"/>
        <v>0</v>
      </c>
      <c r="S63" s="1"/>
      <c r="T63" s="1">
        <f>SUM(OSRRefT22_3x_0)</f>
        <v>0</v>
      </c>
      <c r="U63" s="1"/>
      <c r="V63" s="5">
        <f t="shared" si="34"/>
        <v>0</v>
      </c>
      <c r="W63" s="1"/>
      <c r="X63" s="1">
        <f t="shared" si="35"/>
        <v>0</v>
      </c>
      <c r="Y63" s="1"/>
      <c r="Z63" s="5">
        <f t="shared" si="36"/>
        <v>0</v>
      </c>
    </row>
    <row r="64" spans="1:26" s="24" customFormat="1" hidden="1" outlineLevel="2" x14ac:dyDescent="0.2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6"/>
      <c r="E64" s="2"/>
      <c r="F64" s="7">
        <f t="shared" si="29"/>
        <v>0</v>
      </c>
      <c r="G64" s="2"/>
      <c r="H64" s="6">
        <v>0</v>
      </c>
      <c r="I64" s="2"/>
      <c r="J64" s="7">
        <f t="shared" si="30"/>
        <v>0</v>
      </c>
      <c r="K64" s="2"/>
      <c r="L64" s="6">
        <f t="shared" si="31"/>
        <v>0</v>
      </c>
      <c r="M64" s="2"/>
      <c r="N64" s="7">
        <f t="shared" si="32"/>
        <v>0</v>
      </c>
      <c r="O64" s="11"/>
      <c r="P64" s="6"/>
      <c r="Q64" s="2"/>
      <c r="R64" s="7">
        <f t="shared" si="33"/>
        <v>0</v>
      </c>
      <c r="S64" s="2"/>
      <c r="T64" s="6">
        <v>0</v>
      </c>
      <c r="U64" s="2"/>
      <c r="V64" s="7">
        <f t="shared" si="34"/>
        <v>0</v>
      </c>
      <c r="W64" s="2"/>
      <c r="X64" s="6">
        <f t="shared" si="35"/>
        <v>0</v>
      </c>
      <c r="Y64" s="2"/>
      <c r="Z64" s="7">
        <f t="shared" si="36"/>
        <v>0</v>
      </c>
    </row>
    <row r="65" spans="1:26" s="26" customFormat="1" outlineLevel="1" collapsed="1" x14ac:dyDescent="0.25">
      <c r="A65" s="25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321.91000000000003</v>
      </c>
      <c r="E65" s="1"/>
      <c r="F65" s="5">
        <f t="shared" si="29"/>
        <v>5.5957614683906668E-3</v>
      </c>
      <c r="G65" s="1"/>
      <c r="H65" s="1">
        <f>SUM(OSRRefH22_4x_0)</f>
        <v>700</v>
      </c>
      <c r="I65" s="1"/>
      <c r="J65" s="5">
        <f t="shared" si="30"/>
        <v>1.2595591542959963E-2</v>
      </c>
      <c r="K65" s="1"/>
      <c r="L65" s="1">
        <f t="shared" si="31"/>
        <v>-378.09</v>
      </c>
      <c r="M65" s="1"/>
      <c r="N65" s="5">
        <f t="shared" si="32"/>
        <v>-0.5401285714285714</v>
      </c>
      <c r="O65" s="13"/>
      <c r="P65" s="1">
        <f>SUM(OSRRefP22_4x_0)</f>
        <v>627.72</v>
      </c>
      <c r="Q65" s="1"/>
      <c r="R65" s="5">
        <f t="shared" si="33"/>
        <v>2.735262201845984E-3</v>
      </c>
      <c r="S65" s="1"/>
      <c r="T65" s="1">
        <f>SUM(OSRRefT22_4x_0)</f>
        <v>3200</v>
      </c>
      <c r="U65" s="1"/>
      <c r="V65" s="5">
        <f t="shared" si="34"/>
        <v>1.2259949236147694E-2</v>
      </c>
      <c r="W65" s="1"/>
      <c r="X65" s="1">
        <f t="shared" si="35"/>
        <v>-2572.2799999999997</v>
      </c>
      <c r="Y65" s="1"/>
      <c r="Z65" s="5">
        <f t="shared" si="36"/>
        <v>-0.80383749999999987</v>
      </c>
    </row>
    <row r="66" spans="1:26" s="24" customFormat="1" hidden="1" outlineLevel="2" x14ac:dyDescent="0.25">
      <c r="A66" s="27"/>
      <c r="B66" s="11" t="str">
        <f>CONCATENATE("          ", "6382", " - ", "DISCOUNTS/MARK DOWNS")</f>
        <v xml:space="preserve">          6382 - DISCOUNTS/MARK DOWNS</v>
      </c>
      <c r="C66" s="11"/>
      <c r="D66" s="6">
        <v>321.91000000000003</v>
      </c>
      <c r="E66" s="2"/>
      <c r="F66" s="7">
        <f t="shared" si="29"/>
        <v>5.5957614683906668E-3</v>
      </c>
      <c r="G66" s="2"/>
      <c r="H66" s="6">
        <v>700</v>
      </c>
      <c r="I66" s="2"/>
      <c r="J66" s="7">
        <f t="shared" si="30"/>
        <v>1.2595591542959963E-2</v>
      </c>
      <c r="K66" s="2"/>
      <c r="L66" s="6">
        <f t="shared" si="31"/>
        <v>-378.09</v>
      </c>
      <c r="M66" s="2"/>
      <c r="N66" s="7">
        <f t="shared" si="32"/>
        <v>-0.5401285714285714</v>
      </c>
      <c r="O66" s="11"/>
      <c r="P66" s="6">
        <v>627.72</v>
      </c>
      <c r="Q66" s="2"/>
      <c r="R66" s="7">
        <f t="shared" si="33"/>
        <v>2.735262201845984E-3</v>
      </c>
      <c r="S66" s="2"/>
      <c r="T66" s="6">
        <v>3200</v>
      </c>
      <c r="U66" s="2"/>
      <c r="V66" s="7">
        <f t="shared" si="34"/>
        <v>1.2259949236147694E-2</v>
      </c>
      <c r="W66" s="2"/>
      <c r="X66" s="6">
        <f t="shared" si="35"/>
        <v>-2572.2799999999997</v>
      </c>
      <c r="Y66" s="2"/>
      <c r="Z66" s="7">
        <f t="shared" si="36"/>
        <v>-0.80383749999999987</v>
      </c>
    </row>
    <row r="67" spans="1:26" s="26" customFormat="1" outlineLevel="1" collapsed="1" x14ac:dyDescent="0.25">
      <c r="A67" s="25"/>
      <c r="B67" s="13" t="str">
        <f>CONCATENATE("     ","Employees' Appreciation                           ")</f>
        <v xml:space="preserve">     Employees' Appreciation                           </v>
      </c>
      <c r="C67" s="13"/>
      <c r="D67" s="1">
        <f>SUM(OSRRefD22_5x_0)</f>
        <v>0</v>
      </c>
      <c r="E67" s="1"/>
      <c r="F67" s="5">
        <f t="shared" si="29"/>
        <v>0</v>
      </c>
      <c r="G67" s="1"/>
      <c r="H67" s="1">
        <f>SUM(OSRRefH22_5x_0)</f>
        <v>100</v>
      </c>
      <c r="I67" s="1"/>
      <c r="J67" s="5">
        <f t="shared" si="30"/>
        <v>1.7993702204228521E-3</v>
      </c>
      <c r="K67" s="1"/>
      <c r="L67" s="1">
        <f t="shared" si="31"/>
        <v>-100</v>
      </c>
      <c r="M67" s="1"/>
      <c r="N67" s="5">
        <f t="shared" si="32"/>
        <v>-1</v>
      </c>
      <c r="O67" s="13"/>
      <c r="P67" s="1">
        <f>SUM(OSRRefP22_5x_0)</f>
        <v>0</v>
      </c>
      <c r="Q67" s="1"/>
      <c r="R67" s="5">
        <f t="shared" si="33"/>
        <v>0</v>
      </c>
      <c r="S67" s="1"/>
      <c r="T67" s="1">
        <f>SUM(OSRRefT22_5x_0)</f>
        <v>400</v>
      </c>
      <c r="U67" s="1"/>
      <c r="V67" s="5">
        <f t="shared" si="34"/>
        <v>1.5324936545184618E-3</v>
      </c>
      <c r="W67" s="1"/>
      <c r="X67" s="1">
        <f t="shared" si="35"/>
        <v>-400</v>
      </c>
      <c r="Y67" s="1"/>
      <c r="Z67" s="5">
        <f t="shared" si="36"/>
        <v>-1</v>
      </c>
    </row>
    <row r="68" spans="1:26" s="24" customFormat="1" hidden="1" outlineLevel="2" x14ac:dyDescent="0.25">
      <c r="A68" s="27"/>
      <c r="B68" s="11" t="str">
        <f>CONCATENATE("          ", "6277", " - ", "EMPLOYEE APPRECIATION")</f>
        <v xml:space="preserve">          6277 - EMPLOYEE APPRECIATION</v>
      </c>
      <c r="C68" s="11"/>
      <c r="D68" s="6"/>
      <c r="E68" s="2"/>
      <c r="F68" s="7">
        <f t="shared" si="29"/>
        <v>0</v>
      </c>
      <c r="G68" s="2"/>
      <c r="H68" s="6">
        <v>100</v>
      </c>
      <c r="I68" s="2"/>
      <c r="J68" s="7">
        <f t="shared" si="30"/>
        <v>1.7993702204228521E-3</v>
      </c>
      <c r="K68" s="2"/>
      <c r="L68" s="6">
        <f t="shared" si="31"/>
        <v>-100</v>
      </c>
      <c r="M68" s="2"/>
      <c r="N68" s="7">
        <f t="shared" si="32"/>
        <v>-1</v>
      </c>
      <c r="O68" s="11"/>
      <c r="P68" s="6"/>
      <c r="Q68" s="2"/>
      <c r="R68" s="7">
        <f t="shared" si="33"/>
        <v>0</v>
      </c>
      <c r="S68" s="2"/>
      <c r="T68" s="6">
        <v>400</v>
      </c>
      <c r="U68" s="2"/>
      <c r="V68" s="7">
        <f t="shared" si="34"/>
        <v>1.5324936545184618E-3</v>
      </c>
      <c r="W68" s="2"/>
      <c r="X68" s="6">
        <f t="shared" si="35"/>
        <v>-400</v>
      </c>
      <c r="Y68" s="2"/>
      <c r="Z68" s="7">
        <f t="shared" si="36"/>
        <v>-1</v>
      </c>
    </row>
    <row r="69" spans="1:26" s="26" customFormat="1" outlineLevel="1" collapsed="1" x14ac:dyDescent="0.25">
      <c r="A69" s="25"/>
      <c r="B69" s="13" t="str">
        <f>CONCATENATE("     ","Equipment Rental                                  ")</f>
        <v xml:space="preserve">     Equipment Rental                                  </v>
      </c>
      <c r="C69" s="13"/>
      <c r="D69" s="1">
        <f>SUM(OSRRefD22_6x_0)</f>
        <v>2411.2800000000002</v>
      </c>
      <c r="E69" s="1"/>
      <c r="F69" s="5">
        <f t="shared" si="29"/>
        <v>4.1915279778512775E-2</v>
      </c>
      <c r="G69" s="1"/>
      <c r="H69" s="1">
        <f>SUM(OSRRefH22_6x_0)</f>
        <v>3000</v>
      </c>
      <c r="I69" s="1"/>
      <c r="J69" s="5">
        <f t="shared" si="30"/>
        <v>5.3981106612685563E-2</v>
      </c>
      <c r="K69" s="1"/>
      <c r="L69" s="1">
        <f t="shared" si="31"/>
        <v>-588.7199999999998</v>
      </c>
      <c r="M69" s="1"/>
      <c r="N69" s="5">
        <f t="shared" si="32"/>
        <v>-0.19623999999999994</v>
      </c>
      <c r="O69" s="13"/>
      <c r="P69" s="1">
        <f>SUM(OSRRefP22_6x_0)</f>
        <v>6028.2</v>
      </c>
      <c r="Q69" s="1"/>
      <c r="R69" s="5">
        <f t="shared" si="33"/>
        <v>2.6267615505588416E-2</v>
      </c>
      <c r="S69" s="1"/>
      <c r="T69" s="1">
        <f>SUM(OSRRefT22_6x_0)</f>
        <v>12000</v>
      </c>
      <c r="U69" s="1"/>
      <c r="V69" s="5">
        <f t="shared" si="34"/>
        <v>4.5974809635553851E-2</v>
      </c>
      <c r="W69" s="1"/>
      <c r="X69" s="1">
        <f t="shared" si="35"/>
        <v>-5971.8</v>
      </c>
      <c r="Y69" s="1"/>
      <c r="Z69" s="5">
        <f t="shared" si="36"/>
        <v>-0.49765000000000004</v>
      </c>
    </row>
    <row r="70" spans="1:26" s="24" customFormat="1" hidden="1" outlineLevel="2" x14ac:dyDescent="0.25">
      <c r="A70" s="27"/>
      <c r="B70" s="11" t="str">
        <f>CONCATENATE("          ", "6351", " - ", "EQUIPMENT RENTAL")</f>
        <v xml:space="preserve">          6351 - EQUIPMENT RENTAL</v>
      </c>
      <c r="C70" s="11"/>
      <c r="D70" s="6">
        <v>2411.2800000000002</v>
      </c>
      <c r="E70" s="2"/>
      <c r="F70" s="7">
        <f t="shared" si="29"/>
        <v>4.1915279778512775E-2</v>
      </c>
      <c r="G70" s="2"/>
      <c r="H70" s="6">
        <v>3000</v>
      </c>
      <c r="I70" s="2"/>
      <c r="J70" s="7">
        <f t="shared" si="30"/>
        <v>5.3981106612685563E-2</v>
      </c>
      <c r="K70" s="2"/>
      <c r="L70" s="6">
        <f t="shared" si="31"/>
        <v>-588.7199999999998</v>
      </c>
      <c r="M70" s="2"/>
      <c r="N70" s="7">
        <f t="shared" si="32"/>
        <v>-0.19623999999999994</v>
      </c>
      <c r="O70" s="11"/>
      <c r="P70" s="6">
        <v>6028.2</v>
      </c>
      <c r="Q70" s="2"/>
      <c r="R70" s="7">
        <f t="shared" si="33"/>
        <v>2.6267615505588416E-2</v>
      </c>
      <c r="S70" s="2"/>
      <c r="T70" s="6">
        <v>12000</v>
      </c>
      <c r="U70" s="2"/>
      <c r="V70" s="7">
        <f t="shared" si="34"/>
        <v>4.5974809635553851E-2</v>
      </c>
      <c r="W70" s="2"/>
      <c r="X70" s="6">
        <f t="shared" si="35"/>
        <v>-5971.8</v>
      </c>
      <c r="Y70" s="2"/>
      <c r="Z70" s="7">
        <f t="shared" si="36"/>
        <v>-0.49765000000000004</v>
      </c>
    </row>
    <row r="71" spans="1:26" s="26" customFormat="1" outlineLevel="1" collapsed="1" x14ac:dyDescent="0.25">
      <c r="A71" s="25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SUM(OSRRefD22_7x_0)</f>
        <v>234.75</v>
      </c>
      <c r="E71" s="1"/>
      <c r="F71" s="5">
        <f t="shared" si="29"/>
        <v>4.0806592050719424E-3</v>
      </c>
      <c r="G71" s="1"/>
      <c r="H71" s="1">
        <f>SUM(OSRRefH22_7x_0)</f>
        <v>-10300</v>
      </c>
      <c r="I71" s="1"/>
      <c r="J71" s="5">
        <f t="shared" si="30"/>
        <v>-0.18533513270355376</v>
      </c>
      <c r="K71" s="1"/>
      <c r="L71" s="1">
        <f t="shared" si="31"/>
        <v>10534.75</v>
      </c>
      <c r="M71" s="1"/>
      <c r="N71" s="5">
        <f t="shared" si="32"/>
        <v>-1.0227912621359223</v>
      </c>
      <c r="O71" s="13"/>
      <c r="P71" s="1">
        <f>SUM(OSRRefP22_7x_0)</f>
        <v>-8278.4699999999975</v>
      </c>
      <c r="Q71" s="1"/>
      <c r="R71" s="5">
        <f t="shared" si="33"/>
        <v>-3.6073067737392335E-2</v>
      </c>
      <c r="S71" s="1"/>
      <c r="T71" s="1">
        <f>SUM(OSRRefT22_7x_0)</f>
        <v>-40200</v>
      </c>
      <c r="U71" s="1"/>
      <c r="V71" s="5">
        <f t="shared" si="34"/>
        <v>-0.1540156122791054</v>
      </c>
      <c r="W71" s="1"/>
      <c r="X71" s="1">
        <f t="shared" si="35"/>
        <v>31921.530000000002</v>
      </c>
      <c r="Y71" s="1"/>
      <c r="Z71" s="5">
        <f t="shared" si="36"/>
        <v>-0.79406791044776126</v>
      </c>
    </row>
    <row r="72" spans="1:26" s="24" customFormat="1" hidden="1" outlineLevel="2" x14ac:dyDescent="0.25">
      <c r="A72" s="27"/>
      <c r="B72" s="11" t="str">
        <f>CONCATENATE("          ", "6305", " - ", "FREIGHT OUT")</f>
        <v xml:space="preserve">          6305 - FREIGHT OUT</v>
      </c>
      <c r="C72" s="11"/>
      <c r="D72" s="6">
        <v>3195.83</v>
      </c>
      <c r="E72" s="2"/>
      <c r="F72" s="7">
        <f t="shared" si="29"/>
        <v>5.5553112278360232E-2</v>
      </c>
      <c r="G72" s="2"/>
      <c r="H72" s="6">
        <v>-10300</v>
      </c>
      <c r="I72" s="2"/>
      <c r="J72" s="7">
        <f t="shared" si="30"/>
        <v>-0.18533513270355376</v>
      </c>
      <c r="K72" s="2"/>
      <c r="L72" s="6">
        <f t="shared" si="31"/>
        <v>13495.83</v>
      </c>
      <c r="M72" s="2"/>
      <c r="N72" s="7">
        <f t="shared" si="32"/>
        <v>-1.3102747572815534</v>
      </c>
      <c r="O72" s="11"/>
      <c r="P72" s="6">
        <v>15325.150000000001</v>
      </c>
      <c r="Q72" s="2"/>
      <c r="R72" s="7">
        <f t="shared" si="33"/>
        <v>6.6778664902536145E-2</v>
      </c>
      <c r="S72" s="2"/>
      <c r="T72" s="6">
        <v>-40200</v>
      </c>
      <c r="U72" s="2"/>
      <c r="V72" s="7">
        <f t="shared" si="34"/>
        <v>-0.1540156122791054</v>
      </c>
      <c r="W72" s="2"/>
      <c r="X72" s="6">
        <f t="shared" si="35"/>
        <v>55525.15</v>
      </c>
      <c r="Y72" s="2"/>
      <c r="Z72" s="7">
        <f t="shared" si="36"/>
        <v>-1.3812226368159204</v>
      </c>
    </row>
    <row r="73" spans="1:26" s="24" customFormat="1" hidden="1" outlineLevel="2" x14ac:dyDescent="0.25">
      <c r="A73" s="27"/>
      <c r="B73" s="11" t="str">
        <f>CONCATENATE("          ", "6307", " - ", "POSTAGE")</f>
        <v xml:space="preserve">          6307 - POSTAGE</v>
      </c>
      <c r="C73" s="11"/>
      <c r="D73" s="6">
        <v>-2961.08</v>
      </c>
      <c r="E73" s="2"/>
      <c r="F73" s="7">
        <f t="shared" si="29"/>
        <v>-5.1472453073288287E-2</v>
      </c>
      <c r="G73" s="2"/>
      <c r="H73" s="6"/>
      <c r="I73" s="2"/>
      <c r="J73" s="7">
        <f t="shared" si="30"/>
        <v>0</v>
      </c>
      <c r="K73" s="2"/>
      <c r="L73" s="6">
        <f t="shared" si="31"/>
        <v>-2961.08</v>
      </c>
      <c r="M73" s="2"/>
      <c r="N73" s="7">
        <f t="shared" si="32"/>
        <v>0</v>
      </c>
      <c r="O73" s="11"/>
      <c r="P73" s="6">
        <v>-23603.62</v>
      </c>
      <c r="Q73" s="2"/>
      <c r="R73" s="7">
        <f t="shared" si="33"/>
        <v>-0.10285173263992847</v>
      </c>
      <c r="S73" s="2"/>
      <c r="T73" s="6"/>
      <c r="U73" s="2"/>
      <c r="V73" s="7">
        <f t="shared" si="34"/>
        <v>0</v>
      </c>
      <c r="W73" s="2"/>
      <c r="X73" s="6">
        <f t="shared" si="35"/>
        <v>-23603.62</v>
      </c>
      <c r="Y73" s="2"/>
      <c r="Z73" s="7">
        <f t="shared" si="36"/>
        <v>0</v>
      </c>
    </row>
    <row r="74" spans="1:26" s="26" customFormat="1" outlineLevel="1" collapsed="1" x14ac:dyDescent="0.25">
      <c r="A74" s="25"/>
      <c r="B74" s="13" t="str">
        <f>CONCATENATE("     ","General                                           ")</f>
        <v xml:space="preserve">     General                                           </v>
      </c>
      <c r="C74" s="13"/>
      <c r="D74" s="1">
        <f>SUM(OSRRefD22_8x_0)</f>
        <v>0</v>
      </c>
      <c r="E74" s="1"/>
      <c r="F74" s="5">
        <f t="shared" ref="F74:F82" si="37">IF(D$12=0,0,D74/D$12)</f>
        <v>0</v>
      </c>
      <c r="G74" s="1"/>
      <c r="H74" s="1">
        <f>SUM(OSRRefH22_8x_0)</f>
        <v>300</v>
      </c>
      <c r="I74" s="1"/>
      <c r="J74" s="5">
        <f t="shared" ref="J74:J82" si="38">IF(H$12=0,0,H74/H$12)</f>
        <v>5.3981106612685558E-3</v>
      </c>
      <c r="K74" s="1"/>
      <c r="L74" s="1">
        <f t="shared" ref="L74:L82" si="39">+D74-H74</f>
        <v>-300</v>
      </c>
      <c r="M74" s="1"/>
      <c r="N74" s="5">
        <f t="shared" ref="N74:N82" si="40">IF(H74=0,0,L74/H74)</f>
        <v>-1</v>
      </c>
      <c r="O74" s="13"/>
      <c r="P74" s="1">
        <f>SUM(OSRRefP22_8x_0)</f>
        <v>80.17</v>
      </c>
      <c r="Q74" s="1"/>
      <c r="R74" s="5">
        <f t="shared" ref="R74:R82" si="41">IF(P$12=0,0,P74/P$12)</f>
        <v>3.4933723749759854E-4</v>
      </c>
      <c r="S74" s="1"/>
      <c r="T74" s="1">
        <f>SUM(OSRRefT22_8x_0)</f>
        <v>1100</v>
      </c>
      <c r="U74" s="1"/>
      <c r="V74" s="5">
        <f t="shared" ref="V74:V82" si="42">IF(T$12=0,0,T74/T$12)</f>
        <v>4.21435754992577E-3</v>
      </c>
      <c r="W74" s="1"/>
      <c r="X74" s="1">
        <f t="shared" ref="X74:X82" si="43">+P74-T74</f>
        <v>-1019.83</v>
      </c>
      <c r="Y74" s="1"/>
      <c r="Z74" s="5">
        <f t="shared" ref="Z74:Z82" si="44">IF(T74=0,0,X74/T74)</f>
        <v>-0.92711818181818184</v>
      </c>
    </row>
    <row r="75" spans="1:26" s="24" customFormat="1" hidden="1" outlineLevel="2" x14ac:dyDescent="0.25">
      <c r="A75" s="27"/>
      <c r="B75" s="11" t="str">
        <f>CONCATENATE("          ", "6279", " - ", "GENERAL EXPENSE")</f>
        <v xml:space="preserve">          6279 - GENERAL EXPENSE</v>
      </c>
      <c r="C75" s="11"/>
      <c r="D75" s="6"/>
      <c r="E75" s="2"/>
      <c r="F75" s="7">
        <f t="shared" si="37"/>
        <v>0</v>
      </c>
      <c r="G75" s="2"/>
      <c r="H75" s="6">
        <v>300</v>
      </c>
      <c r="I75" s="2"/>
      <c r="J75" s="7">
        <f t="shared" si="38"/>
        <v>5.3981106612685558E-3</v>
      </c>
      <c r="K75" s="2"/>
      <c r="L75" s="6">
        <f t="shared" si="39"/>
        <v>-300</v>
      </c>
      <c r="M75" s="2"/>
      <c r="N75" s="7">
        <f t="shared" si="40"/>
        <v>-1</v>
      </c>
      <c r="O75" s="11"/>
      <c r="P75" s="6">
        <v>80.17</v>
      </c>
      <c r="Q75" s="2"/>
      <c r="R75" s="7">
        <f t="shared" si="41"/>
        <v>3.4933723749759854E-4</v>
      </c>
      <c r="S75" s="2"/>
      <c r="T75" s="6">
        <v>1100</v>
      </c>
      <c r="U75" s="2"/>
      <c r="V75" s="7">
        <f t="shared" si="42"/>
        <v>4.21435754992577E-3</v>
      </c>
      <c r="W75" s="2"/>
      <c r="X75" s="6">
        <f t="shared" si="43"/>
        <v>-1019.83</v>
      </c>
      <c r="Y75" s="2"/>
      <c r="Z75" s="7">
        <f t="shared" si="44"/>
        <v>-0.92711818181818184</v>
      </c>
    </row>
    <row r="76" spans="1:26" s="26" customFormat="1" outlineLevel="1" collapsed="1" x14ac:dyDescent="0.25">
      <c r="A76" s="25"/>
      <c r="B76" s="13" t="str">
        <f>CONCATENATE("     ","Inventory Adjustment                              ")</f>
        <v xml:space="preserve">     Inventory Adjustment                              </v>
      </c>
      <c r="C76" s="13"/>
      <c r="D76" s="1">
        <f>SUM(OSRRefD22_9x_0)</f>
        <v>100</v>
      </c>
      <c r="E76" s="1"/>
      <c r="F76" s="5">
        <f t="shared" si="37"/>
        <v>1.7382999808613171E-3</v>
      </c>
      <c r="G76" s="1"/>
      <c r="H76" s="1">
        <f>SUM(OSRRefH22_9x_0)</f>
        <v>100</v>
      </c>
      <c r="I76" s="1"/>
      <c r="J76" s="5">
        <f t="shared" si="38"/>
        <v>1.7993702204228521E-3</v>
      </c>
      <c r="K76" s="1"/>
      <c r="L76" s="1">
        <f t="shared" si="39"/>
        <v>0</v>
      </c>
      <c r="M76" s="1"/>
      <c r="N76" s="5">
        <f t="shared" si="40"/>
        <v>0</v>
      </c>
      <c r="O76" s="13"/>
      <c r="P76" s="1">
        <f>SUM(OSRRefP22_9x_0)</f>
        <v>300</v>
      </c>
      <c r="Q76" s="1"/>
      <c r="R76" s="5">
        <f t="shared" si="41"/>
        <v>1.307236762495691E-3</v>
      </c>
      <c r="S76" s="1"/>
      <c r="T76" s="1">
        <f>SUM(OSRRefT22_9x_0)</f>
        <v>300</v>
      </c>
      <c r="U76" s="1"/>
      <c r="V76" s="5">
        <f t="shared" si="42"/>
        <v>1.1493702408888462E-3</v>
      </c>
      <c r="W76" s="1"/>
      <c r="X76" s="1">
        <f t="shared" si="43"/>
        <v>0</v>
      </c>
      <c r="Y76" s="1"/>
      <c r="Z76" s="5">
        <f t="shared" si="44"/>
        <v>0</v>
      </c>
    </row>
    <row r="77" spans="1:26" s="24" customFormat="1" hidden="1" outlineLevel="2" x14ac:dyDescent="0.25">
      <c r="A77" s="27"/>
      <c r="B77" s="11" t="str">
        <f>CONCATENATE("          ", "6408", " - ", "INVENTORY ADJUSTMENT")</f>
        <v xml:space="preserve">          6408 - INVENTORY ADJUSTMENT</v>
      </c>
      <c r="C77" s="11"/>
      <c r="D77" s="6">
        <v>100</v>
      </c>
      <c r="E77" s="2"/>
      <c r="F77" s="7">
        <f t="shared" si="37"/>
        <v>1.7382999808613171E-3</v>
      </c>
      <c r="G77" s="2"/>
      <c r="H77" s="6">
        <v>100</v>
      </c>
      <c r="I77" s="2"/>
      <c r="J77" s="7">
        <f t="shared" si="38"/>
        <v>1.7993702204228521E-3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>
        <v>300</v>
      </c>
      <c r="Q77" s="2"/>
      <c r="R77" s="7">
        <f t="shared" si="41"/>
        <v>1.307236762495691E-3</v>
      </c>
      <c r="S77" s="2"/>
      <c r="T77" s="6">
        <v>300</v>
      </c>
      <c r="U77" s="2"/>
      <c r="V77" s="7">
        <f t="shared" si="42"/>
        <v>1.1493702408888462E-3</v>
      </c>
      <c r="W77" s="2"/>
      <c r="X77" s="6">
        <f t="shared" si="43"/>
        <v>0</v>
      </c>
      <c r="Y77" s="2"/>
      <c r="Z77" s="7">
        <f t="shared" si="44"/>
        <v>0</v>
      </c>
    </row>
    <row r="78" spans="1:26" s="26" customFormat="1" outlineLevel="1" collapsed="1" x14ac:dyDescent="0.25">
      <c r="A78" s="25"/>
      <c r="B78" s="13" t="str">
        <f>CONCATENATE("     ","Repair and Maintenance                            ")</f>
        <v xml:space="preserve">     Repair and Maintenance                            </v>
      </c>
      <c r="C78" s="13"/>
      <c r="D78" s="1">
        <f>SUM(OSRRefD22_10x_0)</f>
        <v>9597.5400000000009</v>
      </c>
      <c r="E78" s="1"/>
      <c r="F78" s="5">
        <f t="shared" si="37"/>
        <v>0.16683403598315727</v>
      </c>
      <c r="G78" s="1"/>
      <c r="H78" s="1">
        <f>SUM(OSRRefH22_10x_0)</f>
        <v>7000</v>
      </c>
      <c r="I78" s="1"/>
      <c r="J78" s="5">
        <f t="shared" si="38"/>
        <v>0.12595591542959964</v>
      </c>
      <c r="K78" s="1"/>
      <c r="L78" s="1">
        <f t="shared" si="39"/>
        <v>2597.5400000000009</v>
      </c>
      <c r="M78" s="1"/>
      <c r="N78" s="5">
        <f t="shared" si="40"/>
        <v>0.37107714285714299</v>
      </c>
      <c r="O78" s="13"/>
      <c r="P78" s="1">
        <f>SUM(OSRRefP22_10x_0)</f>
        <v>28044.969999999998</v>
      </c>
      <c r="Q78" s="1"/>
      <c r="R78" s="5">
        <f t="shared" si="41"/>
        <v>0.12220471929029593</v>
      </c>
      <c r="S78" s="1"/>
      <c r="T78" s="1">
        <f>SUM(OSRRefT22_10x_0)</f>
        <v>28000</v>
      </c>
      <c r="U78" s="1"/>
      <c r="V78" s="5">
        <f t="shared" si="42"/>
        <v>0.10727455581629232</v>
      </c>
      <c r="W78" s="1"/>
      <c r="X78" s="1">
        <f t="shared" si="43"/>
        <v>44.969999999997526</v>
      </c>
      <c r="Y78" s="1"/>
      <c r="Z78" s="5">
        <f t="shared" si="44"/>
        <v>1.6060714285713402E-3</v>
      </c>
    </row>
    <row r="79" spans="1:26" s="24" customFormat="1" hidden="1" outlineLevel="2" x14ac:dyDescent="0.25">
      <c r="A79" s="27"/>
      <c r="B79" s="11" t="str">
        <f>CONCATENATE("          ", "6373", " - ", "MAINTENANCE CONTRACTS")</f>
        <v xml:space="preserve">          6373 - MAINTENANCE CONTRACTS</v>
      </c>
      <c r="C79" s="11"/>
      <c r="D79" s="6">
        <v>9597.5400000000009</v>
      </c>
      <c r="E79" s="2"/>
      <c r="F79" s="7">
        <f t="shared" si="37"/>
        <v>0.16683403598315727</v>
      </c>
      <c r="G79" s="2"/>
      <c r="H79" s="6">
        <v>7000</v>
      </c>
      <c r="I79" s="2"/>
      <c r="J79" s="7">
        <f t="shared" si="38"/>
        <v>0.12595591542959964</v>
      </c>
      <c r="K79" s="2"/>
      <c r="L79" s="6">
        <f t="shared" si="39"/>
        <v>2597.5400000000009</v>
      </c>
      <c r="M79" s="2"/>
      <c r="N79" s="7">
        <f t="shared" si="40"/>
        <v>0.37107714285714299</v>
      </c>
      <c r="O79" s="11"/>
      <c r="P79" s="6">
        <v>28044.969999999998</v>
      </c>
      <c r="Q79" s="2"/>
      <c r="R79" s="7">
        <f t="shared" si="41"/>
        <v>0.12220471929029593</v>
      </c>
      <c r="S79" s="2"/>
      <c r="T79" s="6">
        <v>28000</v>
      </c>
      <c r="U79" s="2"/>
      <c r="V79" s="7">
        <f t="shared" si="42"/>
        <v>0.10727455581629232</v>
      </c>
      <c r="W79" s="2"/>
      <c r="X79" s="6">
        <f t="shared" si="43"/>
        <v>44.969999999997526</v>
      </c>
      <c r="Y79" s="2"/>
      <c r="Z79" s="7">
        <f t="shared" si="44"/>
        <v>1.6060714285713402E-3</v>
      </c>
    </row>
    <row r="80" spans="1:26" s="26" customFormat="1" outlineLevel="1" collapsed="1" x14ac:dyDescent="0.25">
      <c r="A80" s="25"/>
      <c r="B80" s="13" t="str">
        <f>CONCATENATE("     ","Royalty &amp; Commissions                             ")</f>
        <v xml:space="preserve">     Royalty &amp; Commissions                             </v>
      </c>
      <c r="C80" s="13"/>
      <c r="D80" s="1">
        <f>SUM(OSRRefD22_11x_0)</f>
        <v>11744.64</v>
      </c>
      <c r="E80" s="1"/>
      <c r="F80" s="5">
        <f t="shared" si="37"/>
        <v>0.20415707487223059</v>
      </c>
      <c r="G80" s="1"/>
      <c r="H80" s="1">
        <f>SUM(OSRRefH22_11x_0)</f>
        <v>11000</v>
      </c>
      <c r="I80" s="1"/>
      <c r="J80" s="5">
        <f t="shared" si="38"/>
        <v>0.19793072424651373</v>
      </c>
      <c r="K80" s="1"/>
      <c r="L80" s="1">
        <f t="shared" si="39"/>
        <v>744.63999999999942</v>
      </c>
      <c r="M80" s="1"/>
      <c r="N80" s="5">
        <f t="shared" si="40"/>
        <v>6.7694545454545396E-2</v>
      </c>
      <c r="O80" s="13"/>
      <c r="P80" s="1">
        <f>SUM(OSRRefP22_11x_0)</f>
        <v>26214.26</v>
      </c>
      <c r="Q80" s="1"/>
      <c r="R80" s="5">
        <f t="shared" si="41"/>
        <v>0.11422748124540097</v>
      </c>
      <c r="S80" s="1"/>
      <c r="T80" s="1">
        <f>SUM(OSRRefT22_11x_0)</f>
        <v>44000</v>
      </c>
      <c r="U80" s="1"/>
      <c r="V80" s="5">
        <f t="shared" si="42"/>
        <v>0.1685743019970308</v>
      </c>
      <c r="W80" s="1"/>
      <c r="X80" s="1">
        <f t="shared" si="43"/>
        <v>-17785.740000000002</v>
      </c>
      <c r="Y80" s="1"/>
      <c r="Z80" s="5">
        <f t="shared" si="44"/>
        <v>-0.40422136363636368</v>
      </c>
    </row>
    <row r="81" spans="1:26" s="24" customFormat="1" hidden="1" outlineLevel="2" x14ac:dyDescent="0.25">
      <c r="A81" s="27"/>
      <c r="B81" s="11" t="str">
        <f>CONCATENATE("          ", "6254", " - ", "ROYALTY &amp; COMMISSIONS")</f>
        <v xml:space="preserve">          6254 - ROYALTY &amp; COMMISSIONS</v>
      </c>
      <c r="C81" s="11"/>
      <c r="D81" s="6"/>
      <c r="E81" s="2"/>
      <c r="F81" s="7">
        <f t="shared" si="37"/>
        <v>0</v>
      </c>
      <c r="G81" s="2"/>
      <c r="H81" s="6">
        <v>11000</v>
      </c>
      <c r="I81" s="2"/>
      <c r="J81" s="7">
        <f t="shared" si="38"/>
        <v>0.19793072424651373</v>
      </c>
      <c r="K81" s="2"/>
      <c r="L81" s="6">
        <f t="shared" si="39"/>
        <v>-11000</v>
      </c>
      <c r="M81" s="2"/>
      <c r="N81" s="7">
        <f t="shared" si="40"/>
        <v>-1</v>
      </c>
      <c r="O81" s="11"/>
      <c r="P81" s="6"/>
      <c r="Q81" s="2"/>
      <c r="R81" s="7">
        <f t="shared" si="41"/>
        <v>0</v>
      </c>
      <c r="S81" s="2"/>
      <c r="T81" s="6">
        <v>44000</v>
      </c>
      <c r="U81" s="2"/>
      <c r="V81" s="7">
        <f t="shared" si="42"/>
        <v>0.1685743019970308</v>
      </c>
      <c r="W81" s="2"/>
      <c r="X81" s="6">
        <f t="shared" si="43"/>
        <v>-44000</v>
      </c>
      <c r="Y81" s="2"/>
      <c r="Z81" s="7">
        <f t="shared" si="44"/>
        <v>-1</v>
      </c>
    </row>
    <row r="82" spans="1:26" s="24" customFormat="1" hidden="1" outlineLevel="2" x14ac:dyDescent="0.25">
      <c r="A82" s="27"/>
      <c r="B82" s="11" t="str">
        <f>CONCATENATE("          ", "6259", " - ", "ROYALTY &amp; COMMISSIONS")</f>
        <v xml:space="preserve">          6259 - ROYALTY &amp; COMMISSIONS</v>
      </c>
      <c r="C82" s="11"/>
      <c r="D82" s="6">
        <v>11744.64</v>
      </c>
      <c r="E82" s="2"/>
      <c r="F82" s="7">
        <f t="shared" si="37"/>
        <v>0.20415707487223059</v>
      </c>
      <c r="G82" s="2"/>
      <c r="H82" s="6"/>
      <c r="I82" s="2"/>
      <c r="J82" s="7">
        <f t="shared" si="38"/>
        <v>0</v>
      </c>
      <c r="K82" s="2"/>
      <c r="L82" s="6">
        <f t="shared" si="39"/>
        <v>11744.64</v>
      </c>
      <c r="M82" s="2"/>
      <c r="N82" s="7">
        <f t="shared" si="40"/>
        <v>0</v>
      </c>
      <c r="O82" s="11"/>
      <c r="P82" s="6">
        <v>26214.26</v>
      </c>
      <c r="Q82" s="2"/>
      <c r="R82" s="7">
        <f t="shared" si="41"/>
        <v>0.11422748124540097</v>
      </c>
      <c r="S82" s="2"/>
      <c r="T82" s="6"/>
      <c r="U82" s="2"/>
      <c r="V82" s="7">
        <f t="shared" si="42"/>
        <v>0</v>
      </c>
      <c r="W82" s="2"/>
      <c r="X82" s="6">
        <f t="shared" si="43"/>
        <v>26214.26</v>
      </c>
      <c r="Y82" s="2"/>
      <c r="Z82" s="7">
        <f t="shared" si="44"/>
        <v>0</v>
      </c>
    </row>
    <row r="83" spans="1:26" s="26" customFormat="1" outlineLevel="1" collapsed="1" x14ac:dyDescent="0.25">
      <c r="A83" s="25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SUM(OSRRefD22_12x_0)</f>
        <v>2868.23</v>
      </c>
      <c r="E83" s="1"/>
      <c r="F83" s="5">
        <f t="shared" ref="F83:F88" si="45">IF(D$12=0,0,D83/D$12)</f>
        <v>4.9858441541058555E-2</v>
      </c>
      <c r="G83" s="1"/>
      <c r="H83" s="1">
        <f>SUM(OSRRefH22_12x_0)</f>
        <v>5000</v>
      </c>
      <c r="I83" s="1"/>
      <c r="J83" s="5">
        <f t="shared" ref="J83:J88" si="46">IF(H$12=0,0,H83/H$12)</f>
        <v>8.9968511021142603E-2</v>
      </c>
      <c r="K83" s="1"/>
      <c r="L83" s="1">
        <f t="shared" ref="L83:L88" si="47">+D83-H83</f>
        <v>-2131.77</v>
      </c>
      <c r="M83" s="1"/>
      <c r="N83" s="5">
        <f t="shared" ref="N83:N88" si="48">IF(H83=0,0,L83/H83)</f>
        <v>-0.42635400000000001</v>
      </c>
      <c r="O83" s="13"/>
      <c r="P83" s="1">
        <f>SUM(OSRRefP22_12x_0)</f>
        <v>17330</v>
      </c>
      <c r="Q83" s="1"/>
      <c r="R83" s="5">
        <f t="shared" ref="R83:R88" si="49">IF(P$12=0,0,P83/P$12)</f>
        <v>7.5514710313501085E-2</v>
      </c>
      <c r="S83" s="1"/>
      <c r="T83" s="1">
        <f>SUM(OSRRefT22_12x_0)</f>
        <v>29000</v>
      </c>
      <c r="U83" s="1"/>
      <c r="V83" s="5">
        <f t="shared" ref="V83:V88" si="50">IF(T$12=0,0,T83/T$12)</f>
        <v>0.11110578995258848</v>
      </c>
      <c r="W83" s="1"/>
      <c r="X83" s="1">
        <f t="shared" ref="X83:X88" si="51">+P83-T83</f>
        <v>-11670</v>
      </c>
      <c r="Y83" s="1"/>
      <c r="Z83" s="5">
        <f t="shared" ref="Z83:Z88" si="52">IF(T83=0,0,X83/T83)</f>
        <v>-0.40241379310344827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45"/>
        <v>0</v>
      </c>
      <c r="G84" s="2"/>
      <c r="H84" s="6"/>
      <c r="I84" s="2"/>
      <c r="J84" s="7">
        <f t="shared" si="46"/>
        <v>0</v>
      </c>
      <c r="K84" s="2"/>
      <c r="L84" s="6">
        <f t="shared" si="47"/>
        <v>0</v>
      </c>
      <c r="M84" s="2"/>
      <c r="N84" s="7">
        <f t="shared" si="48"/>
        <v>0</v>
      </c>
      <c r="O84" s="11"/>
      <c r="P84" s="6">
        <v>1017.27</v>
      </c>
      <c r="Q84" s="2"/>
      <c r="R84" s="7">
        <f t="shared" si="49"/>
        <v>4.4327091379466384E-3</v>
      </c>
      <c r="S84" s="2"/>
      <c r="T84" s="6"/>
      <c r="U84" s="2"/>
      <c r="V84" s="7">
        <f t="shared" si="50"/>
        <v>0</v>
      </c>
      <c r="W84" s="2"/>
      <c r="X84" s="6">
        <f t="shared" si="51"/>
        <v>1017.27</v>
      </c>
      <c r="Y84" s="2"/>
      <c r="Z84" s="7">
        <f t="shared" si="52"/>
        <v>0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/>
      <c r="E85" s="2"/>
      <c r="F85" s="7">
        <f t="shared" si="45"/>
        <v>0</v>
      </c>
      <c r="G85" s="2"/>
      <c r="H85" s="6"/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>
        <v>115.02</v>
      </c>
      <c r="Q85" s="2"/>
      <c r="R85" s="7">
        <f t="shared" si="49"/>
        <v>5.0119457474084796E-4</v>
      </c>
      <c r="S85" s="2"/>
      <c r="T85" s="6"/>
      <c r="U85" s="2"/>
      <c r="V85" s="7">
        <f t="shared" si="50"/>
        <v>0</v>
      </c>
      <c r="W85" s="2"/>
      <c r="X85" s="6">
        <f t="shared" si="51"/>
        <v>115.02</v>
      </c>
      <c r="Y85" s="2"/>
      <c r="Z85" s="7">
        <f t="shared" si="52"/>
        <v>0</v>
      </c>
    </row>
    <row r="86" spans="1:26" s="24" customFormat="1" hidden="1" outlineLevel="2" x14ac:dyDescent="0.25">
      <c r="A86" s="27"/>
      <c r="B86" s="11" t="str">
        <f>CONCATENATE("          ", "6243", " - ", "PAPER SUPPLIES")</f>
        <v xml:space="preserve">          6243 - PAPER SUPPLIES</v>
      </c>
      <c r="C86" s="11"/>
      <c r="D86" s="6">
        <v>1929.38</v>
      </c>
      <c r="E86" s="2"/>
      <c r="F86" s="7">
        <f t="shared" si="45"/>
        <v>3.3538412170742084E-2</v>
      </c>
      <c r="G86" s="2"/>
      <c r="H86" s="6">
        <v>250</v>
      </c>
      <c r="I86" s="2"/>
      <c r="J86" s="7">
        <f t="shared" si="46"/>
        <v>4.49842555105713E-3</v>
      </c>
      <c r="K86" s="2"/>
      <c r="L86" s="6">
        <f t="shared" si="47"/>
        <v>1679.38</v>
      </c>
      <c r="M86" s="2"/>
      <c r="N86" s="7">
        <f t="shared" si="48"/>
        <v>6.7175200000000004</v>
      </c>
      <c r="O86" s="11"/>
      <c r="P86" s="6">
        <v>4906.33</v>
      </c>
      <c r="Q86" s="2"/>
      <c r="R86" s="7">
        <f t="shared" si="49"/>
        <v>2.1379116483118278E-2</v>
      </c>
      <c r="S86" s="2"/>
      <c r="T86" s="6">
        <v>1000</v>
      </c>
      <c r="U86" s="2"/>
      <c r="V86" s="7">
        <f t="shared" si="50"/>
        <v>3.8312341362961543E-3</v>
      </c>
      <c r="W86" s="2"/>
      <c r="X86" s="6">
        <f t="shared" si="51"/>
        <v>3906.33</v>
      </c>
      <c r="Y86" s="2"/>
      <c r="Z86" s="7">
        <f t="shared" si="52"/>
        <v>3.9063300000000001</v>
      </c>
    </row>
    <row r="87" spans="1:26" s="24" customFormat="1" hidden="1" outlineLevel="2" x14ac:dyDescent="0.25">
      <c r="A87" s="27"/>
      <c r="B87" s="11" t="str">
        <f>CONCATENATE("          ", "6245", " - ", "PRINTING")</f>
        <v xml:space="preserve">          6245 - PRINTING</v>
      </c>
      <c r="C87" s="11"/>
      <c r="D87" s="6">
        <v>7.24</v>
      </c>
      <c r="E87" s="2"/>
      <c r="F87" s="7">
        <f t="shared" si="45"/>
        <v>1.2585291861435936E-4</v>
      </c>
      <c r="G87" s="2"/>
      <c r="H87" s="6"/>
      <c r="I87" s="2"/>
      <c r="J87" s="7">
        <f t="shared" si="46"/>
        <v>0</v>
      </c>
      <c r="K87" s="2"/>
      <c r="L87" s="6">
        <f t="shared" si="47"/>
        <v>7.24</v>
      </c>
      <c r="M87" s="2"/>
      <c r="N87" s="7">
        <f t="shared" si="48"/>
        <v>0</v>
      </c>
      <c r="O87" s="11"/>
      <c r="P87" s="6">
        <v>249.44</v>
      </c>
      <c r="Q87" s="2"/>
      <c r="R87" s="7">
        <f t="shared" si="49"/>
        <v>1.0869237934564172E-3</v>
      </c>
      <c r="S87" s="2"/>
      <c r="T87" s="6"/>
      <c r="U87" s="2"/>
      <c r="V87" s="7">
        <f t="shared" si="50"/>
        <v>0</v>
      </c>
      <c r="W87" s="2"/>
      <c r="X87" s="6">
        <f t="shared" si="51"/>
        <v>249.44</v>
      </c>
      <c r="Y87" s="2"/>
      <c r="Z87" s="7">
        <f t="shared" si="52"/>
        <v>0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>
        <v>931.61</v>
      </c>
      <c r="E88" s="2"/>
      <c r="F88" s="7">
        <f t="shared" si="45"/>
        <v>1.6194176451702118E-2</v>
      </c>
      <c r="G88" s="2"/>
      <c r="H88" s="6">
        <v>4750</v>
      </c>
      <c r="I88" s="2"/>
      <c r="J88" s="7">
        <f t="shared" si="46"/>
        <v>8.5470085470085472E-2</v>
      </c>
      <c r="K88" s="2"/>
      <c r="L88" s="6">
        <f t="shared" si="47"/>
        <v>-3818.39</v>
      </c>
      <c r="M88" s="2"/>
      <c r="N88" s="7">
        <f t="shared" si="48"/>
        <v>-0.80387157894736838</v>
      </c>
      <c r="O88" s="11"/>
      <c r="P88" s="6">
        <v>11041.94</v>
      </c>
      <c r="Q88" s="2"/>
      <c r="R88" s="7">
        <f t="shared" si="49"/>
        <v>4.8114766324238903E-2</v>
      </c>
      <c r="S88" s="2"/>
      <c r="T88" s="6">
        <v>28000</v>
      </c>
      <c r="U88" s="2"/>
      <c r="V88" s="7">
        <f t="shared" si="50"/>
        <v>0.10727455581629232</v>
      </c>
      <c r="W88" s="2"/>
      <c r="X88" s="6">
        <f t="shared" si="51"/>
        <v>-16958.059999999998</v>
      </c>
      <c r="Y88" s="2"/>
      <c r="Z88" s="7">
        <f t="shared" si="52"/>
        <v>-0.60564499999999988</v>
      </c>
    </row>
    <row r="89" spans="1:26" s="26" customFormat="1" outlineLevel="1" collapsed="1" x14ac:dyDescent="0.25">
      <c r="A89" s="25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SUM(OSRRefD22_13x_0)</f>
        <v>192.9</v>
      </c>
      <c r="E89" s="1"/>
      <c r="F89" s="5">
        <f t="shared" ref="F89:F91" si="53">IF(D$12=0,0,D89/D$12)</f>
        <v>3.3531806630814811E-3</v>
      </c>
      <c r="G89" s="1"/>
      <c r="H89" s="1">
        <f>SUM(OSRRefH22_13x_0)</f>
        <v>200</v>
      </c>
      <c r="I89" s="1"/>
      <c r="J89" s="5">
        <f t="shared" ref="J89:J91" si="54">IF(H$12=0,0,H89/H$12)</f>
        <v>3.5987404408457041E-3</v>
      </c>
      <c r="K89" s="1"/>
      <c r="L89" s="1">
        <f t="shared" ref="L89:L91" si="55">+D89-H89</f>
        <v>-7.0999999999999943</v>
      </c>
      <c r="M89" s="1"/>
      <c r="N89" s="5">
        <f t="shared" ref="N89:N91" si="56">IF(H89=0,0,L89/H89)</f>
        <v>-3.5499999999999969E-2</v>
      </c>
      <c r="O89" s="13"/>
      <c r="P89" s="1">
        <f>SUM(OSRRefP22_13x_0)</f>
        <v>834.95</v>
      </c>
      <c r="Q89" s="1"/>
      <c r="R89" s="5">
        <f t="shared" ref="R89:R91" si="57">IF(P$12=0,0,P89/P$12)</f>
        <v>3.6382577828192575E-3</v>
      </c>
      <c r="S89" s="1"/>
      <c r="T89" s="1">
        <f>SUM(OSRRefT22_13x_0)</f>
        <v>800</v>
      </c>
      <c r="U89" s="1"/>
      <c r="V89" s="5">
        <f t="shared" ref="V89:V91" si="58">IF(T$12=0,0,T89/T$12)</f>
        <v>3.0649873090369236E-3</v>
      </c>
      <c r="W89" s="1"/>
      <c r="X89" s="1">
        <f t="shared" ref="X89:X91" si="59">+P89-T89</f>
        <v>34.950000000000045</v>
      </c>
      <c r="Y89" s="1"/>
      <c r="Z89" s="5">
        <f t="shared" ref="Z89:Z91" si="60">IF(T89=0,0,X89/T89)</f>
        <v>4.368750000000006E-2</v>
      </c>
    </row>
    <row r="90" spans="1:26" s="24" customFormat="1" hidden="1" outlineLevel="2" x14ac:dyDescent="0.25">
      <c r="A90" s="27"/>
      <c r="B90" s="11" t="str">
        <f>CONCATENATE("          ", "6303", " - ", "DATA PHONE LINES")</f>
        <v xml:space="preserve">          6303 - DATA PHONE LINES</v>
      </c>
      <c r="C90" s="11"/>
      <c r="D90" s="6"/>
      <c r="E90" s="2"/>
      <c r="F90" s="7">
        <f t="shared" si="53"/>
        <v>0</v>
      </c>
      <c r="G90" s="2"/>
      <c r="H90" s="6">
        <v>200</v>
      </c>
      <c r="I90" s="2"/>
      <c r="J90" s="7">
        <f t="shared" si="54"/>
        <v>3.5987404408457041E-3</v>
      </c>
      <c r="K90" s="2"/>
      <c r="L90" s="6">
        <f t="shared" si="55"/>
        <v>-200</v>
      </c>
      <c r="M90" s="2"/>
      <c r="N90" s="7">
        <f t="shared" si="56"/>
        <v>-1</v>
      </c>
      <c r="O90" s="11"/>
      <c r="P90" s="6"/>
      <c r="Q90" s="2"/>
      <c r="R90" s="7">
        <f t="shared" si="57"/>
        <v>0</v>
      </c>
      <c r="S90" s="2"/>
      <c r="T90" s="6">
        <v>800</v>
      </c>
      <c r="U90" s="2"/>
      <c r="V90" s="7">
        <f t="shared" si="58"/>
        <v>3.0649873090369236E-3</v>
      </c>
      <c r="W90" s="2"/>
      <c r="X90" s="6">
        <f t="shared" si="59"/>
        <v>-800</v>
      </c>
      <c r="Y90" s="2"/>
      <c r="Z90" s="7">
        <f t="shared" si="60"/>
        <v>-1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6">
        <v>192.9</v>
      </c>
      <c r="E91" s="2"/>
      <c r="F91" s="7">
        <f t="shared" si="53"/>
        <v>3.3531806630814811E-3</v>
      </c>
      <c r="G91" s="2"/>
      <c r="H91" s="6"/>
      <c r="I91" s="2"/>
      <c r="J91" s="7">
        <f t="shared" si="54"/>
        <v>0</v>
      </c>
      <c r="K91" s="2"/>
      <c r="L91" s="6">
        <f t="shared" si="55"/>
        <v>192.9</v>
      </c>
      <c r="M91" s="2"/>
      <c r="N91" s="7">
        <f t="shared" si="56"/>
        <v>0</v>
      </c>
      <c r="O91" s="11"/>
      <c r="P91" s="6">
        <v>834.95</v>
      </c>
      <c r="Q91" s="2"/>
      <c r="R91" s="7">
        <f t="shared" si="57"/>
        <v>3.6382577828192575E-3</v>
      </c>
      <c r="S91" s="2"/>
      <c r="T91" s="6"/>
      <c r="U91" s="2"/>
      <c r="V91" s="7">
        <f t="shared" si="58"/>
        <v>0</v>
      </c>
      <c r="W91" s="2"/>
      <c r="X91" s="6">
        <f t="shared" si="59"/>
        <v>834.95</v>
      </c>
      <c r="Y91" s="2"/>
      <c r="Z91" s="7">
        <f t="shared" si="60"/>
        <v>0</v>
      </c>
    </row>
    <row r="92" spans="1:26" s="26" customFormat="1" outlineLevel="1" collapsed="1" x14ac:dyDescent="0.25">
      <c r="A92" s="25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SUM(OSRRefD22_14x_0)</f>
        <v>0</v>
      </c>
      <c r="E92" s="1"/>
      <c r="F92" s="5">
        <f t="shared" ref="F92:F93" si="61">IF(D$12=0,0,D92/D$12)</f>
        <v>0</v>
      </c>
      <c r="G92" s="1"/>
      <c r="H92" s="1">
        <f>SUM(OSRRefH22_14x_0)</f>
        <v>0</v>
      </c>
      <c r="I92" s="1"/>
      <c r="J92" s="5">
        <f t="shared" ref="J92:J93" si="62">IF(H$12=0,0,H92/H$12)</f>
        <v>0</v>
      </c>
      <c r="K92" s="1"/>
      <c r="L92" s="1">
        <f t="shared" ref="L92:L93" si="63">+D92-H92</f>
        <v>0</v>
      </c>
      <c r="M92" s="1"/>
      <c r="N92" s="5">
        <f t="shared" ref="N92:N93" si="64">IF(H92=0,0,L92/H92)</f>
        <v>0</v>
      </c>
      <c r="O92" s="13"/>
      <c r="P92" s="1">
        <f>SUM(OSRRefP22_14x_0)</f>
        <v>97.71</v>
      </c>
      <c r="Q92" s="1"/>
      <c r="R92" s="5">
        <f t="shared" ref="R92:R93" si="65">IF(P$12=0,0,P92/P$12)</f>
        <v>4.2576701354484658E-4</v>
      </c>
      <c r="S92" s="1"/>
      <c r="T92" s="1">
        <f>SUM(OSRRefT22_14x_0)</f>
        <v>0</v>
      </c>
      <c r="U92" s="1"/>
      <c r="V92" s="5">
        <f t="shared" ref="V92:V93" si="66">IF(T$12=0,0,T92/T$12)</f>
        <v>0</v>
      </c>
      <c r="W92" s="1"/>
      <c r="X92" s="1">
        <f t="shared" ref="X92:X93" si="67">+P92-T92</f>
        <v>97.71</v>
      </c>
      <c r="Y92" s="1"/>
      <c r="Z92" s="5">
        <f t="shared" ref="Z92:Z93" si="68">IF(T92=0,0,X92/T92)</f>
        <v>0</v>
      </c>
    </row>
    <row r="93" spans="1:26" s="24" customFormat="1" hidden="1" outlineLevel="2" x14ac:dyDescent="0.25">
      <c r="A93" s="27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1"/>
        <v>0</v>
      </c>
      <c r="G93" s="2"/>
      <c r="H93" s="6"/>
      <c r="I93" s="2"/>
      <c r="J93" s="7">
        <f t="shared" si="62"/>
        <v>0</v>
      </c>
      <c r="K93" s="2"/>
      <c r="L93" s="6">
        <f t="shared" si="63"/>
        <v>0</v>
      </c>
      <c r="M93" s="2"/>
      <c r="N93" s="7">
        <f t="shared" si="64"/>
        <v>0</v>
      </c>
      <c r="O93" s="11"/>
      <c r="P93" s="6">
        <v>97.71</v>
      </c>
      <c r="Q93" s="2"/>
      <c r="R93" s="7">
        <f t="shared" si="65"/>
        <v>4.2576701354484658E-4</v>
      </c>
      <c r="S93" s="2"/>
      <c r="T93" s="6"/>
      <c r="U93" s="2"/>
      <c r="V93" s="7">
        <f t="shared" si="66"/>
        <v>0</v>
      </c>
      <c r="W93" s="2"/>
      <c r="X93" s="6">
        <f t="shared" si="67"/>
        <v>97.71</v>
      </c>
      <c r="Y93" s="2"/>
      <c r="Z93" s="7">
        <f t="shared" si="68"/>
        <v>0</v>
      </c>
    </row>
    <row r="94" spans="1:26" s="61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74375.55</v>
      </c>
      <c r="E95" s="4"/>
      <c r="F95" s="12">
        <f t="shared" ref="F95:F102" si="69">IF(D$12=0,0,D95/D$12)</f>
        <v>1.2928701714154995</v>
      </c>
      <c r="G95" s="4"/>
      <c r="H95" s="4">
        <f>SUM(OSRRefH25x_0)</f>
        <v>26250</v>
      </c>
      <c r="I95" s="4"/>
      <c r="J95" s="12">
        <f t="shared" ref="J95:J102" si="70">IF(H$12=0,0,H95/H$12)</f>
        <v>0.47233468286099867</v>
      </c>
      <c r="K95" s="4"/>
      <c r="L95" s="4">
        <f t="shared" ref="L95:L102" si="71">+D95-H95</f>
        <v>48125.55</v>
      </c>
      <c r="M95" s="4"/>
      <c r="N95" s="12">
        <f t="shared" ref="N95:N102" si="72">IF(H95=0,0,L95/H95)</f>
        <v>1.8333542857142859</v>
      </c>
      <c r="O95" s="10"/>
      <c r="P95" s="4">
        <f>SUM(OSRRefP25x_0)</f>
        <v>137504.40000000002</v>
      </c>
      <c r="Q95" s="4"/>
      <c r="R95" s="12">
        <f t="shared" ref="R95:R102" si="73">IF(P$12=0,0,P95/P$12)</f>
        <v>0.59916935561637508</v>
      </c>
      <c r="S95" s="4"/>
      <c r="T95" s="4">
        <f>SUM(OSRRefT25x_0)</f>
        <v>104000</v>
      </c>
      <c r="U95" s="4"/>
      <c r="V95" s="12">
        <f t="shared" ref="V95:V102" si="74">IF(T$12=0,0,T95/T$12)</f>
        <v>0.39844835017480007</v>
      </c>
      <c r="W95" s="4"/>
      <c r="X95" s="4">
        <f t="shared" ref="X95:X102" si="75">+P95-T95</f>
        <v>33504.400000000023</v>
      </c>
      <c r="Y95" s="4"/>
      <c r="Z95" s="12">
        <f t="shared" ref="Z95:Z102" si="76">IF(T95=0,0,X95/T95)</f>
        <v>0.32215769230769253</v>
      </c>
    </row>
    <row r="96" spans="1:26" s="24" customFormat="1" hidden="1" outlineLevel="1" x14ac:dyDescent="0.25">
      <c r="A96" s="44"/>
      <c r="B96" s="11" t="str">
        <f>CONCATENATE("          ", "4098", " - ", "TAXABLE SALES-GRAD RENTALS")</f>
        <v xml:space="preserve">          4098 - TAXABLE SALES-GRAD RENTALS</v>
      </c>
      <c r="C96" s="11"/>
      <c r="D96" s="2">
        <f t="shared" ref="D96:D98" si="77">0</f>
        <v>0</v>
      </c>
      <c r="E96" s="2"/>
      <c r="F96" s="19">
        <f t="shared" si="69"/>
        <v>0</v>
      </c>
      <c r="G96" s="2"/>
      <c r="H96" s="2"/>
      <c r="I96" s="2"/>
      <c r="J96" s="19">
        <f t="shared" si="70"/>
        <v>0</v>
      </c>
      <c r="K96" s="2"/>
      <c r="L96" s="2">
        <f t="shared" si="71"/>
        <v>0</v>
      </c>
      <c r="M96" s="2"/>
      <c r="N96" s="19">
        <f t="shared" si="72"/>
        <v>0</v>
      </c>
      <c r="O96" s="11"/>
      <c r="P96" s="2">
        <f>--1626.85</f>
        <v>1626.85</v>
      </c>
      <c r="Q96" s="2"/>
      <c r="R96" s="19">
        <f t="shared" si="73"/>
        <v>7.0889270902203833E-3</v>
      </c>
      <c r="S96" s="2"/>
      <c r="T96" s="2"/>
      <c r="U96" s="2"/>
      <c r="V96" s="19">
        <f t="shared" si="74"/>
        <v>0</v>
      </c>
      <c r="W96" s="2"/>
      <c r="X96" s="2">
        <f t="shared" si="75"/>
        <v>1626.85</v>
      </c>
      <c r="Y96" s="2"/>
      <c r="Z96" s="19">
        <f t="shared" si="76"/>
        <v>0</v>
      </c>
    </row>
    <row r="97" spans="1:26" s="24" customFormat="1" hidden="1" outlineLevel="1" x14ac:dyDescent="0.25">
      <c r="A97" s="44"/>
      <c r="B97" s="11" t="str">
        <f>CONCATENATE("          ", "4197", " - ", "NON-TAXABLE SALES-RETURNED CHE")</f>
        <v xml:space="preserve">          4197 - NON-TAXABLE SALES-RETURNED CHE</v>
      </c>
      <c r="C97" s="11"/>
      <c r="D97" s="2">
        <f t="shared" si="77"/>
        <v>0</v>
      </c>
      <c r="E97" s="2"/>
      <c r="F97" s="19">
        <f t="shared" si="69"/>
        <v>0</v>
      </c>
      <c r="G97" s="2"/>
      <c r="H97" s="2"/>
      <c r="I97" s="2"/>
      <c r="J97" s="19">
        <f t="shared" si="70"/>
        <v>0</v>
      </c>
      <c r="K97" s="2"/>
      <c r="L97" s="2">
        <f t="shared" si="71"/>
        <v>0</v>
      </c>
      <c r="M97" s="2"/>
      <c r="N97" s="19">
        <f t="shared" si="72"/>
        <v>0</v>
      </c>
      <c r="O97" s="11"/>
      <c r="P97" s="2">
        <f>--30</f>
        <v>30</v>
      </c>
      <c r="Q97" s="2"/>
      <c r="R97" s="19">
        <f t="shared" si="73"/>
        <v>1.3072367624956911E-4</v>
      </c>
      <c r="S97" s="2"/>
      <c r="T97" s="2"/>
      <c r="U97" s="2"/>
      <c r="V97" s="19">
        <f t="shared" si="74"/>
        <v>0</v>
      </c>
      <c r="W97" s="2"/>
      <c r="X97" s="2">
        <f t="shared" si="75"/>
        <v>30</v>
      </c>
      <c r="Y97" s="2"/>
      <c r="Z97" s="19">
        <f t="shared" si="76"/>
        <v>0</v>
      </c>
    </row>
    <row r="98" spans="1:26" s="24" customFormat="1" hidden="1" outlineLevel="1" x14ac:dyDescent="0.25">
      <c r="A98" s="44"/>
      <c r="B98" s="11" t="str">
        <f>CONCATENATE("          ", "4198", " - ", "NON-TAXABLE SALES-GRAD RENTALS")</f>
        <v xml:space="preserve">          4198 - NON-TAXABLE SALES-GRAD RENTALS</v>
      </c>
      <c r="C98" s="11"/>
      <c r="D98" s="2">
        <f t="shared" si="77"/>
        <v>0</v>
      </c>
      <c r="E98" s="2"/>
      <c r="F98" s="19">
        <f t="shared" si="69"/>
        <v>0</v>
      </c>
      <c r="G98" s="2"/>
      <c r="H98" s="2"/>
      <c r="I98" s="2"/>
      <c r="J98" s="19">
        <f t="shared" si="70"/>
        <v>0</v>
      </c>
      <c r="K98" s="2"/>
      <c r="L98" s="2">
        <f t="shared" si="71"/>
        <v>0</v>
      </c>
      <c r="M98" s="2"/>
      <c r="N98" s="19">
        <f t="shared" si="72"/>
        <v>0</v>
      </c>
      <c r="O98" s="11"/>
      <c r="P98" s="2">
        <f>--495</f>
        <v>495</v>
      </c>
      <c r="Q98" s="2"/>
      <c r="R98" s="19">
        <f t="shared" si="73"/>
        <v>2.1569406581178905E-3</v>
      </c>
      <c r="S98" s="2"/>
      <c r="T98" s="2"/>
      <c r="U98" s="2"/>
      <c r="V98" s="19">
        <f t="shared" si="74"/>
        <v>0</v>
      </c>
      <c r="W98" s="2"/>
      <c r="X98" s="2">
        <f t="shared" si="75"/>
        <v>495</v>
      </c>
      <c r="Y98" s="2"/>
      <c r="Z98" s="19">
        <f t="shared" si="76"/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--13269</f>
        <v>13269</v>
      </c>
      <c r="E99" s="2"/>
      <c r="F99" s="19">
        <f t="shared" si="69"/>
        <v>0.23065502446048819</v>
      </c>
      <c r="G99" s="2"/>
      <c r="H99" s="2"/>
      <c r="I99" s="2"/>
      <c r="J99" s="19">
        <f t="shared" si="70"/>
        <v>0</v>
      </c>
      <c r="K99" s="2"/>
      <c r="L99" s="2">
        <f t="shared" si="71"/>
        <v>13269</v>
      </c>
      <c r="M99" s="2"/>
      <c r="N99" s="19">
        <f t="shared" si="72"/>
        <v>0</v>
      </c>
      <c r="O99" s="11"/>
      <c r="P99" s="2">
        <f>--53076</f>
        <v>53076</v>
      </c>
      <c r="Q99" s="2"/>
      <c r="R99" s="19">
        <f t="shared" si="73"/>
        <v>0.23127632802073766</v>
      </c>
      <c r="S99" s="2"/>
      <c r="T99" s="2">
        <v>12250</v>
      </c>
      <c r="U99" s="2"/>
      <c r="V99" s="19">
        <f t="shared" si="74"/>
        <v>4.693261816962789E-2</v>
      </c>
      <c r="W99" s="2"/>
      <c r="X99" s="2">
        <f t="shared" si="75"/>
        <v>40826</v>
      </c>
      <c r="Y99" s="2"/>
      <c r="Z99" s="19">
        <f t="shared" si="76"/>
        <v>3.3327346938775508</v>
      </c>
    </row>
    <row r="100" spans="1:26" s="24" customFormat="1" hidden="1" outlineLevel="1" x14ac:dyDescent="0.25">
      <c r="A100" s="44"/>
      <c r="B100" s="11" t="str">
        <f>CONCATENATE("          ", "9151", " - ", "MISC. INCOME")</f>
        <v xml:space="preserve">          9151 - MISC. INCOME</v>
      </c>
      <c r="C100" s="11"/>
      <c r="D100" s="2">
        <f t="shared" ref="D100:D101" si="78">0</f>
        <v>0</v>
      </c>
      <c r="E100" s="2"/>
      <c r="F100" s="19">
        <f t="shared" si="69"/>
        <v>0</v>
      </c>
      <c r="G100" s="2"/>
      <c r="H100" s="2">
        <v>12250</v>
      </c>
      <c r="I100" s="2"/>
      <c r="J100" s="19">
        <f t="shared" si="70"/>
        <v>0.22042285200179937</v>
      </c>
      <c r="K100" s="2"/>
      <c r="L100" s="2">
        <f t="shared" si="71"/>
        <v>-12250</v>
      </c>
      <c r="M100" s="2"/>
      <c r="N100" s="19">
        <f t="shared" si="72"/>
        <v>-1</v>
      </c>
      <c r="O100" s="11"/>
      <c r="P100" s="2">
        <f>0</f>
        <v>0</v>
      </c>
      <c r="Q100" s="2"/>
      <c r="R100" s="19">
        <f t="shared" si="73"/>
        <v>0</v>
      </c>
      <c r="S100" s="2"/>
      <c r="T100" s="2">
        <v>36750</v>
      </c>
      <c r="U100" s="2"/>
      <c r="V100" s="19">
        <f t="shared" si="74"/>
        <v>0.14079785450888369</v>
      </c>
      <c r="W100" s="2"/>
      <c r="X100" s="2">
        <f t="shared" si="75"/>
        <v>-36750</v>
      </c>
      <c r="Y100" s="2"/>
      <c r="Z100" s="19">
        <f t="shared" si="76"/>
        <v>-1</v>
      </c>
    </row>
    <row r="101" spans="1:26" s="24" customFormat="1" hidden="1" outlineLevel="1" x14ac:dyDescent="0.25">
      <c r="A101" s="44"/>
      <c r="B101" s="11" t="str">
        <f>CONCATENATE("          ", "9160", " - ", "MISC. INCOME")</f>
        <v xml:space="preserve">          9160 - MISC. INCOME</v>
      </c>
      <c r="C101" s="11"/>
      <c r="D101" s="2">
        <f t="shared" si="78"/>
        <v>0</v>
      </c>
      <c r="E101" s="2"/>
      <c r="F101" s="19">
        <f t="shared" si="69"/>
        <v>0</v>
      </c>
      <c r="G101" s="2"/>
      <c r="H101" s="2">
        <v>14000</v>
      </c>
      <c r="I101" s="2"/>
      <c r="J101" s="19">
        <f t="shared" si="70"/>
        <v>0.25191183085919927</v>
      </c>
      <c r="K101" s="2"/>
      <c r="L101" s="2">
        <f t="shared" si="71"/>
        <v>-14000</v>
      </c>
      <c r="M101" s="2"/>
      <c r="N101" s="19">
        <f t="shared" si="72"/>
        <v>-1</v>
      </c>
      <c r="O101" s="11"/>
      <c r="P101" s="2">
        <f>--21170</f>
        <v>21170</v>
      </c>
      <c r="Q101" s="2"/>
      <c r="R101" s="19">
        <f t="shared" si="73"/>
        <v>9.2247340873445938E-2</v>
      </c>
      <c r="S101" s="2"/>
      <c r="T101" s="2">
        <v>55000</v>
      </c>
      <c r="U101" s="2"/>
      <c r="V101" s="19">
        <f t="shared" si="74"/>
        <v>0.21071787749628848</v>
      </c>
      <c r="W101" s="2"/>
      <c r="X101" s="2">
        <f t="shared" si="75"/>
        <v>-33830</v>
      </c>
      <c r="Y101" s="2"/>
      <c r="Z101" s="19">
        <f t="shared" si="76"/>
        <v>-0.61509090909090913</v>
      </c>
    </row>
    <row r="102" spans="1:26" s="24" customFormat="1" hidden="1" outlineLevel="1" x14ac:dyDescent="0.25">
      <c r="A102" s="44"/>
      <c r="B102" s="11" t="str">
        <f>CONCATENATE("          ", "9163", " - ", "MISC. INCOME")</f>
        <v xml:space="preserve">          9163 - MISC. INCOME</v>
      </c>
      <c r="C102" s="11"/>
      <c r="D102" s="2">
        <f>--61106.55</f>
        <v>61106.55</v>
      </c>
      <c r="E102" s="2"/>
      <c r="F102" s="19">
        <f t="shared" si="69"/>
        <v>1.0622151469550112</v>
      </c>
      <c r="G102" s="2"/>
      <c r="H102" s="2"/>
      <c r="I102" s="2"/>
      <c r="J102" s="19">
        <f t="shared" si="70"/>
        <v>0</v>
      </c>
      <c r="K102" s="2"/>
      <c r="L102" s="2">
        <f t="shared" si="71"/>
        <v>61106.55</v>
      </c>
      <c r="M102" s="2"/>
      <c r="N102" s="19">
        <f t="shared" si="72"/>
        <v>0</v>
      </c>
      <c r="O102" s="11"/>
      <c r="P102" s="2">
        <f>--61106.55</f>
        <v>61106.55</v>
      </c>
      <c r="Q102" s="2"/>
      <c r="R102" s="19">
        <f t="shared" si="73"/>
        <v>0.26626909529760356</v>
      </c>
      <c r="S102" s="2"/>
      <c r="T102" s="2"/>
      <c r="U102" s="2"/>
      <c r="V102" s="19">
        <f t="shared" si="74"/>
        <v>0</v>
      </c>
      <c r="W102" s="2"/>
      <c r="X102" s="2">
        <f t="shared" si="75"/>
        <v>61106.55</v>
      </c>
      <c r="Y102" s="2"/>
      <c r="Z102" s="19">
        <f t="shared" si="76"/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3</v>
      </c>
      <c r="C104" s="28"/>
      <c r="D104" s="22">
        <f>+D37-D39+D95</f>
        <v>74935.44</v>
      </c>
      <c r="E104" s="14"/>
      <c r="F104" s="20">
        <f>IF(D$12=0,0,D104/D$12)</f>
        <v>1.3026027391783439</v>
      </c>
      <c r="G104" s="14"/>
      <c r="H104" s="22">
        <f>+H37-H39+H95</f>
        <v>34956.116760952631</v>
      </c>
      <c r="I104" s="14"/>
      <c r="J104" s="20">
        <f>IF(H$12=0,0,H104/H$12)</f>
        <v>0.62898995521282286</v>
      </c>
      <c r="K104" s="16"/>
      <c r="L104" s="22">
        <f>+D104-H104</f>
        <v>39979.323239047371</v>
      </c>
      <c r="M104" s="16"/>
      <c r="N104" s="20">
        <f>IF(H104=0,0,L104/H104)</f>
        <v>1.1437003575782154</v>
      </c>
      <c r="O104" s="29"/>
      <c r="P104" s="22">
        <f>+P37-P39+P95</f>
        <v>187821.95000000004</v>
      </c>
      <c r="Q104" s="14"/>
      <c r="R104" s="20">
        <f>IF(P$12=0,0,P104/P$12)</f>
        <v>0.81842585947875868</v>
      </c>
      <c r="S104" s="14"/>
      <c r="T104" s="22">
        <f>+T37-T39+T95</f>
        <v>176817.16611546837</v>
      </c>
      <c r="U104" s="14"/>
      <c r="V104" s="20">
        <f>IF(T$12=0,0,T104/T$12)</f>
        <v>0.67742796270473016</v>
      </c>
      <c r="W104" s="16"/>
      <c r="X104" s="22">
        <f>+P104-T104</f>
        <v>11004.783884531673</v>
      </c>
      <c r="Y104" s="16"/>
      <c r="Z104" s="20">
        <f>IF(T104=0,0,X104/T104)</f>
        <v>6.2238209820335705E-2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4629.99</v>
      </c>
      <c r="E106" s="4"/>
      <c r="F106" s="12">
        <f>IF(D$12=0,0,D106/D$12)</f>
        <v>8.0483115283880899E-2</v>
      </c>
      <c r="G106" s="4"/>
      <c r="H106" s="4">
        <v>5447</v>
      </c>
      <c r="I106" s="4"/>
      <c r="J106" s="12">
        <f>IF(H$12=0,0,H106/H$12)</f>
        <v>9.8011695906432744E-2</v>
      </c>
      <c r="K106" s="4"/>
      <c r="L106" s="4">
        <f>+D106-H106</f>
        <v>-817.01000000000022</v>
      </c>
      <c r="M106" s="4"/>
      <c r="N106" s="12">
        <f>IF(H106=0,0,L106/H106)</f>
        <v>-0.14999265650816967</v>
      </c>
      <c r="O106" s="10"/>
      <c r="P106" s="4">
        <v>23101.22</v>
      </c>
      <c r="Q106" s="4"/>
      <c r="R106" s="12">
        <f>IF(P$12=0,0,P106/P$12)</f>
        <v>0.1006625468083357</v>
      </c>
      <c r="S106" s="4"/>
      <c r="T106" s="4">
        <v>31431</v>
      </c>
      <c r="U106" s="4"/>
      <c r="V106" s="12">
        <f>IF(T$12=0,0,T106/T$12)</f>
        <v>0.12041952013792442</v>
      </c>
      <c r="W106" s="4"/>
      <c r="X106" s="4">
        <f>+P106-T106</f>
        <v>-8329.7799999999988</v>
      </c>
      <c r="Y106" s="4"/>
      <c r="Z106" s="12">
        <f>IF(T106=0,0,X106/T106)</f>
        <v>-0.2650179758836817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4</v>
      </c>
      <c r="C108" s="28"/>
      <c r="D108" s="31">
        <f>+D104-D106</f>
        <v>70305.45</v>
      </c>
      <c r="E108" s="14"/>
      <c r="F108" s="33">
        <f>IF(D$12=0,0,D108/D$12)</f>
        <v>1.2221196238944629</v>
      </c>
      <c r="G108" s="14"/>
      <c r="H108" s="31">
        <f>+H104-H106</f>
        <v>29509.116760952631</v>
      </c>
      <c r="I108" s="14"/>
      <c r="J108" s="33">
        <f>IF(H$12=0,0,H108/H$12)</f>
        <v>0.53097825930639009</v>
      </c>
      <c r="K108" s="16"/>
      <c r="L108" s="31">
        <f>D108-H108</f>
        <v>40796.333239047366</v>
      </c>
      <c r="M108" s="16"/>
      <c r="N108" s="33">
        <f>IF(H108=0,0,L108/H108)</f>
        <v>1.3824992990989933</v>
      </c>
      <c r="O108" s="29"/>
      <c r="P108" s="31">
        <f>+P104-P106</f>
        <v>164720.73000000004</v>
      </c>
      <c r="Q108" s="14"/>
      <c r="R108" s="33">
        <f>IF(P$12=0,0,P108/P$12)</f>
        <v>0.71776331267042304</v>
      </c>
      <c r="S108" s="14"/>
      <c r="T108" s="31">
        <f>+T104-T106</f>
        <v>145386.16611546837</v>
      </c>
      <c r="U108" s="14"/>
      <c r="V108" s="33">
        <f>IF(T$12=0,0,T108/T$12)</f>
        <v>0.55700844256680571</v>
      </c>
      <c r="W108" s="16"/>
      <c r="X108" s="31">
        <f>P108-T108</f>
        <v>19334.563884531672</v>
      </c>
      <c r="Y108" s="16"/>
      <c r="Z108" s="33">
        <f>IF(T108=0,0,X108/T108)</f>
        <v>0.13298764525626053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5</v>
      </c>
      <c r="C111" s="28"/>
      <c r="D111" s="32">
        <f>SUM(D108:D110)</f>
        <v>70305.45</v>
      </c>
      <c r="E111" s="14"/>
      <c r="F111" s="34">
        <f>IF(D$12=0,0,D111/D$12)</f>
        <v>1.2221196238944629</v>
      </c>
      <c r="G111" s="14"/>
      <c r="H111" s="32">
        <f>SUM(H108:H110)</f>
        <v>29509.116760952631</v>
      </c>
      <c r="I111" s="14"/>
      <c r="J111" s="34">
        <f>IF(H$12=0,0,H111/H$12)</f>
        <v>0.53097825930639009</v>
      </c>
      <c r="K111" s="16"/>
      <c r="L111" s="32">
        <f>+D111-H111</f>
        <v>40796.333239047366</v>
      </c>
      <c r="M111" s="16"/>
      <c r="N111" s="34">
        <f>IF(H111=0,0,L111/H111)</f>
        <v>1.3824992990989933</v>
      </c>
      <c r="O111" s="29"/>
      <c r="P111" s="32">
        <f>SUM(P108:P110)</f>
        <v>164720.73000000004</v>
      </c>
      <c r="Q111" s="14"/>
      <c r="R111" s="34">
        <f>IF(P$12=0,0,P111/P$12)</f>
        <v>0.71776331267042304</v>
      </c>
      <c r="S111" s="14"/>
      <c r="T111" s="32">
        <f>SUM(T108:T110)</f>
        <v>145386.16611546837</v>
      </c>
      <c r="U111" s="14"/>
      <c r="V111" s="34">
        <f>IF(T$12=0,0,T111/T$12)</f>
        <v>0.55700844256680571</v>
      </c>
      <c r="W111" s="16"/>
      <c r="X111" s="32">
        <f>+P111-T111</f>
        <v>19334.563884531672</v>
      </c>
      <c r="Y111" s="16"/>
      <c r="Z111" s="34">
        <f>IF(T111=0,0,X111/T111)</f>
        <v>0.13298764525626053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0">
        <v>43791.347758599535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54" t="s">
        <v>314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A115" s="9"/>
      <c r="B115" s="55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56348.18</v>
      </c>
      <c r="E12" s="4"/>
      <c r="F12" s="12"/>
      <c r="G12" s="4"/>
      <c r="H12" s="4">
        <f>SUM(OSRRefH13x_0)</f>
        <v>55575</v>
      </c>
      <c r="I12" s="4"/>
      <c r="J12" s="12"/>
      <c r="K12" s="4"/>
      <c r="L12" s="4">
        <f t="shared" ref="L12:L25" si="0">+D12-H12</f>
        <v>773.18000000000029</v>
      </c>
      <c r="M12" s="4"/>
      <c r="N12" s="12">
        <f t="shared" ref="N12:N25" si="1">IF(H12=0,0,L12/H12)</f>
        <v>1.3912370670265413E-2</v>
      </c>
      <c r="O12" s="10"/>
      <c r="P12" s="4">
        <f>SUM(OSRRefP13x_0)</f>
        <v>224591.89999999997</v>
      </c>
      <c r="Q12" s="4"/>
      <c r="R12" s="12"/>
      <c r="S12" s="4"/>
      <c r="T12" s="4">
        <f>SUM(OSRRefT13x_0)</f>
        <v>261012.5</v>
      </c>
      <c r="U12" s="4"/>
      <c r="V12" s="12"/>
      <c r="W12" s="4"/>
      <c r="X12" s="4">
        <f t="shared" ref="X12:X25" si="2">+P12-T12</f>
        <v>-36420.600000000035</v>
      </c>
      <c r="Y12" s="4"/>
      <c r="Z12" s="12">
        <f t="shared" ref="Z12:Z25" si="3">IF(T12=0,0,X12/T12)</f>
        <v>-0.13953584598438787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45125</v>
      </c>
      <c r="I13" s="2"/>
      <c r="J13" s="19"/>
      <c r="K13" s="2"/>
      <c r="L13" s="2">
        <f t="shared" si="0"/>
        <v>-45125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211137.5</v>
      </c>
      <c r="U13" s="2"/>
      <c r="V13" s="19"/>
      <c r="W13" s="2"/>
      <c r="X13" s="2">
        <f t="shared" si="2"/>
        <v>-211137.5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--1480.05</f>
        <v>1480.05</v>
      </c>
      <c r="E14" s="2"/>
      <c r="F14" s="19"/>
      <c r="G14" s="2"/>
      <c r="H14" s="2"/>
      <c r="I14" s="2"/>
      <c r="J14" s="19"/>
      <c r="K14" s="2"/>
      <c r="L14" s="2">
        <f t="shared" si="0"/>
        <v>1480.05</v>
      </c>
      <c r="M14" s="2"/>
      <c r="N14" s="19">
        <f t="shared" si="1"/>
        <v>0</v>
      </c>
      <c r="O14" s="11"/>
      <c r="P14" s="2">
        <f>--96774.25</f>
        <v>96774.25</v>
      </c>
      <c r="Q14" s="2"/>
      <c r="R14" s="19"/>
      <c r="S14" s="2"/>
      <c r="T14" s="2"/>
      <c r="U14" s="2"/>
      <c r="V14" s="19"/>
      <c r="W14" s="2"/>
      <c r="X14" s="2">
        <f t="shared" si="2"/>
        <v>96774.25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--12160.33</f>
        <v>12160.33</v>
      </c>
      <c r="E15" s="2"/>
      <c r="F15" s="19"/>
      <c r="G15" s="2"/>
      <c r="H15" s="2"/>
      <c r="I15" s="2"/>
      <c r="J15" s="19"/>
      <c r="K15" s="2"/>
      <c r="L15" s="2">
        <f t="shared" si="0"/>
        <v>12160.33</v>
      </c>
      <c r="M15" s="2"/>
      <c r="N15" s="19">
        <f t="shared" si="1"/>
        <v>0</v>
      </c>
      <c r="O15" s="11"/>
      <c r="P15" s="2">
        <f>--31918.22</f>
        <v>31918.22</v>
      </c>
      <c r="Q15" s="2"/>
      <c r="R15" s="19"/>
      <c r="S15" s="2"/>
      <c r="T15" s="2"/>
      <c r="U15" s="2"/>
      <c r="V15" s="19"/>
      <c r="W15" s="2"/>
      <c r="X15" s="2">
        <f t="shared" si="2"/>
        <v>31918.22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--2.55</f>
        <v>2.5499999999999998</v>
      </c>
      <c r="E16" s="2"/>
      <c r="F16" s="19"/>
      <c r="G16" s="2"/>
      <c r="H16" s="2"/>
      <c r="I16" s="2"/>
      <c r="J16" s="19"/>
      <c r="K16" s="2"/>
      <c r="L16" s="2">
        <f t="shared" si="0"/>
        <v>2.5499999999999998</v>
      </c>
      <c r="M16" s="2"/>
      <c r="N16" s="19">
        <f t="shared" si="1"/>
        <v>0</v>
      </c>
      <c r="O16" s="11"/>
      <c r="P16" s="2">
        <f>--98.28</f>
        <v>98.28</v>
      </c>
      <c r="Q16" s="2"/>
      <c r="R16" s="19"/>
      <c r="S16" s="2"/>
      <c r="T16" s="2"/>
      <c r="U16" s="2"/>
      <c r="V16" s="19"/>
      <c r="W16" s="2"/>
      <c r="X16" s="2">
        <f t="shared" si="2"/>
        <v>98.28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--402.65</f>
        <v>402.65</v>
      </c>
      <c r="E17" s="2"/>
      <c r="F17" s="19"/>
      <c r="G17" s="2"/>
      <c r="H17" s="2"/>
      <c r="I17" s="2"/>
      <c r="J17" s="19"/>
      <c r="K17" s="2"/>
      <c r="L17" s="2">
        <f t="shared" si="0"/>
        <v>402.65</v>
      </c>
      <c r="M17" s="2"/>
      <c r="N17" s="19">
        <f t="shared" si="1"/>
        <v>0</v>
      </c>
      <c r="O17" s="11"/>
      <c r="P17" s="2">
        <f>--1374</f>
        <v>1374</v>
      </c>
      <c r="Q17" s="2"/>
      <c r="R17" s="19"/>
      <c r="S17" s="2"/>
      <c r="T17" s="2"/>
      <c r="U17" s="2"/>
      <c r="V17" s="19"/>
      <c r="W17" s="2"/>
      <c r="X17" s="2">
        <f t="shared" si="2"/>
        <v>1374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19" si="4">0</f>
        <v>0</v>
      </c>
      <c r="E18" s="2"/>
      <c r="F18" s="19"/>
      <c r="G18" s="2"/>
      <c r="H18" s="2">
        <v>10450</v>
      </c>
      <c r="I18" s="2"/>
      <c r="J18" s="19"/>
      <c r="K18" s="2"/>
      <c r="L18" s="2">
        <f t="shared" si="0"/>
        <v>-10450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49875</v>
      </c>
      <c r="U18" s="2"/>
      <c r="V18" s="19"/>
      <c r="W18" s="2"/>
      <c r="X18" s="2">
        <f t="shared" si="2"/>
        <v>-49875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/>
      <c r="U19" s="2"/>
      <c r="V19" s="19"/>
      <c r="W19" s="2"/>
      <c r="X19" s="2">
        <f t="shared" si="2"/>
        <v>152.75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--2246.8</f>
        <v>2246.8000000000002</v>
      </c>
      <c r="E20" s="2"/>
      <c r="F20" s="19"/>
      <c r="G20" s="2"/>
      <c r="H20" s="2"/>
      <c r="I20" s="2"/>
      <c r="J20" s="19"/>
      <c r="K20" s="2"/>
      <c r="L20" s="2">
        <f t="shared" si="0"/>
        <v>2246.8000000000002</v>
      </c>
      <c r="M20" s="2"/>
      <c r="N20" s="19">
        <f t="shared" si="1"/>
        <v>0</v>
      </c>
      <c r="O20" s="11"/>
      <c r="P20" s="2">
        <f>--4348.3</f>
        <v>4348.3</v>
      </c>
      <c r="Q20" s="2"/>
      <c r="R20" s="19"/>
      <c r="S20" s="2"/>
      <c r="T20" s="2"/>
      <c r="U20" s="2"/>
      <c r="V20" s="19"/>
      <c r="W20" s="2"/>
      <c r="X20" s="2">
        <f t="shared" si="2"/>
        <v>4348.3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--40316.8</f>
        <v>40316.800000000003</v>
      </c>
      <c r="E21" s="2"/>
      <c r="F21" s="19"/>
      <c r="G21" s="2"/>
      <c r="H21" s="2"/>
      <c r="I21" s="2"/>
      <c r="J21" s="19"/>
      <c r="K21" s="2"/>
      <c r="L21" s="2">
        <f t="shared" si="0"/>
        <v>40316.800000000003</v>
      </c>
      <c r="M21" s="2"/>
      <c r="N21" s="19">
        <f t="shared" si="1"/>
        <v>0</v>
      </c>
      <c r="O21" s="11"/>
      <c r="P21" s="2">
        <f>--90410.3</f>
        <v>90410.3</v>
      </c>
      <c r="Q21" s="2"/>
      <c r="R21" s="19"/>
      <c r="S21" s="2"/>
      <c r="T21" s="2"/>
      <c r="U21" s="2"/>
      <c r="V21" s="19"/>
      <c r="W21" s="2"/>
      <c r="X21" s="2">
        <f t="shared" si="2"/>
        <v>90410.3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-240</f>
        <v>-240</v>
      </c>
      <c r="E22" s="2"/>
      <c r="F22" s="19"/>
      <c r="G22" s="2"/>
      <c r="H22" s="2"/>
      <c r="I22" s="2"/>
      <c r="J22" s="19"/>
      <c r="K22" s="2"/>
      <c r="L22" s="2">
        <f t="shared" si="0"/>
        <v>-240</v>
      </c>
      <c r="M22" s="2"/>
      <c r="N22" s="19">
        <f t="shared" si="1"/>
        <v>0</v>
      </c>
      <c r="O22" s="11"/>
      <c r="P22" s="2">
        <f>--174.9</f>
        <v>174.9</v>
      </c>
      <c r="Q22" s="2"/>
      <c r="R22" s="19"/>
      <c r="S22" s="2"/>
      <c r="T22" s="2"/>
      <c r="U22" s="2"/>
      <c r="V22" s="19"/>
      <c r="W22" s="2"/>
      <c r="X22" s="2">
        <f t="shared" si="2"/>
        <v>174.9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-21</f>
        <v>-21</v>
      </c>
      <c r="E23" s="2"/>
      <c r="F23" s="19"/>
      <c r="G23" s="2"/>
      <c r="H23" s="2"/>
      <c r="I23" s="2"/>
      <c r="J23" s="19"/>
      <c r="K23" s="2"/>
      <c r="L23" s="2">
        <f t="shared" si="0"/>
        <v>-21</v>
      </c>
      <c r="M23" s="2"/>
      <c r="N23" s="19">
        <f t="shared" si="1"/>
        <v>0</v>
      </c>
      <c r="O23" s="11"/>
      <c r="P23" s="2">
        <f>-634.75</f>
        <v>-634.75</v>
      </c>
      <c r="Q23" s="2"/>
      <c r="R23" s="19"/>
      <c r="S23" s="2"/>
      <c r="T23" s="2"/>
      <c r="U23" s="2"/>
      <c r="V23" s="19"/>
      <c r="W23" s="2"/>
      <c r="X23" s="2">
        <f t="shared" si="2"/>
        <v>-634.75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ref="D24:D25" si="5"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/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-8.15</f>
        <v>-8.15</v>
      </c>
      <c r="Q25" s="2"/>
      <c r="R25" s="19"/>
      <c r="S25" s="2"/>
      <c r="T25" s="2"/>
      <c r="U25" s="2"/>
      <c r="V25" s="19"/>
      <c r="W25" s="2"/>
      <c r="X25" s="2">
        <f t="shared" si="2"/>
        <v>-8.15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2">
        <f>D12-D27</f>
        <v>56348.18</v>
      </c>
      <c r="E29" s="14"/>
      <c r="F29" s="20">
        <f>IF(D$12=0,0,D29/D$12)</f>
        <v>1</v>
      </c>
      <c r="G29" s="14"/>
      <c r="H29" s="22">
        <f>H12-H27</f>
        <v>55575</v>
      </c>
      <c r="I29" s="14"/>
      <c r="J29" s="20">
        <f>IF(H$12=0,0,H29/H$12)</f>
        <v>1</v>
      </c>
      <c r="K29" s="16"/>
      <c r="L29" s="22">
        <f>+D29-H29</f>
        <v>773.18000000000029</v>
      </c>
      <c r="M29" s="16"/>
      <c r="N29" s="20">
        <f>IF(H29=0,0,L29/H29)</f>
        <v>1.3912370670265413E-2</v>
      </c>
      <c r="O29" s="29"/>
      <c r="P29" s="22">
        <f>P12-P27</f>
        <v>224591.89999999997</v>
      </c>
      <c r="Q29" s="14"/>
      <c r="R29" s="20">
        <f>IF(P$12=0,0,P29/P$12)</f>
        <v>1</v>
      </c>
      <c r="S29" s="14"/>
      <c r="T29" s="22">
        <f>T12-T27</f>
        <v>261012.5</v>
      </c>
      <c r="U29" s="14"/>
      <c r="V29" s="20">
        <f>IF(T$12=0,0,T29/T$12)</f>
        <v>1</v>
      </c>
      <c r="W29" s="16"/>
      <c r="X29" s="22">
        <f>+P29-T29</f>
        <v>-36420.600000000035</v>
      </c>
      <c r="Y29" s="16"/>
      <c r="Z29" s="20">
        <f>IF(T29=0,0,X29/T29)</f>
        <v>-0.13953584598438787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55355.859999999993</v>
      </c>
      <c r="E31" s="21"/>
      <c r="F31" s="35">
        <f t="shared" ref="F31:F41" si="6">IF(D$12=0,0,D31/D$12)</f>
        <v>0.98238949332525016</v>
      </c>
      <c r="G31" s="21"/>
      <c r="H31" s="21">
        <f>SUM(OSRRefH22x_0)</f>
        <v>52253.124998903135</v>
      </c>
      <c r="I31" s="21"/>
      <c r="J31" s="35">
        <f t="shared" ref="J31:J41" si="7">IF(H$12=0,0,H31/H$12)</f>
        <v>0.94022717047059168</v>
      </c>
      <c r="K31" s="4"/>
      <c r="L31" s="21">
        <f t="shared" ref="L31:L41" si="8">+D31-H31</f>
        <v>3102.7350010968585</v>
      </c>
      <c r="M31" s="4"/>
      <c r="N31" s="35">
        <f t="shared" ref="N31:N41" si="9">IF(H31=0,0,L31/H31)</f>
        <v>5.9378936688705017E-2</v>
      </c>
      <c r="O31" s="10"/>
      <c r="P31" s="21">
        <f>SUM(OSRRefP22x_0)</f>
        <v>177013.58999999997</v>
      </c>
      <c r="Q31" s="21"/>
      <c r="R31" s="35">
        <f t="shared" ref="R31:R41" si="10">IF(P$12=0,0,P31/P$12)</f>
        <v>0.78815660760695283</v>
      </c>
      <c r="S31" s="21"/>
      <c r="T31" s="21">
        <f>SUM(OSRRefT22x_0)</f>
        <v>210094.60422001238</v>
      </c>
      <c r="U31" s="21"/>
      <c r="V31" s="35">
        <f t="shared" ref="V31:V41" si="11">IF(T$12=0,0,T31/T$12)</f>
        <v>0.80492161953934149</v>
      </c>
      <c r="W31" s="4"/>
      <c r="X31" s="21">
        <f t="shared" ref="X31:X41" si="12">+P31-T31</f>
        <v>-33081.01422001241</v>
      </c>
      <c r="Y31" s="4"/>
      <c r="Z31" s="35">
        <f t="shared" ref="Z31:Z41" si="13">IF(T31=0,0,X31/T31)</f>
        <v>-0.15745770503163312</v>
      </c>
    </row>
    <row r="32" spans="1:26" s="26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10020.68</v>
      </c>
      <c r="E32" s="1"/>
      <c r="F32" s="5">
        <f t="shared" si="6"/>
        <v>0.17783502501766696</v>
      </c>
      <c r="G32" s="1"/>
      <c r="H32" s="1">
        <f>SUM(OSRRefH22_0x_0)</f>
        <v>6182.4904937400552</v>
      </c>
      <c r="I32" s="1"/>
      <c r="J32" s="5">
        <f t="shared" si="7"/>
        <v>0.1112458928248323</v>
      </c>
      <c r="K32" s="1"/>
      <c r="L32" s="1">
        <f t="shared" si="8"/>
        <v>3838.1895062599451</v>
      </c>
      <c r="M32" s="1"/>
      <c r="N32" s="5">
        <f t="shared" si="9"/>
        <v>0.62081607891612922</v>
      </c>
      <c r="O32" s="13"/>
      <c r="P32" s="1">
        <f>SUM(OSRRefP22_0x_0)</f>
        <v>32301.06</v>
      </c>
      <c r="Q32" s="1"/>
      <c r="R32" s="5">
        <f t="shared" si="10"/>
        <v>0.14382112622939655</v>
      </c>
      <c r="S32" s="1"/>
      <c r="T32" s="1">
        <f>SUM(OSRRefT22_0x_0)</f>
        <v>23558.8020594093</v>
      </c>
      <c r="U32" s="1"/>
      <c r="V32" s="5">
        <f t="shared" si="11"/>
        <v>9.0259286660253055E-2</v>
      </c>
      <c r="W32" s="1"/>
      <c r="X32" s="1">
        <f t="shared" si="12"/>
        <v>8742.2579405907018</v>
      </c>
      <c r="Y32" s="1"/>
      <c r="Z32" s="5">
        <f t="shared" si="13"/>
        <v>0.37108244801857726</v>
      </c>
    </row>
    <row r="33" spans="1:26" s="24" customFormat="1" hidden="1" outlineLevel="2" x14ac:dyDescent="0.25">
      <c r="A33" s="27"/>
      <c r="B33" s="11" t="str">
        <f>CONCATENATE("          ", "6111", " - ", "F.I.C.A.")</f>
        <v xml:space="preserve">          6111 - F.I.C.A.</v>
      </c>
      <c r="C33" s="11"/>
      <c r="D33" s="6">
        <v>2360.46</v>
      </c>
      <c r="E33" s="2"/>
      <c r="F33" s="7">
        <f t="shared" si="6"/>
        <v>4.1890616520356118E-2</v>
      </c>
      <c r="G33" s="2"/>
      <c r="H33" s="6">
        <v>1258.9143055673101</v>
      </c>
      <c r="I33" s="2"/>
      <c r="J33" s="7">
        <f t="shared" si="7"/>
        <v>2.2652529115021323E-2</v>
      </c>
      <c r="K33" s="2"/>
      <c r="L33" s="6">
        <f t="shared" si="8"/>
        <v>1101.54569443269</v>
      </c>
      <c r="M33" s="2"/>
      <c r="N33" s="7">
        <f t="shared" si="9"/>
        <v>0.87499656613743504</v>
      </c>
      <c r="O33" s="11"/>
      <c r="P33" s="6">
        <v>5747.37</v>
      </c>
      <c r="Q33" s="2"/>
      <c r="R33" s="7">
        <f t="shared" si="10"/>
        <v>2.5590281751033766E-2</v>
      </c>
      <c r="S33" s="2"/>
      <c r="T33" s="6">
        <v>4885.9766559180098</v>
      </c>
      <c r="U33" s="2"/>
      <c r="V33" s="7">
        <f t="shared" si="11"/>
        <v>1.871932055329921E-2</v>
      </c>
      <c r="W33" s="2"/>
      <c r="X33" s="6">
        <f t="shared" si="12"/>
        <v>861.39334408199011</v>
      </c>
      <c r="Y33" s="2"/>
      <c r="Z33" s="7">
        <f t="shared" si="13"/>
        <v>0.17629911167067289</v>
      </c>
    </row>
    <row r="34" spans="1:26" s="24" customFormat="1" hidden="1" outlineLevel="2" x14ac:dyDescent="0.25">
      <c r="A34" s="27"/>
      <c r="B34" s="11" t="str">
        <f>CONCATENATE("          ", "6112", " - ", "COMPENSATION INSURANCE")</f>
        <v xml:space="preserve">          6112 - COMPENSATION INSURANCE</v>
      </c>
      <c r="C34" s="11"/>
      <c r="D34" s="6">
        <v>51.4</v>
      </c>
      <c r="E34" s="2"/>
      <c r="F34" s="7">
        <f t="shared" si="6"/>
        <v>9.1218562871063448E-4</v>
      </c>
      <c r="G34" s="2"/>
      <c r="H34" s="6">
        <v>251.36895865384602</v>
      </c>
      <c r="I34" s="2"/>
      <c r="J34" s="7">
        <f t="shared" si="7"/>
        <v>4.5230581854043368E-3</v>
      </c>
      <c r="K34" s="2"/>
      <c r="L34" s="6">
        <f t="shared" si="8"/>
        <v>-199.96895865384602</v>
      </c>
      <c r="M34" s="2"/>
      <c r="N34" s="7">
        <f t="shared" si="9"/>
        <v>-0.79551970030324359</v>
      </c>
      <c r="O34" s="11"/>
      <c r="P34" s="6">
        <v>656.15</v>
      </c>
      <c r="Q34" s="2"/>
      <c r="R34" s="7">
        <f t="shared" si="10"/>
        <v>2.9215212124747156E-3</v>
      </c>
      <c r="S34" s="2"/>
      <c r="T34" s="6">
        <v>904.92825115384596</v>
      </c>
      <c r="U34" s="2"/>
      <c r="V34" s="7">
        <f t="shared" si="11"/>
        <v>3.4669920067193945E-3</v>
      </c>
      <c r="W34" s="2"/>
      <c r="X34" s="6">
        <f t="shared" si="12"/>
        <v>-248.77825115384599</v>
      </c>
      <c r="Y34" s="2"/>
      <c r="Z34" s="7">
        <f t="shared" si="13"/>
        <v>-0.2749148905856752</v>
      </c>
    </row>
    <row r="35" spans="1:26" s="24" customFormat="1" hidden="1" outlineLevel="2" x14ac:dyDescent="0.25">
      <c r="A35" s="27"/>
      <c r="B35" s="11" t="str">
        <f>CONCATENATE("          ", "6113", " - ", "GROUP INSURANCE")</f>
        <v xml:space="preserve">          6113 - GROUP INSURANCE</v>
      </c>
      <c r="C35" s="11"/>
      <c r="D35" s="6">
        <v>3051.28</v>
      </c>
      <c r="E35" s="2"/>
      <c r="F35" s="7">
        <f t="shared" si="6"/>
        <v>5.4150462357435508E-2</v>
      </c>
      <c r="G35" s="2"/>
      <c r="H35" s="6">
        <v>2044</v>
      </c>
      <c r="I35" s="2"/>
      <c r="J35" s="7">
        <f t="shared" si="7"/>
        <v>3.6779127305443096E-2</v>
      </c>
      <c r="K35" s="2"/>
      <c r="L35" s="6">
        <f t="shared" si="8"/>
        <v>1007.2800000000002</v>
      </c>
      <c r="M35" s="2"/>
      <c r="N35" s="7">
        <f t="shared" si="9"/>
        <v>0.49279843444227017</v>
      </c>
      <c r="O35" s="11"/>
      <c r="P35" s="6">
        <v>11280.88</v>
      </c>
      <c r="Q35" s="2"/>
      <c r="R35" s="7">
        <f t="shared" si="10"/>
        <v>5.0228347504963453E-2</v>
      </c>
      <c r="S35" s="2"/>
      <c r="T35" s="6">
        <v>8176</v>
      </c>
      <c r="U35" s="2"/>
      <c r="V35" s="7">
        <f t="shared" si="11"/>
        <v>3.1324170298357358E-2</v>
      </c>
      <c r="W35" s="2"/>
      <c r="X35" s="6">
        <f t="shared" si="12"/>
        <v>3104.8799999999992</v>
      </c>
      <c r="Y35" s="2"/>
      <c r="Z35" s="7">
        <f t="shared" si="13"/>
        <v>0.37975538160469657</v>
      </c>
    </row>
    <row r="36" spans="1:26" s="24" customFormat="1" hidden="1" outlineLevel="2" x14ac:dyDescent="0.25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>
        <v>76.510000000000005</v>
      </c>
      <c r="E36" s="2"/>
      <c r="F36" s="7">
        <f t="shared" si="6"/>
        <v>1.3578078298181061E-3</v>
      </c>
      <c r="G36" s="2"/>
      <c r="H36" s="6">
        <v>54.545478313423999</v>
      </c>
      <c r="I36" s="2"/>
      <c r="J36" s="7">
        <f t="shared" si="7"/>
        <v>9.814750933589563E-4</v>
      </c>
      <c r="K36" s="2"/>
      <c r="L36" s="6">
        <f t="shared" si="8"/>
        <v>21.964521686576006</v>
      </c>
      <c r="M36" s="2"/>
      <c r="N36" s="7">
        <f t="shared" si="9"/>
        <v>0.40268272211979839</v>
      </c>
      <c r="O36" s="11"/>
      <c r="P36" s="6">
        <v>202.33</v>
      </c>
      <c r="Q36" s="2"/>
      <c r="R36" s="7">
        <f t="shared" si="10"/>
        <v>9.0087843773528804E-4</v>
      </c>
      <c r="S36" s="2"/>
      <c r="T36" s="6">
        <v>198.499668577568</v>
      </c>
      <c r="U36" s="2"/>
      <c r="V36" s="7">
        <f t="shared" si="11"/>
        <v>7.6049870629785166E-4</v>
      </c>
      <c r="W36" s="2"/>
      <c r="X36" s="6">
        <f t="shared" si="12"/>
        <v>3.8303314224320104</v>
      </c>
      <c r="Y36" s="2"/>
      <c r="Z36" s="7">
        <f t="shared" si="13"/>
        <v>1.929641217982803E-2</v>
      </c>
    </row>
    <row r="37" spans="1:26" s="24" customFormat="1" hidden="1" outlineLevel="2" x14ac:dyDescent="0.25">
      <c r="A37" s="27"/>
      <c r="B37" s="11" t="str">
        <f>CONCATENATE("          ", "6115", " - ", "P.E.R.S.")</f>
        <v xml:space="preserve">          6115 - P.E.R.S.</v>
      </c>
      <c r="C37" s="11"/>
      <c r="D37" s="6">
        <v>2078.9</v>
      </c>
      <c r="E37" s="2"/>
      <c r="F37" s="7">
        <f t="shared" si="6"/>
        <v>3.6893826916858719E-2</v>
      </c>
      <c r="G37" s="2"/>
      <c r="H37" s="6">
        <v>1137.77528653846</v>
      </c>
      <c r="I37" s="2"/>
      <c r="J37" s="7">
        <f t="shared" si="7"/>
        <v>2.0472789681303824E-2</v>
      </c>
      <c r="K37" s="2"/>
      <c r="L37" s="6">
        <f t="shared" si="8"/>
        <v>941.12471346154007</v>
      </c>
      <c r="M37" s="2"/>
      <c r="N37" s="7">
        <f t="shared" si="9"/>
        <v>0.82716220381688466</v>
      </c>
      <c r="O37" s="11"/>
      <c r="P37" s="6">
        <v>5445.91</v>
      </c>
      <c r="Q37" s="2"/>
      <c r="R37" s="7">
        <f t="shared" si="10"/>
        <v>2.4248024973296013E-2</v>
      </c>
      <c r="S37" s="2"/>
      <c r="T37" s="6">
        <v>4095.9910315384577</v>
      </c>
      <c r="U37" s="2"/>
      <c r="V37" s="7">
        <f t="shared" si="11"/>
        <v>1.5692700661993037E-2</v>
      </c>
      <c r="W37" s="2"/>
      <c r="X37" s="6">
        <f t="shared" si="12"/>
        <v>1349.9189684615421</v>
      </c>
      <c r="Y37" s="2"/>
      <c r="Z37" s="7">
        <f t="shared" si="13"/>
        <v>0.3295707822764718</v>
      </c>
    </row>
    <row r="38" spans="1:26" s="24" customFormat="1" hidden="1" outlineLevel="2" x14ac:dyDescent="0.25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6"/>
        <v>0</v>
      </c>
      <c r="G38" s="2"/>
      <c r="H38" s="6">
        <v>0</v>
      </c>
      <c r="I38" s="2"/>
      <c r="J38" s="7">
        <f t="shared" si="7"/>
        <v>0</v>
      </c>
      <c r="K38" s="2"/>
      <c r="L38" s="6">
        <f t="shared" si="8"/>
        <v>0</v>
      </c>
      <c r="M38" s="2"/>
      <c r="N38" s="7">
        <f t="shared" si="9"/>
        <v>0</v>
      </c>
      <c r="O38" s="11"/>
      <c r="P38" s="6"/>
      <c r="Q38" s="2"/>
      <c r="R38" s="7">
        <f t="shared" si="10"/>
        <v>0</v>
      </c>
      <c r="S38" s="2"/>
      <c r="T38" s="6">
        <v>0</v>
      </c>
      <c r="U38" s="2"/>
      <c r="V38" s="7">
        <f t="shared" si="11"/>
        <v>0</v>
      </c>
      <c r="W38" s="2"/>
      <c r="X38" s="6">
        <f t="shared" si="12"/>
        <v>0</v>
      </c>
      <c r="Y38" s="2"/>
      <c r="Z38" s="7">
        <f t="shared" si="13"/>
        <v>0</v>
      </c>
    </row>
    <row r="39" spans="1:26" s="24" customFormat="1" hidden="1" outlineLevel="2" x14ac:dyDescent="0.25">
      <c r="A39" s="27"/>
      <c r="B39" s="11" t="str">
        <f>CONCATENATE("          ", "6118", " - ", "VACATION")</f>
        <v xml:space="preserve">          6118 - VACATION</v>
      </c>
      <c r="C39" s="11"/>
      <c r="D39" s="6">
        <v>1263.1600000000001</v>
      </c>
      <c r="E39" s="2"/>
      <c r="F39" s="7">
        <f t="shared" si="6"/>
        <v>2.2417050559574419E-2</v>
      </c>
      <c r="G39" s="2"/>
      <c r="H39" s="6">
        <v>661.49725961538502</v>
      </c>
      <c r="I39" s="2"/>
      <c r="J39" s="7">
        <f t="shared" si="7"/>
        <v>1.190278469843248E-2</v>
      </c>
      <c r="K39" s="2"/>
      <c r="L39" s="6">
        <f t="shared" si="8"/>
        <v>601.66274038461506</v>
      </c>
      <c r="M39" s="2"/>
      <c r="N39" s="7">
        <f t="shared" si="9"/>
        <v>0.90954683732845754</v>
      </c>
      <c r="O39" s="11"/>
      <c r="P39" s="6">
        <v>4945.59</v>
      </c>
      <c r="Q39" s="2"/>
      <c r="R39" s="7">
        <f t="shared" si="10"/>
        <v>2.2020340003357203E-2</v>
      </c>
      <c r="S39" s="2"/>
      <c r="T39" s="6">
        <v>2381.3901346153862</v>
      </c>
      <c r="U39" s="2"/>
      <c r="V39" s="7">
        <f t="shared" si="11"/>
        <v>9.1236631755773623E-3</v>
      </c>
      <c r="W39" s="2"/>
      <c r="X39" s="6">
        <f t="shared" si="12"/>
        <v>2564.199865384614</v>
      </c>
      <c r="Y39" s="2"/>
      <c r="Z39" s="7">
        <f t="shared" si="13"/>
        <v>1.0767659729970087</v>
      </c>
    </row>
    <row r="40" spans="1:26" s="24" customFormat="1" hidden="1" outlineLevel="2" x14ac:dyDescent="0.25">
      <c r="A40" s="27"/>
      <c r="B40" s="11" t="str">
        <f>CONCATENATE("          ", "6119", " - ", "SICK LEAVE")</f>
        <v xml:space="preserve">          6119 - SICK LEAVE</v>
      </c>
      <c r="C40" s="11"/>
      <c r="D40" s="6">
        <v>834.81</v>
      </c>
      <c r="E40" s="2"/>
      <c r="F40" s="7">
        <f t="shared" si="6"/>
        <v>1.4815207873617212E-2</v>
      </c>
      <c r="G40" s="2"/>
      <c r="H40" s="6">
        <v>474.389205051631</v>
      </c>
      <c r="I40" s="2"/>
      <c r="J40" s="7">
        <f t="shared" si="7"/>
        <v>8.5360180845997485E-3</v>
      </c>
      <c r="K40" s="2"/>
      <c r="L40" s="6">
        <f t="shared" si="8"/>
        <v>360.42079494836895</v>
      </c>
      <c r="M40" s="2"/>
      <c r="N40" s="7">
        <f t="shared" si="9"/>
        <v>0.75975758113876535</v>
      </c>
      <c r="O40" s="11"/>
      <c r="P40" s="6">
        <v>2983.22</v>
      </c>
      <c r="Q40" s="2"/>
      <c r="R40" s="7">
        <f t="shared" si="10"/>
        <v>1.3282847689520415E-2</v>
      </c>
      <c r="S40" s="2"/>
      <c r="T40" s="6">
        <v>1716.0163176060319</v>
      </c>
      <c r="U40" s="2"/>
      <c r="V40" s="7">
        <f t="shared" si="11"/>
        <v>6.5744602944534528E-3</v>
      </c>
      <c r="W40" s="2"/>
      <c r="X40" s="6">
        <f t="shared" si="12"/>
        <v>1267.2036823939679</v>
      </c>
      <c r="Y40" s="2"/>
      <c r="Z40" s="7">
        <f t="shared" si="13"/>
        <v>0.73845666232463902</v>
      </c>
    </row>
    <row r="41" spans="1:26" s="24" customFormat="1" hidden="1" outlineLevel="2" x14ac:dyDescent="0.25">
      <c r="A41" s="27"/>
      <c r="B41" s="11" t="str">
        <f>CONCATENATE("          ", "6156", " - ", "EMPLOYEE MEALS")</f>
        <v xml:space="preserve">          6156 - EMPLOYEE MEALS</v>
      </c>
      <c r="C41" s="11"/>
      <c r="D41" s="6">
        <v>304.16000000000003</v>
      </c>
      <c r="E41" s="2"/>
      <c r="F41" s="7">
        <f t="shared" si="6"/>
        <v>5.3978673312962376E-3</v>
      </c>
      <c r="G41" s="2"/>
      <c r="H41" s="6">
        <v>300</v>
      </c>
      <c r="I41" s="2"/>
      <c r="J41" s="7">
        <f t="shared" si="7"/>
        <v>5.3981106612685558E-3</v>
      </c>
      <c r="K41" s="2"/>
      <c r="L41" s="6">
        <f t="shared" si="8"/>
        <v>4.160000000000025</v>
      </c>
      <c r="M41" s="2"/>
      <c r="N41" s="7">
        <f t="shared" si="9"/>
        <v>1.3866666666666749E-2</v>
      </c>
      <c r="O41" s="11"/>
      <c r="P41" s="6">
        <v>1039.6099999999999</v>
      </c>
      <c r="Q41" s="2"/>
      <c r="R41" s="7">
        <f t="shared" si="10"/>
        <v>4.6288846570156804E-3</v>
      </c>
      <c r="S41" s="2"/>
      <c r="T41" s="6">
        <v>1200</v>
      </c>
      <c r="U41" s="2"/>
      <c r="V41" s="7">
        <f t="shared" si="11"/>
        <v>4.5974809635553849E-3</v>
      </c>
      <c r="W41" s="2"/>
      <c r="X41" s="6">
        <f t="shared" si="12"/>
        <v>-160.3900000000001</v>
      </c>
      <c r="Y41" s="2"/>
      <c r="Z41" s="7">
        <f t="shared" si="13"/>
        <v>-0.13365833333333341</v>
      </c>
    </row>
    <row r="42" spans="1:26" s="26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18919.54</v>
      </c>
      <c r="E42" s="1"/>
      <c r="F42" s="5">
        <f t="shared" ref="F42:F52" si="14">IF(D$12=0,0,D42/D$12)</f>
        <v>0.3357613324866926</v>
      </c>
      <c r="G42" s="1"/>
      <c r="H42" s="1">
        <f>SUM(OSRRefH22_1x_0)</f>
        <v>19920.634505163081</v>
      </c>
      <c r="I42" s="1"/>
      <c r="J42" s="5">
        <f t="shared" ref="J42:J52" si="15">IF(H$12=0,0,H42/H$12)</f>
        <v>0.35844596500518366</v>
      </c>
      <c r="K42" s="1"/>
      <c r="L42" s="1">
        <f t="shared" ref="L42:L52" si="16">+D42-H42</f>
        <v>-1001.0945051630806</v>
      </c>
      <c r="M42" s="1"/>
      <c r="N42" s="5">
        <f t="shared" ref="N42:N52" si="17">IF(H42=0,0,L42/H42)</f>
        <v>-5.0254147522440326E-2</v>
      </c>
      <c r="O42" s="13"/>
      <c r="P42" s="1">
        <f>SUM(OSRRefP22_1x_0)</f>
        <v>71180.899999999994</v>
      </c>
      <c r="Q42" s="1"/>
      <c r="R42" s="5">
        <f t="shared" ref="R42:R52" si="18">IF(P$12=0,0,P42/P$12)</f>
        <v>0.31693440413478852</v>
      </c>
      <c r="S42" s="1"/>
      <c r="T42" s="1">
        <f>SUM(OSRRefT22_1x_0)</f>
        <v>72535.802160603082</v>
      </c>
      <c r="U42" s="1"/>
      <c r="V42" s="5">
        <f t="shared" ref="V42:V52" si="19">IF(T$12=0,0,T42/T$12)</f>
        <v>0.27790164134132689</v>
      </c>
      <c r="W42" s="1"/>
      <c r="X42" s="1">
        <f t="shared" ref="X42:X52" si="20">+P42-T42</f>
        <v>-1354.9021606030874</v>
      </c>
      <c r="Y42" s="1"/>
      <c r="Z42" s="5">
        <f t="shared" ref="Z42:Z52" si="21">IF(T42=0,0,X42/T42)</f>
        <v>-1.8679081505201658E-2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14"/>
        <v>0</v>
      </c>
      <c r="G43" s="2"/>
      <c r="H43" s="6">
        <v>7488.179000000001</v>
      </c>
      <c r="I43" s="2"/>
      <c r="J43" s="7">
        <f t="shared" si="15"/>
        <v>0.13474006297795774</v>
      </c>
      <c r="K43" s="2"/>
      <c r="L43" s="6">
        <f t="shared" si="16"/>
        <v>-7488.179000000001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26957.4444</v>
      </c>
      <c r="U43" s="2"/>
      <c r="V43" s="7">
        <f t="shared" si="19"/>
        <v>0.1032802812125856</v>
      </c>
      <c r="W43" s="2"/>
      <c r="X43" s="6">
        <f t="shared" si="20"/>
        <v>-26957.4444</v>
      </c>
      <c r="Y43" s="2"/>
      <c r="Z43" s="7">
        <f t="shared" si="21"/>
        <v>-1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6">
        <v>11058.78</v>
      </c>
      <c r="E44" s="2"/>
      <c r="F44" s="7">
        <f t="shared" si="14"/>
        <v>0.19625798029324107</v>
      </c>
      <c r="G44" s="2"/>
      <c r="H44" s="6">
        <v>4683.3705769230792</v>
      </c>
      <c r="I44" s="2"/>
      <c r="J44" s="7">
        <f t="shared" si="15"/>
        <v>8.4271175473199803E-2</v>
      </c>
      <c r="K44" s="2"/>
      <c r="L44" s="6">
        <f t="shared" si="16"/>
        <v>6375.4094230769215</v>
      </c>
      <c r="M44" s="2"/>
      <c r="N44" s="7">
        <f t="shared" si="17"/>
        <v>1.3612865602588067</v>
      </c>
      <c r="O44" s="11"/>
      <c r="P44" s="6">
        <v>45973.75</v>
      </c>
      <c r="Q44" s="2"/>
      <c r="R44" s="7">
        <f t="shared" si="18"/>
        <v>0.20469905637736716</v>
      </c>
      <c r="S44" s="2"/>
      <c r="T44" s="6">
        <v>16860.134076923081</v>
      </c>
      <c r="U44" s="2"/>
      <c r="V44" s="7">
        <f t="shared" si="19"/>
        <v>6.459512121803776E-2</v>
      </c>
      <c r="W44" s="2"/>
      <c r="X44" s="6">
        <f t="shared" si="20"/>
        <v>29113.615923076919</v>
      </c>
      <c r="Y44" s="2"/>
      <c r="Z44" s="7">
        <f t="shared" si="21"/>
        <v>1.726772503127689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14"/>
        <v>0</v>
      </c>
      <c r="G45" s="2"/>
      <c r="H45" s="6">
        <v>0</v>
      </c>
      <c r="I45" s="2"/>
      <c r="J45" s="7">
        <f t="shared" si="15"/>
        <v>0</v>
      </c>
      <c r="K45" s="2"/>
      <c r="L45" s="6">
        <f t="shared" si="16"/>
        <v>0</v>
      </c>
      <c r="M45" s="2"/>
      <c r="N45" s="7">
        <f t="shared" si="17"/>
        <v>0</v>
      </c>
      <c r="O45" s="11"/>
      <c r="P45" s="6"/>
      <c r="Q45" s="2"/>
      <c r="R45" s="7">
        <f t="shared" si="18"/>
        <v>0</v>
      </c>
      <c r="S45" s="2"/>
      <c r="T45" s="6">
        <v>0</v>
      </c>
      <c r="U45" s="2"/>
      <c r="V45" s="7">
        <f t="shared" si="19"/>
        <v>0</v>
      </c>
      <c r="W45" s="2"/>
      <c r="X45" s="6">
        <f t="shared" si="20"/>
        <v>0</v>
      </c>
      <c r="Y45" s="2"/>
      <c r="Z45" s="7">
        <f t="shared" si="21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14"/>
        <v>0</v>
      </c>
      <c r="G46" s="2"/>
      <c r="H46" s="6">
        <v>3220</v>
      </c>
      <c r="I46" s="2"/>
      <c r="J46" s="7">
        <f t="shared" si="15"/>
        <v>5.7939721097615832E-2</v>
      </c>
      <c r="K46" s="2"/>
      <c r="L46" s="6">
        <f t="shared" si="16"/>
        <v>-3220</v>
      </c>
      <c r="M46" s="2"/>
      <c r="N46" s="7">
        <f t="shared" si="17"/>
        <v>-1</v>
      </c>
      <c r="O46" s="11"/>
      <c r="P46" s="6"/>
      <c r="Q46" s="2"/>
      <c r="R46" s="7">
        <f t="shared" si="18"/>
        <v>0</v>
      </c>
      <c r="S46" s="2"/>
      <c r="T46" s="6">
        <v>12460</v>
      </c>
      <c r="U46" s="2"/>
      <c r="V46" s="7">
        <f t="shared" si="19"/>
        <v>4.7737177338250086E-2</v>
      </c>
      <c r="W46" s="2"/>
      <c r="X46" s="6">
        <f t="shared" si="20"/>
        <v>-12460</v>
      </c>
      <c r="Y46" s="2"/>
      <c r="Z46" s="7">
        <f t="shared" si="21"/>
        <v>-1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4012.75</v>
      </c>
      <c r="E47" s="2"/>
      <c r="F47" s="7">
        <f t="shared" si="14"/>
        <v>7.1213480186937711E-2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4012.75</v>
      </c>
      <c r="M47" s="2"/>
      <c r="N47" s="7">
        <f t="shared" si="17"/>
        <v>0</v>
      </c>
      <c r="O47" s="11"/>
      <c r="P47" s="6">
        <v>8195.25</v>
      </c>
      <c r="Q47" s="2"/>
      <c r="R47" s="7">
        <f t="shared" si="18"/>
        <v>3.6489517208768446E-2</v>
      </c>
      <c r="S47" s="2"/>
      <c r="T47" s="6">
        <v>0</v>
      </c>
      <c r="U47" s="2"/>
      <c r="V47" s="7">
        <f t="shared" si="19"/>
        <v>0</v>
      </c>
      <c r="W47" s="2"/>
      <c r="X47" s="6">
        <f t="shared" si="20"/>
        <v>8195.25</v>
      </c>
      <c r="Y47" s="2"/>
      <c r="Z47" s="7">
        <f t="shared" si="21"/>
        <v>0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14"/>
        <v>0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/>
      <c r="Q48" s="2"/>
      <c r="R48" s="7">
        <f t="shared" si="18"/>
        <v>0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0</v>
      </c>
      <c r="Y48" s="2"/>
      <c r="Z48" s="7">
        <f t="shared" si="21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6">
        <v>3848.01</v>
      </c>
      <c r="E49" s="2"/>
      <c r="F49" s="7">
        <f t="shared" si="14"/>
        <v>6.8289872006513791E-2</v>
      </c>
      <c r="G49" s="2"/>
      <c r="H49" s="6">
        <v>0</v>
      </c>
      <c r="I49" s="2"/>
      <c r="J49" s="7">
        <f t="shared" si="15"/>
        <v>0</v>
      </c>
      <c r="K49" s="2"/>
      <c r="L49" s="6">
        <f t="shared" si="16"/>
        <v>3848.01</v>
      </c>
      <c r="M49" s="2"/>
      <c r="N49" s="7">
        <f t="shared" si="17"/>
        <v>0</v>
      </c>
      <c r="O49" s="11"/>
      <c r="P49" s="6">
        <v>17011.900000000001</v>
      </c>
      <c r="Q49" s="2"/>
      <c r="R49" s="7">
        <f t="shared" si="18"/>
        <v>7.5745830548652929E-2</v>
      </c>
      <c r="S49" s="2"/>
      <c r="T49" s="6">
        <v>3756.1363631999998</v>
      </c>
      <c r="U49" s="2"/>
      <c r="V49" s="7">
        <f t="shared" si="19"/>
        <v>1.439063785527513E-2</v>
      </c>
      <c r="W49" s="2"/>
      <c r="X49" s="6">
        <f t="shared" si="20"/>
        <v>13255.763636800002</v>
      </c>
      <c r="Y49" s="2"/>
      <c r="Z49" s="7">
        <f t="shared" si="21"/>
        <v>3.5290954201425473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14"/>
        <v>0</v>
      </c>
      <c r="G50" s="2"/>
      <c r="H50" s="6">
        <v>4529.0849282400004</v>
      </c>
      <c r="I50" s="2"/>
      <c r="J50" s="7">
        <f t="shared" si="15"/>
        <v>8.1495005456410266E-2</v>
      </c>
      <c r="K50" s="2"/>
      <c r="L50" s="6">
        <f t="shared" si="16"/>
        <v>-4529.0849282400004</v>
      </c>
      <c r="M50" s="2"/>
      <c r="N50" s="7">
        <f t="shared" si="17"/>
        <v>-1</v>
      </c>
      <c r="O50" s="11"/>
      <c r="P50" s="6"/>
      <c r="Q50" s="2"/>
      <c r="R50" s="7">
        <f t="shared" si="18"/>
        <v>0</v>
      </c>
      <c r="S50" s="2"/>
      <c r="T50" s="6">
        <v>12502.087320479999</v>
      </c>
      <c r="U50" s="2"/>
      <c r="V50" s="7">
        <f t="shared" si="19"/>
        <v>4.7898423717178291E-2</v>
      </c>
      <c r="W50" s="2"/>
      <c r="X50" s="6">
        <f t="shared" si="20"/>
        <v>-12502.087320479999</v>
      </c>
      <c r="Y50" s="2"/>
      <c r="Z50" s="7">
        <f t="shared" si="21"/>
        <v>-1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/>
      <c r="Q51" s="2"/>
      <c r="R51" s="7">
        <f t="shared" si="18"/>
        <v>0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0</v>
      </c>
      <c r="Y51" s="2"/>
      <c r="Z51" s="7">
        <f t="shared" si="21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14"/>
        <v>0</v>
      </c>
      <c r="G52" s="2"/>
      <c r="H52" s="6">
        <v>0</v>
      </c>
      <c r="I52" s="2"/>
      <c r="J52" s="7">
        <f t="shared" si="15"/>
        <v>0</v>
      </c>
      <c r="K52" s="2"/>
      <c r="L52" s="6">
        <f t="shared" si="16"/>
        <v>0</v>
      </c>
      <c r="M52" s="2"/>
      <c r="N52" s="7">
        <f t="shared" si="17"/>
        <v>0</v>
      </c>
      <c r="O52" s="11"/>
      <c r="P52" s="6"/>
      <c r="Q52" s="2"/>
      <c r="R52" s="7">
        <f t="shared" si="18"/>
        <v>0</v>
      </c>
      <c r="S52" s="2"/>
      <c r="T52" s="6">
        <v>0</v>
      </c>
      <c r="U52" s="2"/>
      <c r="V52" s="7">
        <f t="shared" si="19"/>
        <v>0</v>
      </c>
      <c r="W52" s="2"/>
      <c r="X52" s="6">
        <f t="shared" si="20"/>
        <v>0</v>
      </c>
      <c r="Y52" s="2"/>
      <c r="Z52" s="7">
        <f t="shared" si="21"/>
        <v>0</v>
      </c>
    </row>
    <row r="53" spans="1:26" s="26" customFormat="1" outlineLevel="1" collapsed="1" x14ac:dyDescent="0.25">
      <c r="A53" s="25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71" si="22">IF(D$12=0,0,D53/D$12)</f>
        <v>0</v>
      </c>
      <c r="G53" s="1"/>
      <c r="H53" s="1">
        <f>SUM(OSRRefH22_2x_0)</f>
        <v>100</v>
      </c>
      <c r="I53" s="1"/>
      <c r="J53" s="5">
        <f t="shared" ref="J53:J71" si="23">IF(H$12=0,0,H53/H$12)</f>
        <v>1.7993702204228521E-3</v>
      </c>
      <c r="K53" s="1"/>
      <c r="L53" s="1">
        <f t="shared" ref="L53:L71" si="24">+D53-H53</f>
        <v>-100</v>
      </c>
      <c r="M53" s="1"/>
      <c r="N53" s="5">
        <f t="shared" ref="N53:N71" si="25">IF(H53=0,0,L53/H53)</f>
        <v>-1</v>
      </c>
      <c r="O53" s="13"/>
      <c r="P53" s="1">
        <f>SUM(OSRRefP22_2x_0)</f>
        <v>0</v>
      </c>
      <c r="Q53" s="1"/>
      <c r="R53" s="5">
        <f t="shared" ref="R53:R71" si="26">IF(P$12=0,0,P53/P$12)</f>
        <v>0</v>
      </c>
      <c r="S53" s="1"/>
      <c r="T53" s="1">
        <f>SUM(OSRRefT22_2x_0)</f>
        <v>400</v>
      </c>
      <c r="U53" s="1"/>
      <c r="V53" s="5">
        <f t="shared" ref="V53:V71" si="27">IF(T$12=0,0,T53/T$12)</f>
        <v>1.5324936545184618E-3</v>
      </c>
      <c r="W53" s="1"/>
      <c r="X53" s="1">
        <f t="shared" ref="X53:X71" si="28">+P53-T53</f>
        <v>-400</v>
      </c>
      <c r="Y53" s="1"/>
      <c r="Z53" s="5">
        <f t="shared" ref="Z53:Z71" si="29">IF(T53=0,0,X53/T53)</f>
        <v>-1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22"/>
        <v>0</v>
      </c>
      <c r="G54" s="2"/>
      <c r="H54" s="6">
        <v>100</v>
      </c>
      <c r="I54" s="2"/>
      <c r="J54" s="7">
        <f t="shared" si="23"/>
        <v>1.7993702204228521E-3</v>
      </c>
      <c r="K54" s="2"/>
      <c r="L54" s="6">
        <f t="shared" si="24"/>
        <v>-100</v>
      </c>
      <c r="M54" s="2"/>
      <c r="N54" s="7">
        <f t="shared" si="25"/>
        <v>-1</v>
      </c>
      <c r="O54" s="11"/>
      <c r="P54" s="6"/>
      <c r="Q54" s="2"/>
      <c r="R54" s="7">
        <f t="shared" si="26"/>
        <v>0</v>
      </c>
      <c r="S54" s="2"/>
      <c r="T54" s="6">
        <v>400</v>
      </c>
      <c r="U54" s="2"/>
      <c r="V54" s="7">
        <f t="shared" si="27"/>
        <v>1.5324936545184618E-3</v>
      </c>
      <c r="W54" s="2"/>
      <c r="X54" s="6">
        <f t="shared" si="28"/>
        <v>-400</v>
      </c>
      <c r="Y54" s="2"/>
      <c r="Z54" s="7">
        <f t="shared" si="29"/>
        <v>-1</v>
      </c>
    </row>
    <row r="55" spans="1:26" s="26" customFormat="1" outlineLevel="1" collapsed="1" x14ac:dyDescent="0.25">
      <c r="A55" s="25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0</v>
      </c>
      <c r="E55" s="1"/>
      <c r="F55" s="5">
        <f t="shared" si="22"/>
        <v>0</v>
      </c>
      <c r="G55" s="1"/>
      <c r="H55" s="1">
        <f>SUM(OSRRefH22_3x_0)</f>
        <v>0</v>
      </c>
      <c r="I55" s="1"/>
      <c r="J55" s="5">
        <f t="shared" si="23"/>
        <v>0</v>
      </c>
      <c r="K55" s="1"/>
      <c r="L55" s="1">
        <f t="shared" si="24"/>
        <v>0</v>
      </c>
      <c r="M55" s="1"/>
      <c r="N55" s="5">
        <f t="shared" si="25"/>
        <v>0</v>
      </c>
      <c r="O55" s="13"/>
      <c r="P55" s="1">
        <f>SUM(OSRRefP22_3x_0)</f>
        <v>0</v>
      </c>
      <c r="Q55" s="1"/>
      <c r="R55" s="5">
        <f t="shared" si="26"/>
        <v>0</v>
      </c>
      <c r="S55" s="1"/>
      <c r="T55" s="1">
        <f>SUM(OSRRefT22_3x_0)</f>
        <v>0</v>
      </c>
      <c r="U55" s="1"/>
      <c r="V55" s="5">
        <f t="shared" si="27"/>
        <v>0</v>
      </c>
      <c r="W55" s="1"/>
      <c r="X55" s="1">
        <f t="shared" si="28"/>
        <v>0</v>
      </c>
      <c r="Y55" s="1"/>
      <c r="Z55" s="5">
        <f t="shared" si="29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/>
      <c r="E56" s="2"/>
      <c r="F56" s="7">
        <f t="shared" si="22"/>
        <v>0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0</v>
      </c>
      <c r="M56" s="2"/>
      <c r="N56" s="7">
        <f t="shared" si="25"/>
        <v>0</v>
      </c>
      <c r="O56" s="11"/>
      <c r="P56" s="6"/>
      <c r="Q56" s="2"/>
      <c r="R56" s="7">
        <f t="shared" si="26"/>
        <v>0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0</v>
      </c>
      <c r="Y56" s="2"/>
      <c r="Z56" s="7">
        <f t="shared" si="29"/>
        <v>0</v>
      </c>
    </row>
    <row r="57" spans="1:26" s="26" customFormat="1" outlineLevel="1" collapsed="1" x14ac:dyDescent="0.25">
      <c r="A57" s="25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88.21</v>
      </c>
      <c r="E57" s="1"/>
      <c r="F57" s="5">
        <f t="shared" si="22"/>
        <v>1.5654454145635226E-3</v>
      </c>
      <c r="G57" s="1"/>
      <c r="H57" s="1">
        <f>SUM(OSRRefH22_4x_0)</f>
        <v>600</v>
      </c>
      <c r="I57" s="1"/>
      <c r="J57" s="5">
        <f t="shared" si="23"/>
        <v>1.0796221322537112E-2</v>
      </c>
      <c r="K57" s="1"/>
      <c r="L57" s="1">
        <f t="shared" si="24"/>
        <v>-511.79</v>
      </c>
      <c r="M57" s="1"/>
      <c r="N57" s="5">
        <f t="shared" si="25"/>
        <v>-0.85298333333333332</v>
      </c>
      <c r="O57" s="13"/>
      <c r="P57" s="1">
        <f>SUM(OSRRefP22_4x_0)</f>
        <v>388.77</v>
      </c>
      <c r="Q57" s="1"/>
      <c r="R57" s="5">
        <f t="shared" si="26"/>
        <v>1.7310063274766367E-3</v>
      </c>
      <c r="S57" s="1"/>
      <c r="T57" s="1">
        <f>SUM(OSRRefT22_4x_0)</f>
        <v>2800</v>
      </c>
      <c r="U57" s="1"/>
      <c r="V57" s="5">
        <f t="shared" si="27"/>
        <v>1.0727455581629233E-2</v>
      </c>
      <c r="W57" s="1"/>
      <c r="X57" s="1">
        <f t="shared" si="28"/>
        <v>-2411.23</v>
      </c>
      <c r="Y57" s="1"/>
      <c r="Z57" s="5">
        <f t="shared" si="29"/>
        <v>-0.86115357142857141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>
        <v>88.21</v>
      </c>
      <c r="E58" s="2"/>
      <c r="F58" s="7">
        <f t="shared" si="22"/>
        <v>1.5654454145635226E-3</v>
      </c>
      <c r="G58" s="2"/>
      <c r="H58" s="6">
        <v>600</v>
      </c>
      <c r="I58" s="2"/>
      <c r="J58" s="7">
        <f t="shared" si="23"/>
        <v>1.0796221322537112E-2</v>
      </c>
      <c r="K58" s="2"/>
      <c r="L58" s="6">
        <f t="shared" si="24"/>
        <v>-511.79</v>
      </c>
      <c r="M58" s="2"/>
      <c r="N58" s="7">
        <f t="shared" si="25"/>
        <v>-0.85298333333333332</v>
      </c>
      <c r="O58" s="11"/>
      <c r="P58" s="6">
        <v>388.77</v>
      </c>
      <c r="Q58" s="2"/>
      <c r="R58" s="7">
        <f t="shared" si="26"/>
        <v>1.7310063274766367E-3</v>
      </c>
      <c r="S58" s="2"/>
      <c r="T58" s="6">
        <v>2800</v>
      </c>
      <c r="U58" s="2"/>
      <c r="V58" s="7">
        <f t="shared" si="27"/>
        <v>1.0727455581629233E-2</v>
      </c>
      <c r="W58" s="2"/>
      <c r="X58" s="6">
        <f t="shared" si="28"/>
        <v>-2411.23</v>
      </c>
      <c r="Y58" s="2"/>
      <c r="Z58" s="7">
        <f t="shared" si="29"/>
        <v>-0.86115357142857141</v>
      </c>
    </row>
    <row r="59" spans="1:26" s="26" customFormat="1" outlineLevel="1" collapsed="1" x14ac:dyDescent="0.25">
      <c r="A59" s="25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SUM(OSRRefD22_5x_0)</f>
        <v>0</v>
      </c>
      <c r="E59" s="1"/>
      <c r="F59" s="5">
        <f t="shared" si="22"/>
        <v>0</v>
      </c>
      <c r="G59" s="1"/>
      <c r="H59" s="1">
        <f>SUM(OSRRefH22_5x_0)</f>
        <v>100</v>
      </c>
      <c r="I59" s="1"/>
      <c r="J59" s="5">
        <f t="shared" si="23"/>
        <v>1.7993702204228521E-3</v>
      </c>
      <c r="K59" s="1"/>
      <c r="L59" s="1">
        <f t="shared" si="24"/>
        <v>-100</v>
      </c>
      <c r="M59" s="1"/>
      <c r="N59" s="5">
        <f t="shared" si="25"/>
        <v>-1</v>
      </c>
      <c r="O59" s="13"/>
      <c r="P59" s="1">
        <f>SUM(OSRRefP22_5x_0)</f>
        <v>0</v>
      </c>
      <c r="Q59" s="1"/>
      <c r="R59" s="5">
        <f t="shared" si="26"/>
        <v>0</v>
      </c>
      <c r="S59" s="1"/>
      <c r="T59" s="1">
        <f>SUM(OSRRefT22_5x_0)</f>
        <v>400</v>
      </c>
      <c r="U59" s="1"/>
      <c r="V59" s="5">
        <f t="shared" si="27"/>
        <v>1.5324936545184618E-3</v>
      </c>
      <c r="W59" s="1"/>
      <c r="X59" s="1">
        <f t="shared" si="28"/>
        <v>-400</v>
      </c>
      <c r="Y59" s="1"/>
      <c r="Z59" s="5">
        <f t="shared" si="29"/>
        <v>-1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2"/>
        <v>0</v>
      </c>
      <c r="G60" s="2"/>
      <c r="H60" s="6">
        <v>100</v>
      </c>
      <c r="I60" s="2"/>
      <c r="J60" s="7">
        <f t="shared" si="23"/>
        <v>1.7993702204228521E-3</v>
      </c>
      <c r="K60" s="2"/>
      <c r="L60" s="6">
        <f t="shared" si="24"/>
        <v>-100</v>
      </c>
      <c r="M60" s="2"/>
      <c r="N60" s="7">
        <f t="shared" si="25"/>
        <v>-1</v>
      </c>
      <c r="O60" s="11"/>
      <c r="P60" s="6"/>
      <c r="Q60" s="2"/>
      <c r="R60" s="7">
        <f t="shared" si="26"/>
        <v>0</v>
      </c>
      <c r="S60" s="2"/>
      <c r="T60" s="6">
        <v>400</v>
      </c>
      <c r="U60" s="2"/>
      <c r="V60" s="7">
        <f t="shared" si="27"/>
        <v>1.5324936545184618E-3</v>
      </c>
      <c r="W60" s="2"/>
      <c r="X60" s="6">
        <f t="shared" si="28"/>
        <v>-400</v>
      </c>
      <c r="Y60" s="2"/>
      <c r="Z60" s="7">
        <f t="shared" si="29"/>
        <v>-1</v>
      </c>
    </row>
    <row r="61" spans="1:26" s="26" customFormat="1" outlineLevel="1" collapsed="1" x14ac:dyDescent="0.25">
      <c r="A61" s="25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SUM(OSRRefD22_6x_0)</f>
        <v>2411.2800000000002</v>
      </c>
      <c r="E61" s="1"/>
      <c r="F61" s="5">
        <f t="shared" si="22"/>
        <v>4.279250900384006E-2</v>
      </c>
      <c r="G61" s="1"/>
      <c r="H61" s="1">
        <f>SUM(OSRRefH22_6x_0)</f>
        <v>3000</v>
      </c>
      <c r="I61" s="1"/>
      <c r="J61" s="5">
        <f t="shared" si="23"/>
        <v>5.3981106612685563E-2</v>
      </c>
      <c r="K61" s="1"/>
      <c r="L61" s="1">
        <f t="shared" si="24"/>
        <v>-588.7199999999998</v>
      </c>
      <c r="M61" s="1"/>
      <c r="N61" s="5">
        <f t="shared" si="25"/>
        <v>-0.19623999999999994</v>
      </c>
      <c r="O61" s="13"/>
      <c r="P61" s="1">
        <f>SUM(OSRRefP22_6x_0)</f>
        <v>6028.2</v>
      </c>
      <c r="Q61" s="1"/>
      <c r="R61" s="5">
        <f t="shared" si="26"/>
        <v>2.6840683034428225E-2</v>
      </c>
      <c r="S61" s="1"/>
      <c r="T61" s="1">
        <f>SUM(OSRRefT22_6x_0)</f>
        <v>12000</v>
      </c>
      <c r="U61" s="1"/>
      <c r="V61" s="5">
        <f t="shared" si="27"/>
        <v>4.5974809635553851E-2</v>
      </c>
      <c r="W61" s="1"/>
      <c r="X61" s="1">
        <f t="shared" si="28"/>
        <v>-5971.8</v>
      </c>
      <c r="Y61" s="1"/>
      <c r="Z61" s="5">
        <f t="shared" si="29"/>
        <v>-0.49765000000000004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>
        <v>2411.2800000000002</v>
      </c>
      <c r="E62" s="2"/>
      <c r="F62" s="7">
        <f t="shared" si="22"/>
        <v>4.279250900384006E-2</v>
      </c>
      <c r="G62" s="2"/>
      <c r="H62" s="6">
        <v>3000</v>
      </c>
      <c r="I62" s="2"/>
      <c r="J62" s="7">
        <f t="shared" si="23"/>
        <v>5.3981106612685563E-2</v>
      </c>
      <c r="K62" s="2"/>
      <c r="L62" s="6">
        <f t="shared" si="24"/>
        <v>-588.7199999999998</v>
      </c>
      <c r="M62" s="2"/>
      <c r="N62" s="7">
        <f t="shared" si="25"/>
        <v>-0.19623999999999994</v>
      </c>
      <c r="O62" s="11"/>
      <c r="P62" s="6">
        <v>6028.2</v>
      </c>
      <c r="Q62" s="2"/>
      <c r="R62" s="7">
        <f t="shared" si="26"/>
        <v>2.6840683034428225E-2</v>
      </c>
      <c r="S62" s="2"/>
      <c r="T62" s="6">
        <v>12000</v>
      </c>
      <c r="U62" s="2"/>
      <c r="V62" s="7">
        <f t="shared" si="27"/>
        <v>4.5974809635553851E-2</v>
      </c>
      <c r="W62" s="2"/>
      <c r="X62" s="6">
        <f t="shared" si="28"/>
        <v>-5971.8</v>
      </c>
      <c r="Y62" s="2"/>
      <c r="Z62" s="7">
        <f t="shared" si="29"/>
        <v>-0.49765000000000004</v>
      </c>
    </row>
    <row r="63" spans="1:26" s="26" customFormat="1" outlineLevel="1" collapsed="1" x14ac:dyDescent="0.25">
      <c r="A63" s="25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SUM(OSRRefD22_7x_0)</f>
        <v>0</v>
      </c>
      <c r="E63" s="1"/>
      <c r="F63" s="5">
        <f t="shared" si="22"/>
        <v>0</v>
      </c>
      <c r="G63" s="1"/>
      <c r="H63" s="1">
        <f>SUM(OSRRefH22_7x_0)</f>
        <v>-300</v>
      </c>
      <c r="I63" s="1"/>
      <c r="J63" s="5">
        <f t="shared" si="23"/>
        <v>-5.3981106612685558E-3</v>
      </c>
      <c r="K63" s="1"/>
      <c r="L63" s="1">
        <f t="shared" si="24"/>
        <v>300</v>
      </c>
      <c r="M63" s="1"/>
      <c r="N63" s="5">
        <f t="shared" si="25"/>
        <v>-1</v>
      </c>
      <c r="O63" s="13"/>
      <c r="P63" s="1">
        <f>SUM(OSRRefP22_7x_0)</f>
        <v>0</v>
      </c>
      <c r="Q63" s="1"/>
      <c r="R63" s="5">
        <f t="shared" si="26"/>
        <v>0</v>
      </c>
      <c r="S63" s="1"/>
      <c r="T63" s="1">
        <f>SUM(OSRRefT22_7x_0)</f>
        <v>-1200</v>
      </c>
      <c r="U63" s="1"/>
      <c r="V63" s="5">
        <f t="shared" si="27"/>
        <v>-4.5974809635553849E-3</v>
      </c>
      <c r="W63" s="1"/>
      <c r="X63" s="1">
        <f t="shared" si="28"/>
        <v>1200</v>
      </c>
      <c r="Y63" s="1"/>
      <c r="Z63" s="5">
        <f t="shared" si="29"/>
        <v>-1</v>
      </c>
    </row>
    <row r="64" spans="1:26" s="24" customFormat="1" hidden="1" outlineLevel="2" x14ac:dyDescent="0.25">
      <c r="A64" s="27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2"/>
        <v>0</v>
      </c>
      <c r="G64" s="2"/>
      <c r="H64" s="6">
        <v>-300</v>
      </c>
      <c r="I64" s="2"/>
      <c r="J64" s="7">
        <f t="shared" si="23"/>
        <v>-5.3981106612685558E-3</v>
      </c>
      <c r="K64" s="2"/>
      <c r="L64" s="6">
        <f t="shared" si="24"/>
        <v>300</v>
      </c>
      <c r="M64" s="2"/>
      <c r="N64" s="7">
        <f t="shared" si="25"/>
        <v>-1</v>
      </c>
      <c r="O64" s="11"/>
      <c r="P64" s="6"/>
      <c r="Q64" s="2"/>
      <c r="R64" s="7">
        <f t="shared" si="26"/>
        <v>0</v>
      </c>
      <c r="S64" s="2"/>
      <c r="T64" s="6">
        <v>-1200</v>
      </c>
      <c r="U64" s="2"/>
      <c r="V64" s="7">
        <f t="shared" si="27"/>
        <v>-4.5974809635553849E-3</v>
      </c>
      <c r="W64" s="2"/>
      <c r="X64" s="6">
        <f t="shared" si="28"/>
        <v>1200</v>
      </c>
      <c r="Y64" s="2"/>
      <c r="Z64" s="7">
        <f t="shared" si="29"/>
        <v>-1</v>
      </c>
    </row>
    <row r="65" spans="1:26" s="26" customFormat="1" outlineLevel="1" collapsed="1" x14ac:dyDescent="0.25">
      <c r="A65" s="25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SUM(OSRRefD22_8x_0)</f>
        <v>0</v>
      </c>
      <c r="E65" s="1"/>
      <c r="F65" s="5">
        <f t="shared" si="22"/>
        <v>0</v>
      </c>
      <c r="G65" s="1"/>
      <c r="H65" s="1">
        <f>SUM(OSRRefH22_8x_0)</f>
        <v>200</v>
      </c>
      <c r="I65" s="1"/>
      <c r="J65" s="5">
        <f t="shared" si="23"/>
        <v>3.5987404408457041E-3</v>
      </c>
      <c r="K65" s="1"/>
      <c r="L65" s="1">
        <f t="shared" si="24"/>
        <v>-200</v>
      </c>
      <c r="M65" s="1"/>
      <c r="N65" s="5">
        <f t="shared" si="25"/>
        <v>-1</v>
      </c>
      <c r="O65" s="13"/>
      <c r="P65" s="1">
        <f>SUM(OSRRefP22_8x_0)</f>
        <v>0</v>
      </c>
      <c r="Q65" s="1"/>
      <c r="R65" s="5">
        <f t="shared" si="26"/>
        <v>0</v>
      </c>
      <c r="S65" s="1"/>
      <c r="T65" s="1">
        <f>SUM(OSRRefT22_8x_0)</f>
        <v>800</v>
      </c>
      <c r="U65" s="1"/>
      <c r="V65" s="5">
        <f t="shared" si="27"/>
        <v>3.0649873090369236E-3</v>
      </c>
      <c r="W65" s="1"/>
      <c r="X65" s="1">
        <f t="shared" si="28"/>
        <v>-800</v>
      </c>
      <c r="Y65" s="1"/>
      <c r="Z65" s="5">
        <f t="shared" si="29"/>
        <v>-1</v>
      </c>
    </row>
    <row r="66" spans="1:26" s="24" customFormat="1" hidden="1" outlineLevel="2" x14ac:dyDescent="0.25">
      <c r="A66" s="27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2"/>
        <v>0</v>
      </c>
      <c r="G66" s="2"/>
      <c r="H66" s="6">
        <v>200</v>
      </c>
      <c r="I66" s="2"/>
      <c r="J66" s="7">
        <f t="shared" si="23"/>
        <v>3.5987404408457041E-3</v>
      </c>
      <c r="K66" s="2"/>
      <c r="L66" s="6">
        <f t="shared" si="24"/>
        <v>-200</v>
      </c>
      <c r="M66" s="2"/>
      <c r="N66" s="7">
        <f t="shared" si="25"/>
        <v>-1</v>
      </c>
      <c r="O66" s="11"/>
      <c r="P66" s="6"/>
      <c r="Q66" s="2"/>
      <c r="R66" s="7">
        <f t="shared" si="26"/>
        <v>0</v>
      </c>
      <c r="S66" s="2"/>
      <c r="T66" s="6">
        <v>800</v>
      </c>
      <c r="U66" s="2"/>
      <c r="V66" s="7">
        <f t="shared" si="27"/>
        <v>3.0649873090369236E-3</v>
      </c>
      <c r="W66" s="2"/>
      <c r="X66" s="6">
        <f t="shared" si="28"/>
        <v>-800</v>
      </c>
      <c r="Y66" s="2"/>
      <c r="Z66" s="7">
        <f t="shared" si="29"/>
        <v>-1</v>
      </c>
    </row>
    <row r="67" spans="1:26" s="26" customFormat="1" outlineLevel="1" collapsed="1" x14ac:dyDescent="0.25">
      <c r="A67" s="25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SUM(OSRRefD22_9x_0)</f>
        <v>9597.5400000000009</v>
      </c>
      <c r="E67" s="1"/>
      <c r="F67" s="5">
        <f t="shared" si="22"/>
        <v>0.17032564317072887</v>
      </c>
      <c r="G67" s="1"/>
      <c r="H67" s="1">
        <f>SUM(OSRRefH22_9x_0)</f>
        <v>7000</v>
      </c>
      <c r="I67" s="1"/>
      <c r="J67" s="5">
        <f t="shared" si="23"/>
        <v>0.12595591542959964</v>
      </c>
      <c r="K67" s="1"/>
      <c r="L67" s="1">
        <f t="shared" si="24"/>
        <v>2597.5400000000009</v>
      </c>
      <c r="M67" s="1"/>
      <c r="N67" s="5">
        <f t="shared" si="25"/>
        <v>0.37107714285714299</v>
      </c>
      <c r="O67" s="13"/>
      <c r="P67" s="1">
        <f>SUM(OSRRefP22_9x_0)</f>
        <v>28044.969999999998</v>
      </c>
      <c r="Q67" s="1"/>
      <c r="R67" s="5">
        <f t="shared" si="26"/>
        <v>0.12487079899141511</v>
      </c>
      <c r="S67" s="1"/>
      <c r="T67" s="1">
        <f>SUM(OSRRefT22_9x_0)</f>
        <v>28000</v>
      </c>
      <c r="U67" s="1"/>
      <c r="V67" s="5">
        <f t="shared" si="27"/>
        <v>0.10727455581629232</v>
      </c>
      <c r="W67" s="1"/>
      <c r="X67" s="1">
        <f t="shared" si="28"/>
        <v>44.969999999997526</v>
      </c>
      <c r="Y67" s="1"/>
      <c r="Z67" s="5">
        <f t="shared" si="29"/>
        <v>1.6060714285713402E-3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9597.5400000000009</v>
      </c>
      <c r="E68" s="2"/>
      <c r="F68" s="7">
        <f t="shared" si="22"/>
        <v>0.17032564317072887</v>
      </c>
      <c r="G68" s="2"/>
      <c r="H68" s="6">
        <v>7000</v>
      </c>
      <c r="I68" s="2"/>
      <c r="J68" s="7">
        <f t="shared" si="23"/>
        <v>0.12595591542959964</v>
      </c>
      <c r="K68" s="2"/>
      <c r="L68" s="6">
        <f t="shared" si="24"/>
        <v>2597.5400000000009</v>
      </c>
      <c r="M68" s="2"/>
      <c r="N68" s="7">
        <f t="shared" si="25"/>
        <v>0.37107714285714299</v>
      </c>
      <c r="O68" s="11"/>
      <c r="P68" s="6">
        <v>28044.969999999998</v>
      </c>
      <c r="Q68" s="2"/>
      <c r="R68" s="7">
        <f t="shared" si="26"/>
        <v>0.12487079899141511</v>
      </c>
      <c r="S68" s="2"/>
      <c r="T68" s="6">
        <v>28000</v>
      </c>
      <c r="U68" s="2"/>
      <c r="V68" s="7">
        <f t="shared" si="27"/>
        <v>0.10727455581629232</v>
      </c>
      <c r="W68" s="2"/>
      <c r="X68" s="6">
        <f t="shared" si="28"/>
        <v>44.969999999997526</v>
      </c>
      <c r="Y68" s="2"/>
      <c r="Z68" s="7">
        <f t="shared" si="29"/>
        <v>1.6060714285713402E-3</v>
      </c>
    </row>
    <row r="69" spans="1:26" s="26" customFormat="1" outlineLevel="1" collapsed="1" x14ac:dyDescent="0.25">
      <c r="A69" s="25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11744.64</v>
      </c>
      <c r="E69" s="1"/>
      <c r="F69" s="5">
        <f t="shared" si="22"/>
        <v>0.20842980199183006</v>
      </c>
      <c r="G69" s="1"/>
      <c r="H69" s="1">
        <f>SUM(OSRRefH22_10x_0)</f>
        <v>11000</v>
      </c>
      <c r="I69" s="1"/>
      <c r="J69" s="5">
        <f t="shared" si="23"/>
        <v>0.19793072424651373</v>
      </c>
      <c r="K69" s="1"/>
      <c r="L69" s="1">
        <f t="shared" si="24"/>
        <v>744.63999999999942</v>
      </c>
      <c r="M69" s="1"/>
      <c r="N69" s="5">
        <f t="shared" si="25"/>
        <v>6.7694545454545396E-2</v>
      </c>
      <c r="O69" s="13"/>
      <c r="P69" s="1">
        <f>SUM(OSRRefP22_10x_0)</f>
        <v>26214.26</v>
      </c>
      <c r="Q69" s="1"/>
      <c r="R69" s="5">
        <f t="shared" si="26"/>
        <v>0.11671952550381381</v>
      </c>
      <c r="S69" s="1"/>
      <c r="T69" s="1">
        <f>SUM(OSRRefT22_10x_0)</f>
        <v>44000</v>
      </c>
      <c r="U69" s="1"/>
      <c r="V69" s="5">
        <f t="shared" si="27"/>
        <v>0.1685743019970308</v>
      </c>
      <c r="W69" s="1"/>
      <c r="X69" s="1">
        <f t="shared" si="28"/>
        <v>-17785.740000000002</v>
      </c>
      <c r="Y69" s="1"/>
      <c r="Z69" s="5">
        <f t="shared" si="29"/>
        <v>-0.40422136363636368</v>
      </c>
    </row>
    <row r="70" spans="1:26" s="24" customFormat="1" hidden="1" outlineLevel="2" x14ac:dyDescent="0.25">
      <c r="A70" s="27"/>
      <c r="B70" s="11" t="str">
        <f>CONCATENATE("          ", "6254", " - ", "ROYALTY &amp; COMMISSIONS")</f>
        <v xml:space="preserve">          6254 - ROYALTY &amp; COMMISSIONS</v>
      </c>
      <c r="C70" s="11"/>
      <c r="D70" s="6"/>
      <c r="E70" s="2"/>
      <c r="F70" s="7">
        <f t="shared" si="22"/>
        <v>0</v>
      </c>
      <c r="G70" s="2"/>
      <c r="H70" s="6">
        <v>11000</v>
      </c>
      <c r="I70" s="2"/>
      <c r="J70" s="7">
        <f t="shared" si="23"/>
        <v>0.19793072424651373</v>
      </c>
      <c r="K70" s="2"/>
      <c r="L70" s="6">
        <f t="shared" si="24"/>
        <v>-11000</v>
      </c>
      <c r="M70" s="2"/>
      <c r="N70" s="7">
        <f t="shared" si="25"/>
        <v>-1</v>
      </c>
      <c r="O70" s="11"/>
      <c r="P70" s="6"/>
      <c r="Q70" s="2"/>
      <c r="R70" s="7">
        <f t="shared" si="26"/>
        <v>0</v>
      </c>
      <c r="S70" s="2"/>
      <c r="T70" s="6">
        <v>44000</v>
      </c>
      <c r="U70" s="2"/>
      <c r="V70" s="7">
        <f t="shared" si="27"/>
        <v>0.1685743019970308</v>
      </c>
      <c r="W70" s="2"/>
      <c r="X70" s="6">
        <f t="shared" si="28"/>
        <v>-44000</v>
      </c>
      <c r="Y70" s="2"/>
      <c r="Z70" s="7">
        <f t="shared" si="29"/>
        <v>-1</v>
      </c>
    </row>
    <row r="71" spans="1:26" s="24" customFormat="1" hidden="1" outlineLevel="2" x14ac:dyDescent="0.25">
      <c r="A71" s="27"/>
      <c r="B71" s="11" t="str">
        <f>CONCATENATE("          ", "6259", " - ", "ROYALTY &amp; COMMISSIONS")</f>
        <v xml:space="preserve">          6259 - ROYALTY &amp; COMMISSIONS</v>
      </c>
      <c r="C71" s="11"/>
      <c r="D71" s="6">
        <v>11744.64</v>
      </c>
      <c r="E71" s="2"/>
      <c r="F71" s="7">
        <f t="shared" si="22"/>
        <v>0.20842980199183006</v>
      </c>
      <c r="G71" s="2"/>
      <c r="H71" s="6"/>
      <c r="I71" s="2"/>
      <c r="J71" s="7">
        <f t="shared" si="23"/>
        <v>0</v>
      </c>
      <c r="K71" s="2"/>
      <c r="L71" s="6">
        <f t="shared" si="24"/>
        <v>11744.64</v>
      </c>
      <c r="M71" s="2"/>
      <c r="N71" s="7">
        <f t="shared" si="25"/>
        <v>0</v>
      </c>
      <c r="O71" s="11"/>
      <c r="P71" s="6">
        <v>26214.26</v>
      </c>
      <c r="Q71" s="2"/>
      <c r="R71" s="7">
        <f t="shared" si="26"/>
        <v>0.11671952550381381</v>
      </c>
      <c r="S71" s="2"/>
      <c r="T71" s="6"/>
      <c r="U71" s="2"/>
      <c r="V71" s="7">
        <f t="shared" si="27"/>
        <v>0</v>
      </c>
      <c r="W71" s="2"/>
      <c r="X71" s="6">
        <f t="shared" si="28"/>
        <v>26214.26</v>
      </c>
      <c r="Y71" s="2"/>
      <c r="Z71" s="7">
        <f t="shared" si="29"/>
        <v>0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SUM(OSRRefD22_11x_0)</f>
        <v>2467.37</v>
      </c>
      <c r="E72" s="1"/>
      <c r="F72" s="5">
        <f t="shared" ref="F72:F76" si="30">IF(D$12=0,0,D72/D$12)</f>
        <v>4.3787927134470002E-2</v>
      </c>
      <c r="G72" s="1"/>
      <c r="H72" s="1">
        <f>SUM(OSRRefH22_11x_0)</f>
        <v>4250</v>
      </c>
      <c r="I72" s="1"/>
      <c r="J72" s="5">
        <f t="shared" ref="J72:J76" si="31">IF(H$12=0,0,H72/H$12)</f>
        <v>7.647323436797121E-2</v>
      </c>
      <c r="K72" s="1"/>
      <c r="L72" s="1">
        <f t="shared" ref="L72:L76" si="32">+D72-H72</f>
        <v>-1782.63</v>
      </c>
      <c r="M72" s="1"/>
      <c r="N72" s="5">
        <f t="shared" ref="N72:N76" si="33">IF(H72=0,0,L72/H72)</f>
        <v>-0.41944235294117649</v>
      </c>
      <c r="O72" s="13"/>
      <c r="P72" s="1">
        <f>SUM(OSRRefP22_11x_0)</f>
        <v>12155.369999999999</v>
      </c>
      <c r="Q72" s="1"/>
      <c r="R72" s="5">
        <f t="shared" ref="R72:R76" si="34">IF(P$12=0,0,P72/P$12)</f>
        <v>5.412203200560662E-2</v>
      </c>
      <c r="S72" s="1"/>
      <c r="T72" s="1">
        <f>SUM(OSRRefT22_11x_0)</f>
        <v>26000</v>
      </c>
      <c r="U72" s="1"/>
      <c r="V72" s="5">
        <f t="shared" ref="V72:V76" si="35">IF(T$12=0,0,T72/T$12)</f>
        <v>9.9612087543700018E-2</v>
      </c>
      <c r="W72" s="1"/>
      <c r="X72" s="1">
        <f t="shared" ref="X72:X76" si="36">+P72-T72</f>
        <v>-13844.630000000001</v>
      </c>
      <c r="Y72" s="1"/>
      <c r="Z72" s="5">
        <f t="shared" ref="Z72:Z76" si="37">IF(T72=0,0,X72/T72)</f>
        <v>-0.53248576923076929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30"/>
        <v>0</v>
      </c>
      <c r="G73" s="2"/>
      <c r="H73" s="6"/>
      <c r="I73" s="2"/>
      <c r="J73" s="7">
        <f t="shared" si="31"/>
        <v>0</v>
      </c>
      <c r="K73" s="2"/>
      <c r="L73" s="6">
        <f t="shared" si="32"/>
        <v>0</v>
      </c>
      <c r="M73" s="2"/>
      <c r="N73" s="7">
        <f t="shared" si="33"/>
        <v>0</v>
      </c>
      <c r="O73" s="11"/>
      <c r="P73" s="6">
        <v>1017.27</v>
      </c>
      <c r="Q73" s="2"/>
      <c r="R73" s="7">
        <f t="shared" si="34"/>
        <v>4.5294153529134408E-3</v>
      </c>
      <c r="S73" s="2"/>
      <c r="T73" s="6"/>
      <c r="U73" s="2"/>
      <c r="V73" s="7">
        <f t="shared" si="35"/>
        <v>0</v>
      </c>
      <c r="W73" s="2"/>
      <c r="X73" s="6">
        <f t="shared" si="36"/>
        <v>1017.27</v>
      </c>
      <c r="Y73" s="2"/>
      <c r="Z73" s="7">
        <f t="shared" si="37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>
        <v>1929.38</v>
      </c>
      <c r="E74" s="2"/>
      <c r="F74" s="7">
        <f t="shared" si="30"/>
        <v>3.4240325064624981E-2</v>
      </c>
      <c r="G74" s="2"/>
      <c r="H74" s="6">
        <v>250</v>
      </c>
      <c r="I74" s="2"/>
      <c r="J74" s="7">
        <f t="shared" si="31"/>
        <v>4.49842555105713E-3</v>
      </c>
      <c r="K74" s="2"/>
      <c r="L74" s="6">
        <f t="shared" si="32"/>
        <v>1679.38</v>
      </c>
      <c r="M74" s="2"/>
      <c r="N74" s="7">
        <f t="shared" si="33"/>
        <v>6.7175200000000004</v>
      </c>
      <c r="O74" s="11"/>
      <c r="P74" s="6">
        <v>4906.33</v>
      </c>
      <c r="Q74" s="2"/>
      <c r="R74" s="7">
        <f t="shared" si="34"/>
        <v>2.1845534055324349E-2</v>
      </c>
      <c r="S74" s="2"/>
      <c r="T74" s="6">
        <v>1000</v>
      </c>
      <c r="U74" s="2"/>
      <c r="V74" s="7">
        <f t="shared" si="35"/>
        <v>3.8312341362961543E-3</v>
      </c>
      <c r="W74" s="2"/>
      <c r="X74" s="6">
        <f t="shared" si="36"/>
        <v>3906.33</v>
      </c>
      <c r="Y74" s="2"/>
      <c r="Z74" s="7">
        <f t="shared" si="37"/>
        <v>3.9063300000000001</v>
      </c>
    </row>
    <row r="75" spans="1:26" s="24" customFormat="1" hidden="1" outlineLevel="2" x14ac:dyDescent="0.25">
      <c r="A75" s="27"/>
      <c r="B75" s="11" t="str">
        <f>CONCATENATE("          ", "6245", " - ", "PRINTING")</f>
        <v xml:space="preserve">          6245 - PRINTING</v>
      </c>
      <c r="C75" s="11"/>
      <c r="D75" s="6">
        <v>7.24</v>
      </c>
      <c r="E75" s="2"/>
      <c r="F75" s="7">
        <f t="shared" si="30"/>
        <v>1.2848684731254852E-4</v>
      </c>
      <c r="G75" s="2"/>
      <c r="H75" s="6"/>
      <c r="I75" s="2"/>
      <c r="J75" s="7">
        <f t="shared" si="31"/>
        <v>0</v>
      </c>
      <c r="K75" s="2"/>
      <c r="L75" s="6">
        <f t="shared" si="32"/>
        <v>7.24</v>
      </c>
      <c r="M75" s="2"/>
      <c r="N75" s="7">
        <f t="shared" si="33"/>
        <v>0</v>
      </c>
      <c r="O75" s="11"/>
      <c r="P75" s="6">
        <v>249.44</v>
      </c>
      <c r="Q75" s="2"/>
      <c r="R75" s="7">
        <f t="shared" si="34"/>
        <v>1.1106366703340594E-3</v>
      </c>
      <c r="S75" s="2"/>
      <c r="T75" s="6"/>
      <c r="U75" s="2"/>
      <c r="V75" s="7">
        <f t="shared" si="35"/>
        <v>0</v>
      </c>
      <c r="W75" s="2"/>
      <c r="X75" s="6">
        <f t="shared" si="36"/>
        <v>249.44</v>
      </c>
      <c r="Y75" s="2"/>
      <c r="Z75" s="7">
        <f t="shared" si="37"/>
        <v>0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6">
        <v>530.75</v>
      </c>
      <c r="E76" s="2"/>
      <c r="F76" s="7">
        <f t="shared" si="30"/>
        <v>9.4191152225324756E-3</v>
      </c>
      <c r="G76" s="2"/>
      <c r="H76" s="6">
        <v>4000</v>
      </c>
      <c r="I76" s="2"/>
      <c r="J76" s="7">
        <f t="shared" si="31"/>
        <v>7.1974808816914079E-2</v>
      </c>
      <c r="K76" s="2"/>
      <c r="L76" s="6">
        <f t="shared" si="32"/>
        <v>-3469.25</v>
      </c>
      <c r="M76" s="2"/>
      <c r="N76" s="7">
        <f t="shared" si="33"/>
        <v>-0.86731250000000004</v>
      </c>
      <c r="O76" s="11"/>
      <c r="P76" s="6">
        <v>5982.33</v>
      </c>
      <c r="Q76" s="2"/>
      <c r="R76" s="7">
        <f t="shared" si="34"/>
        <v>2.6636445927034774E-2</v>
      </c>
      <c r="S76" s="2"/>
      <c r="T76" s="6">
        <v>25000</v>
      </c>
      <c r="U76" s="2"/>
      <c r="V76" s="7">
        <f t="shared" si="35"/>
        <v>9.578085340740386E-2</v>
      </c>
      <c r="W76" s="2"/>
      <c r="X76" s="6">
        <f t="shared" si="36"/>
        <v>-19017.669999999998</v>
      </c>
      <c r="Y76" s="2"/>
      <c r="Z76" s="7">
        <f t="shared" si="37"/>
        <v>-0.76070679999999991</v>
      </c>
    </row>
    <row r="77" spans="1:26" s="26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106.6</v>
      </c>
      <c r="E77" s="1"/>
      <c r="F77" s="5">
        <f t="shared" ref="F77:F79" si="38">IF(D$12=0,0,D77/D$12)</f>
        <v>1.8918091054582419E-3</v>
      </c>
      <c r="G77" s="1"/>
      <c r="H77" s="1">
        <f>SUM(OSRRefH22_12x_0)</f>
        <v>200</v>
      </c>
      <c r="I77" s="1"/>
      <c r="J77" s="5">
        <f t="shared" ref="J77:J79" si="39">IF(H$12=0,0,H77/H$12)</f>
        <v>3.5987404408457041E-3</v>
      </c>
      <c r="K77" s="1"/>
      <c r="L77" s="1">
        <f t="shared" ref="L77:L79" si="40">+D77-H77</f>
        <v>-93.4</v>
      </c>
      <c r="M77" s="1"/>
      <c r="N77" s="5">
        <f t="shared" ref="N77:N79" si="41">IF(H77=0,0,L77/H77)</f>
        <v>-0.46700000000000003</v>
      </c>
      <c r="O77" s="13"/>
      <c r="P77" s="1">
        <f>SUM(OSRRefP22_12x_0)</f>
        <v>602.35</v>
      </c>
      <c r="Q77" s="1"/>
      <c r="R77" s="5">
        <f t="shared" ref="R77:R79" si="42">IF(P$12=0,0,P77/P$12)</f>
        <v>2.6819756188891947E-3</v>
      </c>
      <c r="S77" s="1"/>
      <c r="T77" s="1">
        <f>SUM(OSRRefT22_12x_0)</f>
        <v>800</v>
      </c>
      <c r="U77" s="1"/>
      <c r="V77" s="5">
        <f t="shared" ref="V77:V79" si="43">IF(T$12=0,0,T77/T$12)</f>
        <v>3.0649873090369236E-3</v>
      </c>
      <c r="W77" s="1"/>
      <c r="X77" s="1">
        <f t="shared" ref="X77:X79" si="44">+P77-T77</f>
        <v>-197.64999999999998</v>
      </c>
      <c r="Y77" s="1"/>
      <c r="Z77" s="5">
        <f t="shared" ref="Z77:Z79" si="45">IF(T77=0,0,X77/T77)</f>
        <v>-0.24706249999999996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38"/>
        <v>0</v>
      </c>
      <c r="G78" s="2"/>
      <c r="H78" s="6">
        <v>200</v>
      </c>
      <c r="I78" s="2"/>
      <c r="J78" s="7">
        <f t="shared" si="39"/>
        <v>3.5987404408457041E-3</v>
      </c>
      <c r="K78" s="2"/>
      <c r="L78" s="6">
        <f t="shared" si="40"/>
        <v>-200</v>
      </c>
      <c r="M78" s="2"/>
      <c r="N78" s="7">
        <f t="shared" si="41"/>
        <v>-1</v>
      </c>
      <c r="O78" s="11"/>
      <c r="P78" s="6"/>
      <c r="Q78" s="2"/>
      <c r="R78" s="7">
        <f t="shared" si="42"/>
        <v>0</v>
      </c>
      <c r="S78" s="2"/>
      <c r="T78" s="6">
        <v>800</v>
      </c>
      <c r="U78" s="2"/>
      <c r="V78" s="7">
        <f t="shared" si="43"/>
        <v>3.0649873090369236E-3</v>
      </c>
      <c r="W78" s="2"/>
      <c r="X78" s="6">
        <f t="shared" si="44"/>
        <v>-800</v>
      </c>
      <c r="Y78" s="2"/>
      <c r="Z78" s="7">
        <f t="shared" si="45"/>
        <v>-1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106.6</v>
      </c>
      <c r="E79" s="2"/>
      <c r="F79" s="7">
        <f t="shared" si="38"/>
        <v>1.8918091054582419E-3</v>
      </c>
      <c r="G79" s="2"/>
      <c r="H79" s="6"/>
      <c r="I79" s="2"/>
      <c r="J79" s="7">
        <f t="shared" si="39"/>
        <v>0</v>
      </c>
      <c r="K79" s="2"/>
      <c r="L79" s="6">
        <f t="shared" si="40"/>
        <v>106.6</v>
      </c>
      <c r="M79" s="2"/>
      <c r="N79" s="7">
        <f t="shared" si="41"/>
        <v>0</v>
      </c>
      <c r="O79" s="11"/>
      <c r="P79" s="6">
        <v>602.35</v>
      </c>
      <c r="Q79" s="2"/>
      <c r="R79" s="7">
        <f t="shared" si="42"/>
        <v>2.6819756188891947E-3</v>
      </c>
      <c r="S79" s="2"/>
      <c r="T79" s="6"/>
      <c r="U79" s="2"/>
      <c r="V79" s="7">
        <f t="shared" si="43"/>
        <v>0</v>
      </c>
      <c r="W79" s="2"/>
      <c r="X79" s="6">
        <f t="shared" si="44"/>
        <v>602.35</v>
      </c>
      <c r="Y79" s="2"/>
      <c r="Z79" s="7">
        <f t="shared" si="45"/>
        <v>0</v>
      </c>
    </row>
    <row r="80" spans="1:26" s="26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46">IF(D$12=0,0,D80/D$12)</f>
        <v>0</v>
      </c>
      <c r="G80" s="1"/>
      <c r="H80" s="1">
        <f>SUM(OSRRefH22_13x_0)</f>
        <v>0</v>
      </c>
      <c r="I80" s="1"/>
      <c r="J80" s="5">
        <f t="shared" ref="J80:J81" si="47">IF(H$12=0,0,H80/H$12)</f>
        <v>0</v>
      </c>
      <c r="K80" s="1"/>
      <c r="L80" s="1">
        <f t="shared" ref="L80:L81" si="48">+D80-H80</f>
        <v>0</v>
      </c>
      <c r="M80" s="1"/>
      <c r="N80" s="5">
        <f t="shared" ref="N80:N81" si="49">IF(H80=0,0,L80/H80)</f>
        <v>0</v>
      </c>
      <c r="O80" s="13"/>
      <c r="P80" s="1">
        <f>SUM(OSRRefP22_13x_0)</f>
        <v>97.71</v>
      </c>
      <c r="Q80" s="1"/>
      <c r="R80" s="5">
        <f t="shared" ref="R80:R81" si="50">IF(P$12=0,0,P80/P$12)</f>
        <v>4.3505576113831356E-4</v>
      </c>
      <c r="S80" s="1"/>
      <c r="T80" s="1">
        <f>SUM(OSRRefT22_13x_0)</f>
        <v>0</v>
      </c>
      <c r="U80" s="1"/>
      <c r="V80" s="5">
        <f t="shared" ref="V80:V81" si="51">IF(T$12=0,0,T80/T$12)</f>
        <v>0</v>
      </c>
      <c r="W80" s="1"/>
      <c r="X80" s="1">
        <f t="shared" ref="X80:X81" si="52">+P80-T80</f>
        <v>97.71</v>
      </c>
      <c r="Y80" s="1"/>
      <c r="Z80" s="5">
        <f t="shared" ref="Z80:Z81" si="53">IF(T80=0,0,X80/T80)</f>
        <v>0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6"/>
        <v>0</v>
      </c>
      <c r="G81" s="2"/>
      <c r="H81" s="6"/>
      <c r="I81" s="2"/>
      <c r="J81" s="7">
        <f t="shared" si="47"/>
        <v>0</v>
      </c>
      <c r="K81" s="2"/>
      <c r="L81" s="6">
        <f t="shared" si="48"/>
        <v>0</v>
      </c>
      <c r="M81" s="2"/>
      <c r="N81" s="7">
        <f t="shared" si="49"/>
        <v>0</v>
      </c>
      <c r="O81" s="11"/>
      <c r="P81" s="6">
        <v>97.71</v>
      </c>
      <c r="Q81" s="2"/>
      <c r="R81" s="7">
        <f t="shared" si="50"/>
        <v>4.3505576113831356E-4</v>
      </c>
      <c r="S81" s="2"/>
      <c r="T81" s="6"/>
      <c r="U81" s="2"/>
      <c r="V81" s="7">
        <f t="shared" si="51"/>
        <v>0</v>
      </c>
      <c r="W81" s="2"/>
      <c r="X81" s="6">
        <f t="shared" si="52"/>
        <v>97.71</v>
      </c>
      <c r="Y81" s="2"/>
      <c r="Z81" s="7">
        <f t="shared" si="53"/>
        <v>0</v>
      </c>
    </row>
    <row r="82" spans="1:26" s="61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13269</v>
      </c>
      <c r="E83" s="4"/>
      <c r="F83" s="12">
        <f t="shared" ref="F83:F85" si="54">IF(D$12=0,0,D83/D$12)</f>
        <v>0.23548231726384064</v>
      </c>
      <c r="G83" s="4"/>
      <c r="H83" s="4">
        <f>SUM(OSRRefH25x_0)</f>
        <v>12250</v>
      </c>
      <c r="I83" s="4"/>
      <c r="J83" s="12">
        <f t="shared" ref="J83:J85" si="55">IF(H$12=0,0,H83/H$12)</f>
        <v>0.22042285200179937</v>
      </c>
      <c r="K83" s="4"/>
      <c r="L83" s="4">
        <f t="shared" ref="L83:L85" si="56">+D83-H83</f>
        <v>1019</v>
      </c>
      <c r="M83" s="4"/>
      <c r="N83" s="12">
        <f t="shared" ref="N83:N85" si="57">IF(H83=0,0,L83/H83)</f>
        <v>8.3183673469387751E-2</v>
      </c>
      <c r="O83" s="10"/>
      <c r="P83" s="4">
        <f>SUM(OSRRefP25x_0)</f>
        <v>53076</v>
      </c>
      <c r="Q83" s="4"/>
      <c r="R83" s="12">
        <f t="shared" ref="R83:R85" si="58">IF(P$12=0,0,P83/P$12)</f>
        <v>0.23632196886886842</v>
      </c>
      <c r="S83" s="4"/>
      <c r="T83" s="4">
        <f>SUM(OSRRefT25x_0)</f>
        <v>49000</v>
      </c>
      <c r="U83" s="4"/>
      <c r="V83" s="12">
        <f t="shared" ref="V83:V85" si="59">IF(T$12=0,0,T83/T$12)</f>
        <v>0.18773047267851156</v>
      </c>
      <c r="W83" s="4"/>
      <c r="X83" s="4">
        <f t="shared" ref="X83:X85" si="60">+P83-T83</f>
        <v>4076</v>
      </c>
      <c r="Y83" s="4"/>
      <c r="Z83" s="12">
        <f t="shared" ref="Z83:Z85" si="61">IF(T83=0,0,X83/T83)</f>
        <v>8.3183673469387751E-2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--13269</f>
        <v>13269</v>
      </c>
      <c r="E84" s="2"/>
      <c r="F84" s="19">
        <f t="shared" si="54"/>
        <v>0.23548231726384064</v>
      </c>
      <c r="G84" s="2"/>
      <c r="H84" s="2"/>
      <c r="I84" s="2"/>
      <c r="J84" s="19">
        <f t="shared" si="55"/>
        <v>0</v>
      </c>
      <c r="K84" s="2"/>
      <c r="L84" s="2">
        <f t="shared" si="56"/>
        <v>13269</v>
      </c>
      <c r="M84" s="2"/>
      <c r="N84" s="19">
        <f t="shared" si="57"/>
        <v>0</v>
      </c>
      <c r="O84" s="11"/>
      <c r="P84" s="2">
        <f>--53076</f>
        <v>53076</v>
      </c>
      <c r="Q84" s="2"/>
      <c r="R84" s="19">
        <f t="shared" si="58"/>
        <v>0.23632196886886842</v>
      </c>
      <c r="S84" s="2"/>
      <c r="T84" s="2">
        <v>12250</v>
      </c>
      <c r="U84" s="2"/>
      <c r="V84" s="19">
        <f t="shared" si="59"/>
        <v>4.693261816962789E-2</v>
      </c>
      <c r="W84" s="2"/>
      <c r="X84" s="2">
        <f t="shared" si="60"/>
        <v>40826</v>
      </c>
      <c r="Y84" s="2"/>
      <c r="Z84" s="19">
        <f t="shared" si="61"/>
        <v>3.3327346938775508</v>
      </c>
    </row>
    <row r="85" spans="1:26" s="24" customFormat="1" hidden="1" outlineLevel="1" x14ac:dyDescent="0.25">
      <c r="A85" s="44"/>
      <c r="B85" s="11" t="str">
        <f>CONCATENATE("          ", "9151", " - ", "MISC. INCOME")</f>
        <v xml:space="preserve">          9151 - MISC. INCOME</v>
      </c>
      <c r="C85" s="11"/>
      <c r="D85" s="2">
        <f>0</f>
        <v>0</v>
      </c>
      <c r="E85" s="2"/>
      <c r="F85" s="19">
        <f t="shared" si="54"/>
        <v>0</v>
      </c>
      <c r="G85" s="2"/>
      <c r="H85" s="2">
        <v>12250</v>
      </c>
      <c r="I85" s="2"/>
      <c r="J85" s="19">
        <f t="shared" si="55"/>
        <v>0.22042285200179937</v>
      </c>
      <c r="K85" s="2"/>
      <c r="L85" s="2">
        <f t="shared" si="56"/>
        <v>-12250</v>
      </c>
      <c r="M85" s="2"/>
      <c r="N85" s="19">
        <f t="shared" si="57"/>
        <v>-1</v>
      </c>
      <c r="O85" s="11"/>
      <c r="P85" s="2">
        <f>0</f>
        <v>0</v>
      </c>
      <c r="Q85" s="2"/>
      <c r="R85" s="19">
        <f t="shared" si="58"/>
        <v>0</v>
      </c>
      <c r="S85" s="2"/>
      <c r="T85" s="2">
        <v>36750</v>
      </c>
      <c r="U85" s="2"/>
      <c r="V85" s="19">
        <f t="shared" si="59"/>
        <v>0.14079785450888369</v>
      </c>
      <c r="W85" s="2"/>
      <c r="X85" s="2">
        <f t="shared" si="60"/>
        <v>-36750</v>
      </c>
      <c r="Y85" s="2"/>
      <c r="Z85" s="19">
        <f t="shared" si="61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2">
        <f>+D29-D31+D83</f>
        <v>14261.320000000007</v>
      </c>
      <c r="E87" s="14"/>
      <c r="F87" s="20">
        <f>IF(D$12=0,0,D87/D$12)</f>
        <v>0.25309282393859051</v>
      </c>
      <c r="G87" s="14"/>
      <c r="H87" s="22">
        <f>+H29-H31+H83</f>
        <v>15571.875001096865</v>
      </c>
      <c r="I87" s="14"/>
      <c r="J87" s="20">
        <f>IF(H$12=0,0,H87/H$12)</f>
        <v>0.28019568153120766</v>
      </c>
      <c r="K87" s="16"/>
      <c r="L87" s="22">
        <f>+D87-H87</f>
        <v>-1310.5550010968582</v>
      </c>
      <c r="M87" s="16"/>
      <c r="N87" s="20">
        <f>IF(H87=0,0,L87/H87)</f>
        <v>-8.4161669741411621E-2</v>
      </c>
      <c r="O87" s="29"/>
      <c r="P87" s="22">
        <f>+P29-P31+P83</f>
        <v>100654.31</v>
      </c>
      <c r="Q87" s="14"/>
      <c r="R87" s="20">
        <f>IF(P$12=0,0,P87/P$12)</f>
        <v>0.44816536126191558</v>
      </c>
      <c r="S87" s="14"/>
      <c r="T87" s="22">
        <f>+T29-T31+T83</f>
        <v>99917.895779987623</v>
      </c>
      <c r="U87" s="14"/>
      <c r="V87" s="20">
        <f>IF(T$12=0,0,T87/T$12)</f>
        <v>0.38280885313917007</v>
      </c>
      <c r="W87" s="16"/>
      <c r="X87" s="22">
        <f>+P87-T87</f>
        <v>736.41422001237515</v>
      </c>
      <c r="Y87" s="16"/>
      <c r="Z87" s="20">
        <f>IF(T87=0,0,X87/T87)</f>
        <v>7.3701934399610352E-3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4536.3900000000003</v>
      </c>
      <c r="E89" s="4"/>
      <c r="F89" s="12">
        <f>IF(D$12=0,0,D89/D$12)</f>
        <v>8.05064156464326E-2</v>
      </c>
      <c r="G89" s="4"/>
      <c r="H89" s="4">
        <v>5447</v>
      </c>
      <c r="I89" s="4"/>
      <c r="J89" s="12">
        <f>IF(H$12=0,0,H89/H$12)</f>
        <v>9.8011695906432744E-2</v>
      </c>
      <c r="K89" s="4"/>
      <c r="L89" s="4">
        <f>+D89-H89</f>
        <v>-910.60999999999967</v>
      </c>
      <c r="M89" s="4"/>
      <c r="N89" s="12">
        <f>IF(H89=0,0,L89/H89)</f>
        <v>-0.16717642739122446</v>
      </c>
      <c r="O89" s="10"/>
      <c r="P89" s="4">
        <v>22607.99</v>
      </c>
      <c r="Q89" s="4"/>
      <c r="R89" s="12">
        <f>IF(P$12=0,0,P89/P$12)</f>
        <v>0.10066253502463804</v>
      </c>
      <c r="S89" s="4"/>
      <c r="T89" s="4">
        <v>31431</v>
      </c>
      <c r="U89" s="4"/>
      <c r="V89" s="12">
        <f>IF(T$12=0,0,T89/T$12)</f>
        <v>0.12041952013792442</v>
      </c>
      <c r="W89" s="4"/>
      <c r="X89" s="4">
        <f>+P89-T89</f>
        <v>-8823.0099999999984</v>
      </c>
      <c r="Y89" s="4"/>
      <c r="Z89" s="12">
        <f>IF(T89=0,0,X89/T89)</f>
        <v>-0.28071044510196935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1">
        <f>+D87-D89</f>
        <v>9724.9300000000076</v>
      </c>
      <c r="E91" s="14"/>
      <c r="F91" s="33">
        <f>IF(D$12=0,0,D91/D$12)</f>
        <v>0.17258640829215793</v>
      </c>
      <c r="G91" s="14"/>
      <c r="H91" s="31">
        <f>+H87-H89</f>
        <v>10124.875001096865</v>
      </c>
      <c r="I91" s="14"/>
      <c r="J91" s="33">
        <f>IF(H$12=0,0,H91/H$12)</f>
        <v>0.18218398562477489</v>
      </c>
      <c r="K91" s="16"/>
      <c r="L91" s="31">
        <f>D91-H91</f>
        <v>-399.9450010968576</v>
      </c>
      <c r="M91" s="16"/>
      <c r="N91" s="33">
        <f>IF(H91=0,0,L91/H91)</f>
        <v>-3.9501228514280923E-2</v>
      </c>
      <c r="O91" s="29"/>
      <c r="P91" s="31">
        <f>+P87-P89</f>
        <v>78046.319999999992</v>
      </c>
      <c r="Q91" s="14"/>
      <c r="R91" s="33">
        <f>IF(P$12=0,0,P91/P$12)</f>
        <v>0.34750282623727752</v>
      </c>
      <c r="S91" s="14"/>
      <c r="T91" s="31">
        <f>+T87-T89</f>
        <v>68486.895779987623</v>
      </c>
      <c r="U91" s="14"/>
      <c r="V91" s="33">
        <f>IF(T$12=0,0,T91/T$12)</f>
        <v>0.26238933300124562</v>
      </c>
      <c r="W91" s="16"/>
      <c r="X91" s="31">
        <f>P91-T91</f>
        <v>9559.4242200123699</v>
      </c>
      <c r="Y91" s="16"/>
      <c r="Z91" s="33">
        <f>IF(T91=0,0,X91/T91)</f>
        <v>0.1395803403138868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2">
        <f>SUM(D91:D93)</f>
        <v>9724.9300000000076</v>
      </c>
      <c r="E94" s="14"/>
      <c r="F94" s="34">
        <f>IF(D$12=0,0,D94/D$12)</f>
        <v>0.17258640829215793</v>
      </c>
      <c r="G94" s="14"/>
      <c r="H94" s="32">
        <f>SUM(H91:H93)</f>
        <v>10124.875001096865</v>
      </c>
      <c r="I94" s="14"/>
      <c r="J94" s="34">
        <f>IF(H$12=0,0,H94/H$12)</f>
        <v>0.18218398562477489</v>
      </c>
      <c r="K94" s="16"/>
      <c r="L94" s="32">
        <f>+D94-H94</f>
        <v>-399.9450010968576</v>
      </c>
      <c r="M94" s="16"/>
      <c r="N94" s="34">
        <f>IF(H94=0,0,L94/H94)</f>
        <v>-3.9501228514280923E-2</v>
      </c>
      <c r="O94" s="29"/>
      <c r="P94" s="32">
        <f>SUM(P91:P93)</f>
        <v>78046.319999999992</v>
      </c>
      <c r="Q94" s="14"/>
      <c r="R94" s="34">
        <f>IF(P$12=0,0,P94/P$12)</f>
        <v>0.34750282623727752</v>
      </c>
      <c r="S94" s="14"/>
      <c r="T94" s="32">
        <f>SUM(T91:T93)</f>
        <v>68486.895779987623</v>
      </c>
      <c r="U94" s="14"/>
      <c r="V94" s="34">
        <f>IF(T$12=0,0,T94/T$12)</f>
        <v>0.26238933300124562</v>
      </c>
      <c r="W94" s="16"/>
      <c r="X94" s="32">
        <f>+P94-T94</f>
        <v>9559.4242200123699</v>
      </c>
      <c r="Y94" s="16"/>
      <c r="Z94" s="34">
        <f>IF(T94=0,0,X94/T94)</f>
        <v>0.1395803403138868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0">
        <v>43791.348226655093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4" t="s">
        <v>314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5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","320", " - ", "Customer Service (old)")</f>
        <v>Department 320 - Customer Service (old)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1179.29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1179.29</v>
      </c>
      <c r="M12" s="4"/>
      <c r="N12" s="12">
        <f t="shared" ref="N12:N15" si="1">IF(H12=0,0,L12/H12)</f>
        <v>0</v>
      </c>
      <c r="O12" s="10"/>
      <c r="P12" s="4">
        <f>SUM(OSRRefP13x_0)</f>
        <v>4899.8099999999995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4899.8099999999995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--1178.45</f>
        <v>1178.45</v>
      </c>
      <c r="E13" s="2"/>
      <c r="F13" s="19"/>
      <c r="G13" s="2"/>
      <c r="H13" s="2"/>
      <c r="I13" s="2"/>
      <c r="J13" s="19"/>
      <c r="K13" s="2"/>
      <c r="L13" s="2">
        <f t="shared" si="0"/>
        <v>1178.45</v>
      </c>
      <c r="M13" s="2"/>
      <c r="N13" s="19">
        <f t="shared" si="1"/>
        <v>0</v>
      </c>
      <c r="O13" s="11"/>
      <c r="P13" s="2">
        <f>--5091.03</f>
        <v>5091.03</v>
      </c>
      <c r="Q13" s="2"/>
      <c r="R13" s="19"/>
      <c r="S13" s="2"/>
      <c r="T13" s="2"/>
      <c r="U13" s="2"/>
      <c r="V13" s="19"/>
      <c r="W13" s="2"/>
      <c r="X13" s="2">
        <f t="shared" si="2"/>
        <v>5091.03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--40.79</f>
        <v>40.79</v>
      </c>
      <c r="E14" s="2"/>
      <c r="F14" s="19"/>
      <c r="G14" s="2"/>
      <c r="H14" s="2"/>
      <c r="I14" s="2"/>
      <c r="J14" s="19"/>
      <c r="K14" s="2"/>
      <c r="L14" s="2">
        <f t="shared" si="0"/>
        <v>40.79</v>
      </c>
      <c r="M14" s="2"/>
      <c r="N14" s="19">
        <f t="shared" si="1"/>
        <v>0</v>
      </c>
      <c r="O14" s="11"/>
      <c r="P14" s="2">
        <f>--217.88</f>
        <v>217.88</v>
      </c>
      <c r="Q14" s="2"/>
      <c r="R14" s="19"/>
      <c r="S14" s="2"/>
      <c r="T14" s="2"/>
      <c r="U14" s="2"/>
      <c r="V14" s="19"/>
      <c r="W14" s="2"/>
      <c r="X14" s="2">
        <f t="shared" si="2"/>
        <v>217.88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-39.95</f>
        <v>-39.950000000000003</v>
      </c>
      <c r="E15" s="2"/>
      <c r="F15" s="19"/>
      <c r="G15" s="2"/>
      <c r="H15" s="2"/>
      <c r="I15" s="2"/>
      <c r="J15" s="19"/>
      <c r="K15" s="2"/>
      <c r="L15" s="2">
        <f t="shared" si="0"/>
        <v>-39.950000000000003</v>
      </c>
      <c r="M15" s="2"/>
      <c r="N15" s="19">
        <f t="shared" si="1"/>
        <v>0</v>
      </c>
      <c r="O15" s="11"/>
      <c r="P15" s="2">
        <f>-409.1</f>
        <v>-409.1</v>
      </c>
      <c r="Q15" s="2"/>
      <c r="R15" s="19"/>
      <c r="S15" s="2"/>
      <c r="T15" s="2"/>
      <c r="U15" s="2"/>
      <c r="V15" s="19"/>
      <c r="W15" s="2"/>
      <c r="X15" s="2">
        <f t="shared" si="2"/>
        <v>-409.1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570.54</v>
      </c>
      <c r="E17" s="4"/>
      <c r="F17" s="12">
        <f t="shared" ref="F17:F22" si="4">IF(D$12=0,0,D17/D$12)</f>
        <v>0.48379957432014176</v>
      </c>
      <c r="G17" s="4"/>
      <c r="H17" s="4">
        <f>SUM(OSRRefH16x_0)</f>
        <v>0</v>
      </c>
      <c r="I17" s="4"/>
      <c r="J17" s="12">
        <f t="shared" ref="J17:J22" si="5">IF(H$12=0,0,H17/H$12)</f>
        <v>0</v>
      </c>
      <c r="K17" s="4"/>
      <c r="L17" s="4">
        <f t="shared" ref="L17:L22" si="6">+D17-H17</f>
        <v>570.54</v>
      </c>
      <c r="M17" s="4"/>
      <c r="N17" s="12">
        <f t="shared" ref="N17:N22" si="7">IF(H17=0,0,L17/H17)</f>
        <v>0</v>
      </c>
      <c r="O17" s="10"/>
      <c r="P17" s="4">
        <f>SUM(OSRRefP16x_0)</f>
        <v>2462.1200000000003</v>
      </c>
      <c r="Q17" s="4"/>
      <c r="R17" s="12">
        <f t="shared" ref="R17:R22" si="8">IF(P$12=0,0,P17/P$12)</f>
        <v>0.50249295380841308</v>
      </c>
      <c r="S17" s="4"/>
      <c r="T17" s="4">
        <f>SUM(OSRRefT16x_0)</f>
        <v>0</v>
      </c>
      <c r="U17" s="4"/>
      <c r="V17" s="12">
        <f t="shared" ref="V17:V22" si="9">IF(T$12=0,0,T17/T$12)</f>
        <v>0</v>
      </c>
      <c r="W17" s="4"/>
      <c r="X17" s="4">
        <f t="shared" ref="X17:X22" si="10">+P17-T17</f>
        <v>2462.1200000000003</v>
      </c>
      <c r="Y17" s="4"/>
      <c r="Z17" s="12">
        <f t="shared" ref="Z17:Z22" si="11">IF(T17=0,0,X17/T17)</f>
        <v>0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>
        <v>1343.54</v>
      </c>
      <c r="E18" s="2"/>
      <c r="F18" s="19">
        <f t="shared" si="4"/>
        <v>1.1392787185509925</v>
      </c>
      <c r="G18" s="2"/>
      <c r="H18" s="2"/>
      <c r="I18" s="2"/>
      <c r="J18" s="19">
        <f t="shared" si="5"/>
        <v>0</v>
      </c>
      <c r="K18" s="2"/>
      <c r="L18" s="2">
        <f t="shared" si="6"/>
        <v>1343.54</v>
      </c>
      <c r="M18" s="2"/>
      <c r="N18" s="19">
        <f t="shared" si="7"/>
        <v>0</v>
      </c>
      <c r="O18" s="11"/>
      <c r="P18" s="2">
        <v>1356.49</v>
      </c>
      <c r="Q18" s="2"/>
      <c r="R18" s="19">
        <f t="shared" si="8"/>
        <v>0.27684542870029655</v>
      </c>
      <c r="S18" s="2"/>
      <c r="T18" s="2"/>
      <c r="U18" s="2"/>
      <c r="V18" s="19">
        <f t="shared" si="9"/>
        <v>0</v>
      </c>
      <c r="W18" s="2"/>
      <c r="X18" s="2">
        <f t="shared" si="10"/>
        <v>1356.49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11.85</v>
      </c>
      <c r="Q19" s="2"/>
      <c r="R19" s="19">
        <f t="shared" si="8"/>
        <v>2.4184611240027675E-3</v>
      </c>
      <c r="S19" s="2"/>
      <c r="T19" s="2"/>
      <c r="U19" s="2"/>
      <c r="V19" s="19">
        <f t="shared" si="9"/>
        <v>0</v>
      </c>
      <c r="W19" s="2"/>
      <c r="X19" s="2">
        <f t="shared" si="10"/>
        <v>11.85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>
        <v>-1344</v>
      </c>
      <c r="E20" s="2"/>
      <c r="F20" s="19">
        <f t="shared" si="4"/>
        <v>-1.1396687837597199</v>
      </c>
      <c r="G20" s="2"/>
      <c r="H20" s="2"/>
      <c r="I20" s="2"/>
      <c r="J20" s="19">
        <f t="shared" si="5"/>
        <v>0</v>
      </c>
      <c r="K20" s="2"/>
      <c r="L20" s="2">
        <f t="shared" si="6"/>
        <v>-1344</v>
      </c>
      <c r="M20" s="2"/>
      <c r="N20" s="19">
        <f t="shared" si="7"/>
        <v>0</v>
      </c>
      <c r="O20" s="11"/>
      <c r="P20" s="2">
        <v>-1440</v>
      </c>
      <c r="Q20" s="2"/>
      <c r="R20" s="19">
        <f t="shared" si="8"/>
        <v>-0.29388894671426036</v>
      </c>
      <c r="S20" s="2"/>
      <c r="T20" s="2"/>
      <c r="U20" s="2"/>
      <c r="V20" s="19">
        <f t="shared" si="9"/>
        <v>0</v>
      </c>
      <c r="W20" s="2"/>
      <c r="X20" s="2">
        <f t="shared" si="10"/>
        <v>-1440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>
        <v>571</v>
      </c>
      <c r="E21" s="2"/>
      <c r="F21" s="19">
        <f t="shared" si="4"/>
        <v>0.48418963952886906</v>
      </c>
      <c r="G21" s="2"/>
      <c r="H21" s="2"/>
      <c r="I21" s="2"/>
      <c r="J21" s="19">
        <f t="shared" si="5"/>
        <v>0</v>
      </c>
      <c r="K21" s="2"/>
      <c r="L21" s="2">
        <f t="shared" si="6"/>
        <v>571</v>
      </c>
      <c r="M21" s="2"/>
      <c r="N21" s="19">
        <f t="shared" si="7"/>
        <v>0</v>
      </c>
      <c r="O21" s="11"/>
      <c r="P21" s="2">
        <v>2463</v>
      </c>
      <c r="Q21" s="2"/>
      <c r="R21" s="19">
        <f t="shared" si="8"/>
        <v>0.50267255260918287</v>
      </c>
      <c r="S21" s="2"/>
      <c r="T21" s="2"/>
      <c r="U21" s="2"/>
      <c r="V21" s="19">
        <f t="shared" si="9"/>
        <v>0</v>
      </c>
      <c r="W21" s="2"/>
      <c r="X21" s="2">
        <f t="shared" si="10"/>
        <v>2463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70.78</v>
      </c>
      <c r="Q22" s="2"/>
      <c r="R22" s="19">
        <f t="shared" si="8"/>
        <v>1.4445458089191215E-2</v>
      </c>
      <c r="S22" s="2"/>
      <c r="T22" s="2"/>
      <c r="U22" s="2"/>
      <c r="V22" s="19">
        <f t="shared" si="9"/>
        <v>0</v>
      </c>
      <c r="W22" s="2"/>
      <c r="X22" s="2">
        <f t="shared" si="10"/>
        <v>70.78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2">
        <f>D12-D17</f>
        <v>608.75</v>
      </c>
      <c r="E24" s="14"/>
      <c r="F24" s="20">
        <f>IF(D$12=0,0,D24/D$12)</f>
        <v>0.51620042567985824</v>
      </c>
      <c r="G24" s="14"/>
      <c r="H24" s="22">
        <f>H12-H17</f>
        <v>0</v>
      </c>
      <c r="I24" s="14"/>
      <c r="J24" s="20">
        <f>IF(H$12=0,0,H24/H$12)</f>
        <v>0</v>
      </c>
      <c r="K24" s="16"/>
      <c r="L24" s="22">
        <f>+D24-H24</f>
        <v>608.75</v>
      </c>
      <c r="M24" s="16"/>
      <c r="N24" s="20">
        <f>IF(H24=0,0,L24/H24)</f>
        <v>0</v>
      </c>
      <c r="O24" s="29"/>
      <c r="P24" s="22">
        <f>P12-P17</f>
        <v>2437.6899999999991</v>
      </c>
      <c r="Q24" s="14"/>
      <c r="R24" s="20">
        <f>IF(P$12=0,0,P24/P$12)</f>
        <v>0.49750704619158692</v>
      </c>
      <c r="S24" s="14"/>
      <c r="T24" s="22">
        <f>T12-T17</f>
        <v>0</v>
      </c>
      <c r="U24" s="14"/>
      <c r="V24" s="20">
        <f>IF(T$12=0,0,T24/T$12)</f>
        <v>0</v>
      </c>
      <c r="W24" s="16"/>
      <c r="X24" s="22">
        <f>+P24-T24</f>
        <v>2437.6899999999991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1041.18</v>
      </c>
      <c r="E26" s="21"/>
      <c r="F26" s="35">
        <f t="shared" ref="F26:F35" si="12">IF(D$12=0,0,D26/D$12)</f>
        <v>0.88288716091885799</v>
      </c>
      <c r="G26" s="21"/>
      <c r="H26" s="21">
        <f>SUM(OSRRefH22x_0)</f>
        <v>-5384.2417598557668</v>
      </c>
      <c r="I26" s="21"/>
      <c r="J26" s="35">
        <f t="shared" ref="J26:J35" si="13">IF(H$12=0,0,H26/H$12)</f>
        <v>0</v>
      </c>
      <c r="K26" s="4"/>
      <c r="L26" s="21">
        <f t="shared" ref="L26:L35" si="14">+D26-H26</f>
        <v>6425.421759855767</v>
      </c>
      <c r="M26" s="4"/>
      <c r="N26" s="35">
        <f t="shared" ref="N26:N35" si="15">IF(H26=0,0,L26/H26)</f>
        <v>-1.1933754178281719</v>
      </c>
      <c r="O26" s="10"/>
      <c r="P26" s="21">
        <f>SUM(OSRRefP22x_0)</f>
        <v>-301.54999999999688</v>
      </c>
      <c r="Q26" s="21"/>
      <c r="R26" s="35">
        <f t="shared" ref="R26:R35" si="16">IF(P$12=0,0,P26/P$12)</f>
        <v>-6.1543202695614099E-2</v>
      </c>
      <c r="S26" s="21"/>
      <c r="T26" s="21">
        <f>SUM(OSRRefT22x_0)</f>
        <v>-21899.270335480756</v>
      </c>
      <c r="U26" s="21"/>
      <c r="V26" s="35">
        <f t="shared" ref="V26:V35" si="17">IF(T$12=0,0,T26/T$12)</f>
        <v>0</v>
      </c>
      <c r="W26" s="4"/>
      <c r="X26" s="21">
        <f t="shared" ref="X26:X35" si="18">+P26-T26</f>
        <v>21597.720335480761</v>
      </c>
      <c r="Y26" s="4"/>
      <c r="Z26" s="35">
        <f t="shared" ref="Z26:Z35" si="19">IF(T26=0,0,X26/T26)</f>
        <v>-0.98623013482273747</v>
      </c>
    </row>
    <row r="27" spans="1:26" s="26" customFormat="1" outlineLevel="1" collapsed="1" x14ac:dyDescent="0.25">
      <c r="A27" s="25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-14.43</v>
      </c>
      <c r="E27" s="1"/>
      <c r="F27" s="5">
        <f t="shared" si="12"/>
        <v>-1.223617600420592E-2</v>
      </c>
      <c r="G27" s="1"/>
      <c r="H27" s="1">
        <f>SUM(OSRRefH22_0x_0)</f>
        <v>1308.1534324519228</v>
      </c>
      <c r="I27" s="1"/>
      <c r="J27" s="5">
        <f t="shared" si="13"/>
        <v>0</v>
      </c>
      <c r="K27" s="1"/>
      <c r="L27" s="1">
        <f t="shared" si="14"/>
        <v>-1322.5834324519228</v>
      </c>
      <c r="M27" s="1"/>
      <c r="N27" s="5">
        <f t="shared" si="15"/>
        <v>-1.0110308161428383</v>
      </c>
      <c r="O27" s="13"/>
      <c r="P27" s="1">
        <f>SUM(OSRRefP22_0x_0)</f>
        <v>821.29</v>
      </c>
      <c r="Q27" s="1"/>
      <c r="R27" s="5">
        <f t="shared" si="16"/>
        <v>0.16761670350482979</v>
      </c>
      <c r="S27" s="1"/>
      <c r="T27" s="1">
        <f>SUM(OSRRefT22_0x_0)</f>
        <v>4973.3523568269238</v>
      </c>
      <c r="U27" s="1"/>
      <c r="V27" s="5">
        <f t="shared" si="17"/>
        <v>0</v>
      </c>
      <c r="W27" s="1"/>
      <c r="X27" s="1">
        <f t="shared" si="18"/>
        <v>-4152.0623568269239</v>
      </c>
      <c r="Y27" s="1"/>
      <c r="Z27" s="5">
        <f t="shared" si="19"/>
        <v>-0.83486189172327296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2"/>
        <v>0</v>
      </c>
      <c r="G28" s="2"/>
      <c r="H28" s="6">
        <v>187.79836514423098</v>
      </c>
      <c r="I28" s="2"/>
      <c r="J28" s="7">
        <f t="shared" si="13"/>
        <v>0</v>
      </c>
      <c r="K28" s="2"/>
      <c r="L28" s="6">
        <f t="shared" si="14"/>
        <v>-187.79836514423098</v>
      </c>
      <c r="M28" s="2"/>
      <c r="N28" s="7">
        <f t="shared" si="15"/>
        <v>-1</v>
      </c>
      <c r="O28" s="11"/>
      <c r="P28" s="6">
        <v>155.66</v>
      </c>
      <c r="Q28" s="2"/>
      <c r="R28" s="7">
        <f t="shared" si="16"/>
        <v>3.1768578781626228E-2</v>
      </c>
      <c r="S28" s="2"/>
      <c r="T28" s="6">
        <v>676.07411451923201</v>
      </c>
      <c r="U28" s="2"/>
      <c r="V28" s="7">
        <f t="shared" si="17"/>
        <v>0</v>
      </c>
      <c r="W28" s="2"/>
      <c r="X28" s="6">
        <f t="shared" si="18"/>
        <v>-520.41411451923204</v>
      </c>
      <c r="Y28" s="2"/>
      <c r="Z28" s="7">
        <f t="shared" si="19"/>
        <v>-0.7697589707147825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-14.43</v>
      </c>
      <c r="E29" s="2"/>
      <c r="F29" s="7">
        <f t="shared" si="12"/>
        <v>-1.223617600420592E-2</v>
      </c>
      <c r="G29" s="2"/>
      <c r="H29" s="6">
        <v>46.624447115384605</v>
      </c>
      <c r="I29" s="2"/>
      <c r="J29" s="7">
        <f t="shared" si="13"/>
        <v>0</v>
      </c>
      <c r="K29" s="2"/>
      <c r="L29" s="6">
        <f t="shared" si="14"/>
        <v>-61.054447115384605</v>
      </c>
      <c r="M29" s="2"/>
      <c r="N29" s="7">
        <f t="shared" si="15"/>
        <v>-1.3094942866408501</v>
      </c>
      <c r="O29" s="11"/>
      <c r="P29" s="6">
        <v>22.05</v>
      </c>
      <c r="Q29" s="2"/>
      <c r="R29" s="7">
        <f t="shared" si="16"/>
        <v>4.5001744965621126E-3</v>
      </c>
      <c r="S29" s="2"/>
      <c r="T29" s="6">
        <v>167.8480096153846</v>
      </c>
      <c r="U29" s="2"/>
      <c r="V29" s="7">
        <f t="shared" si="17"/>
        <v>0</v>
      </c>
      <c r="W29" s="2"/>
      <c r="X29" s="6">
        <f t="shared" si="18"/>
        <v>-145.79800961538459</v>
      </c>
      <c r="Y29" s="2"/>
      <c r="Z29" s="7">
        <f t="shared" si="19"/>
        <v>-0.86863114998785806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2"/>
        <v>0</v>
      </c>
      <c r="G30" s="2"/>
      <c r="H30" s="6">
        <v>660</v>
      </c>
      <c r="I30" s="2"/>
      <c r="J30" s="7">
        <f t="shared" si="13"/>
        <v>0</v>
      </c>
      <c r="K30" s="2"/>
      <c r="L30" s="6">
        <f t="shared" si="14"/>
        <v>-660</v>
      </c>
      <c r="M30" s="2"/>
      <c r="N30" s="7">
        <f t="shared" si="15"/>
        <v>-1</v>
      </c>
      <c r="O30" s="11"/>
      <c r="P30" s="6">
        <v>305.26</v>
      </c>
      <c r="Q30" s="2"/>
      <c r="R30" s="7">
        <f t="shared" si="16"/>
        <v>6.2300374912496612E-2</v>
      </c>
      <c r="S30" s="2"/>
      <c r="T30" s="6">
        <v>2640</v>
      </c>
      <c r="U30" s="2"/>
      <c r="V30" s="7">
        <f t="shared" si="17"/>
        <v>0</v>
      </c>
      <c r="W30" s="2"/>
      <c r="X30" s="6">
        <f t="shared" si="18"/>
        <v>-2334.7399999999998</v>
      </c>
      <c r="Y30" s="2"/>
      <c r="Z30" s="7">
        <f t="shared" si="19"/>
        <v>-0.88437121212121206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2"/>
        <v>0</v>
      </c>
      <c r="G31" s="2"/>
      <c r="H31" s="6">
        <v>6.3801874999999999</v>
      </c>
      <c r="I31" s="2"/>
      <c r="J31" s="7">
        <f t="shared" si="13"/>
        <v>0</v>
      </c>
      <c r="K31" s="2"/>
      <c r="L31" s="6">
        <f t="shared" si="14"/>
        <v>-6.3801874999999999</v>
      </c>
      <c r="M31" s="2"/>
      <c r="N31" s="7">
        <f t="shared" si="15"/>
        <v>-1</v>
      </c>
      <c r="O31" s="11"/>
      <c r="P31" s="6">
        <v>5</v>
      </c>
      <c r="Q31" s="2"/>
      <c r="R31" s="7">
        <f t="shared" si="16"/>
        <v>1.0204477316467374E-3</v>
      </c>
      <c r="S31" s="2"/>
      <c r="T31" s="6">
        <v>22.968675000000001</v>
      </c>
      <c r="U31" s="2"/>
      <c r="V31" s="7">
        <f t="shared" si="17"/>
        <v>0</v>
      </c>
      <c r="W31" s="2"/>
      <c r="X31" s="6">
        <f t="shared" si="18"/>
        <v>-17.968675000000001</v>
      </c>
      <c r="Y31" s="2"/>
      <c r="Z31" s="7">
        <f t="shared" si="19"/>
        <v>-0.78231221435280873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2"/>
        <v>0</v>
      </c>
      <c r="G32" s="2"/>
      <c r="H32" s="6">
        <v>211.036971153846</v>
      </c>
      <c r="I32" s="2"/>
      <c r="J32" s="7">
        <f t="shared" si="13"/>
        <v>0</v>
      </c>
      <c r="K32" s="2"/>
      <c r="L32" s="6">
        <f t="shared" si="14"/>
        <v>-211.036971153846</v>
      </c>
      <c r="M32" s="2"/>
      <c r="N32" s="7">
        <f t="shared" si="15"/>
        <v>-1</v>
      </c>
      <c r="O32" s="11"/>
      <c r="P32" s="6">
        <v>134.12</v>
      </c>
      <c r="Q32" s="2"/>
      <c r="R32" s="7">
        <f t="shared" si="16"/>
        <v>2.7372489953692087E-2</v>
      </c>
      <c r="S32" s="2"/>
      <c r="T32" s="6">
        <v>759.73309615384596</v>
      </c>
      <c r="U32" s="2"/>
      <c r="V32" s="7">
        <f t="shared" si="17"/>
        <v>0</v>
      </c>
      <c r="W32" s="2"/>
      <c r="X32" s="6">
        <f t="shared" si="18"/>
        <v>-625.61309615384596</v>
      </c>
      <c r="Y32" s="2"/>
      <c r="Z32" s="7">
        <f t="shared" si="19"/>
        <v>-0.82346431835208522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2"/>
        <v>0</v>
      </c>
      <c r="G34" s="2"/>
      <c r="H34" s="6">
        <v>122.695913461538</v>
      </c>
      <c r="I34" s="2"/>
      <c r="J34" s="7">
        <f t="shared" si="13"/>
        <v>0</v>
      </c>
      <c r="K34" s="2"/>
      <c r="L34" s="6">
        <f t="shared" si="14"/>
        <v>-122.695913461538</v>
      </c>
      <c r="M34" s="2"/>
      <c r="N34" s="7">
        <f t="shared" si="15"/>
        <v>-1</v>
      </c>
      <c r="O34" s="11"/>
      <c r="P34" s="6">
        <v>110.64</v>
      </c>
      <c r="Q34" s="2"/>
      <c r="R34" s="7">
        <f t="shared" si="16"/>
        <v>2.2580467405879007E-2</v>
      </c>
      <c r="S34" s="2"/>
      <c r="T34" s="6">
        <v>441.70528846153758</v>
      </c>
      <c r="U34" s="2"/>
      <c r="V34" s="7">
        <f t="shared" si="17"/>
        <v>0</v>
      </c>
      <c r="W34" s="2"/>
      <c r="X34" s="6">
        <f t="shared" si="18"/>
        <v>-331.06528846153759</v>
      </c>
      <c r="Y34" s="2"/>
      <c r="Z34" s="7">
        <f t="shared" si="19"/>
        <v>-0.7495162433183451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2"/>
        <v>0</v>
      </c>
      <c r="G35" s="2"/>
      <c r="H35" s="6">
        <v>73.6175480769231</v>
      </c>
      <c r="I35" s="2"/>
      <c r="J35" s="7">
        <f t="shared" si="13"/>
        <v>0</v>
      </c>
      <c r="K35" s="2"/>
      <c r="L35" s="6">
        <f t="shared" si="14"/>
        <v>-73.6175480769231</v>
      </c>
      <c r="M35" s="2"/>
      <c r="N35" s="7">
        <f t="shared" si="15"/>
        <v>-1</v>
      </c>
      <c r="O35" s="11"/>
      <c r="P35" s="6">
        <v>88.56</v>
      </c>
      <c r="Q35" s="2"/>
      <c r="R35" s="7">
        <f t="shared" si="16"/>
        <v>1.8074170222927014E-2</v>
      </c>
      <c r="S35" s="2"/>
      <c r="T35" s="6">
        <v>265.02317307692317</v>
      </c>
      <c r="U35" s="2"/>
      <c r="V35" s="7">
        <f t="shared" si="17"/>
        <v>0</v>
      </c>
      <c r="W35" s="2"/>
      <c r="X35" s="6">
        <f t="shared" si="18"/>
        <v>-176.46317307692317</v>
      </c>
      <c r="Y35" s="2"/>
      <c r="Z35" s="7">
        <f t="shared" si="19"/>
        <v>-0.66584054152013572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0">IF(D$12=0,0,D36/D$12)</f>
        <v>0</v>
      </c>
      <c r="G36" s="1"/>
      <c r="H36" s="1">
        <f>SUM(OSRRefH22_1x_0)</f>
        <v>2257.6048076923103</v>
      </c>
      <c r="I36" s="1"/>
      <c r="J36" s="5">
        <f t="shared" ref="J36:J46" si="21">IF(H$12=0,0,H36/H$12)</f>
        <v>0</v>
      </c>
      <c r="K36" s="1"/>
      <c r="L36" s="1">
        <f t="shared" ref="L36:L46" si="22">+D36-H36</f>
        <v>-2257.6048076923103</v>
      </c>
      <c r="M36" s="1"/>
      <c r="N36" s="5">
        <f t="shared" ref="N36:N46" si="23">IF(H36=0,0,L36/H36)</f>
        <v>-1</v>
      </c>
      <c r="O36" s="13"/>
      <c r="P36" s="1">
        <f>SUM(OSRRefP22_1x_0)</f>
        <v>1986.7399999999998</v>
      </c>
      <c r="Q36" s="1"/>
      <c r="R36" s="5">
        <f t="shared" ref="R36:R46" si="24">IF(P$12=0,0,P36/P$12)</f>
        <v>0.40547286527436777</v>
      </c>
      <c r="S36" s="1"/>
      <c r="T36" s="1">
        <f>SUM(OSRRefT22_1x_0)</f>
        <v>8127.3773076923208</v>
      </c>
      <c r="U36" s="1"/>
      <c r="V36" s="5">
        <f t="shared" ref="V36:V46" si="25">IF(T$12=0,0,T36/T$12)</f>
        <v>0</v>
      </c>
      <c r="W36" s="1"/>
      <c r="X36" s="1">
        <f t="shared" ref="X36:X46" si="26">+P36-T36</f>
        <v>-6140.637307692321</v>
      </c>
      <c r="Y36" s="1"/>
      <c r="Z36" s="5">
        <f t="shared" ref="Z36:Z46" si="27">IF(T36=0,0,X36/T36)</f>
        <v>-0.75554967798534345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2257.6048076923103</v>
      </c>
      <c r="I38" s="2"/>
      <c r="J38" s="7">
        <f t="shared" si="21"/>
        <v>0</v>
      </c>
      <c r="K38" s="2"/>
      <c r="L38" s="6">
        <f t="shared" si="22"/>
        <v>-2257.6048076923103</v>
      </c>
      <c r="M38" s="2"/>
      <c r="N38" s="7">
        <f t="shared" si="23"/>
        <v>-1</v>
      </c>
      <c r="O38" s="11"/>
      <c r="P38" s="6">
        <v>1872</v>
      </c>
      <c r="Q38" s="2"/>
      <c r="R38" s="7">
        <f t="shared" si="24"/>
        <v>0.38205563072853849</v>
      </c>
      <c r="S38" s="2"/>
      <c r="T38" s="6">
        <v>8127.3773076923208</v>
      </c>
      <c r="U38" s="2"/>
      <c r="V38" s="7">
        <f t="shared" si="25"/>
        <v>0</v>
      </c>
      <c r="W38" s="2"/>
      <c r="X38" s="6">
        <f t="shared" si="26"/>
        <v>-6255.3773076923208</v>
      </c>
      <c r="Y38" s="2"/>
      <c r="Z38" s="7">
        <f t="shared" si="27"/>
        <v>-0.76966739341260704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57.37</v>
      </c>
      <c r="Q42" s="2"/>
      <c r="R42" s="7">
        <f t="shared" si="24"/>
        <v>1.1708617272914664E-2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57.37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57.37</v>
      </c>
      <c r="Q43" s="2"/>
      <c r="R43" s="7">
        <f t="shared" si="24"/>
        <v>1.1708617272914664E-2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57.37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3" si="28">IF(D$12=0,0,D47/D$12)</f>
        <v>0</v>
      </c>
      <c r="G47" s="1"/>
      <c r="H47" s="1">
        <f>SUM(OSRRefH22_2x_0)</f>
        <v>0</v>
      </c>
      <c r="I47" s="1"/>
      <c r="J47" s="5">
        <f t="shared" ref="J47:J53" si="29">IF(H$12=0,0,H47/H$12)</f>
        <v>0</v>
      </c>
      <c r="K47" s="1"/>
      <c r="L47" s="1">
        <f t="shared" ref="L47:L53" si="30">+D47-H47</f>
        <v>0</v>
      </c>
      <c r="M47" s="1"/>
      <c r="N47" s="5">
        <f t="shared" ref="N47:N53" si="31">IF(H47=0,0,L47/H47)</f>
        <v>0</v>
      </c>
      <c r="O47" s="13"/>
      <c r="P47" s="1">
        <f>SUM(OSRRefP22_2x_0)</f>
        <v>-857.46</v>
      </c>
      <c r="Q47" s="1"/>
      <c r="R47" s="5">
        <f t="shared" ref="R47:R53" si="32">IF(P$12=0,0,P47/P$12)</f>
        <v>-0.1749986223955623</v>
      </c>
      <c r="S47" s="1"/>
      <c r="T47" s="1">
        <f>SUM(OSRRefT22_2x_0)</f>
        <v>0</v>
      </c>
      <c r="U47" s="1"/>
      <c r="V47" s="5">
        <f t="shared" ref="V47:V53" si="33">IF(T$12=0,0,T47/T$12)</f>
        <v>0</v>
      </c>
      <c r="W47" s="1"/>
      <c r="X47" s="1">
        <f t="shared" ref="X47:X53" si="34">+P47-T47</f>
        <v>-857.46</v>
      </c>
      <c r="Y47" s="1"/>
      <c r="Z47" s="5">
        <f t="shared" ref="Z47:Z53" si="35">IF(T47=0,0,X47/T47)</f>
        <v>0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-857.46</v>
      </c>
      <c r="Q48" s="2"/>
      <c r="R48" s="7">
        <f t="shared" si="32"/>
        <v>-0.1749986223955623</v>
      </c>
      <c r="S48" s="2"/>
      <c r="T48" s="6"/>
      <c r="U48" s="2"/>
      <c r="V48" s="7">
        <f t="shared" si="33"/>
        <v>0</v>
      </c>
      <c r="W48" s="2"/>
      <c r="X48" s="6">
        <f t="shared" si="34"/>
        <v>-857.46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SUM(OSRRefD22_3x_0)</f>
        <v>233.7</v>
      </c>
      <c r="E49" s="1"/>
      <c r="F49" s="5">
        <f t="shared" si="28"/>
        <v>0.19817008539036199</v>
      </c>
      <c r="G49" s="1"/>
      <c r="H49" s="1">
        <f>SUM(OSRRefH22_3x_0)</f>
        <v>100</v>
      </c>
      <c r="I49" s="1"/>
      <c r="J49" s="5">
        <f t="shared" si="29"/>
        <v>0</v>
      </c>
      <c r="K49" s="1"/>
      <c r="L49" s="1">
        <f t="shared" si="30"/>
        <v>133.69999999999999</v>
      </c>
      <c r="M49" s="1"/>
      <c r="N49" s="5">
        <f t="shared" si="31"/>
        <v>1.337</v>
      </c>
      <c r="O49" s="13"/>
      <c r="P49" s="1">
        <f>SUM(OSRRefP22_3x_0)</f>
        <v>238.95</v>
      </c>
      <c r="Q49" s="1"/>
      <c r="R49" s="5">
        <f t="shared" si="32"/>
        <v>4.8767197095397577E-2</v>
      </c>
      <c r="S49" s="1"/>
      <c r="T49" s="1">
        <f>SUM(OSRRefT22_3x_0)</f>
        <v>400</v>
      </c>
      <c r="U49" s="1"/>
      <c r="V49" s="5">
        <f t="shared" si="33"/>
        <v>0</v>
      </c>
      <c r="W49" s="1"/>
      <c r="X49" s="1">
        <f t="shared" si="34"/>
        <v>-161.05000000000001</v>
      </c>
      <c r="Y49" s="1"/>
      <c r="Z49" s="5">
        <f t="shared" si="35"/>
        <v>-0.40262500000000001</v>
      </c>
    </row>
    <row r="50" spans="1:26" s="24" customFormat="1" hidden="1" outlineLevel="2" x14ac:dyDescent="0.25">
      <c r="A50" s="27"/>
      <c r="B50" s="11" t="str">
        <f>CONCATENATE("          ", "6382", " - ", "DISCOUNTS/MARK DOWNS")</f>
        <v xml:space="preserve">          6382 - DISCOUNTS/MARK DOWNS</v>
      </c>
      <c r="C50" s="11"/>
      <c r="D50" s="6">
        <v>233.7</v>
      </c>
      <c r="E50" s="2"/>
      <c r="F50" s="7">
        <f t="shared" si="28"/>
        <v>0.19817008539036199</v>
      </c>
      <c r="G50" s="2"/>
      <c r="H50" s="6">
        <v>100</v>
      </c>
      <c r="I50" s="2"/>
      <c r="J50" s="7">
        <f t="shared" si="29"/>
        <v>0</v>
      </c>
      <c r="K50" s="2"/>
      <c r="L50" s="6">
        <f t="shared" si="30"/>
        <v>133.69999999999999</v>
      </c>
      <c r="M50" s="2"/>
      <c r="N50" s="7">
        <f t="shared" si="31"/>
        <v>1.337</v>
      </c>
      <c r="O50" s="11"/>
      <c r="P50" s="6">
        <v>238.95</v>
      </c>
      <c r="Q50" s="2"/>
      <c r="R50" s="7">
        <f t="shared" si="32"/>
        <v>4.8767197095397577E-2</v>
      </c>
      <c r="S50" s="2"/>
      <c r="T50" s="6">
        <v>400</v>
      </c>
      <c r="U50" s="2"/>
      <c r="V50" s="7">
        <f t="shared" si="33"/>
        <v>0</v>
      </c>
      <c r="W50" s="2"/>
      <c r="X50" s="6">
        <f t="shared" si="34"/>
        <v>-161.05000000000001</v>
      </c>
      <c r="Y50" s="2"/>
      <c r="Z50" s="7">
        <f t="shared" si="35"/>
        <v>-0.40262500000000001</v>
      </c>
    </row>
    <row r="51" spans="1:26" s="26" customFormat="1" outlineLevel="1" collapsed="1" x14ac:dyDescent="0.25">
      <c r="A51" s="25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234.75</v>
      </c>
      <c r="E51" s="1"/>
      <c r="F51" s="5">
        <f t="shared" si="28"/>
        <v>0.19906045162767427</v>
      </c>
      <c r="G51" s="1"/>
      <c r="H51" s="1">
        <f>SUM(OSRRefH22_4x_0)</f>
        <v>-10000</v>
      </c>
      <c r="I51" s="1"/>
      <c r="J51" s="5">
        <f t="shared" si="29"/>
        <v>0</v>
      </c>
      <c r="K51" s="1"/>
      <c r="L51" s="1">
        <f t="shared" si="30"/>
        <v>10234.75</v>
      </c>
      <c r="M51" s="1"/>
      <c r="N51" s="5">
        <f t="shared" si="31"/>
        <v>-1.0234749999999999</v>
      </c>
      <c r="O51" s="13"/>
      <c r="P51" s="1">
        <f>SUM(OSRRefP22_4x_0)</f>
        <v>-8278.4699999999975</v>
      </c>
      <c r="Q51" s="1"/>
      <c r="R51" s="5">
        <f t="shared" si="32"/>
        <v>-1.6895491866011128</v>
      </c>
      <c r="S51" s="1"/>
      <c r="T51" s="1">
        <f>SUM(OSRRefT22_4x_0)</f>
        <v>-39000</v>
      </c>
      <c r="U51" s="1"/>
      <c r="V51" s="5">
        <f t="shared" si="33"/>
        <v>0</v>
      </c>
      <c r="W51" s="1"/>
      <c r="X51" s="1">
        <f t="shared" si="34"/>
        <v>30721.530000000002</v>
      </c>
      <c r="Y51" s="1"/>
      <c r="Z51" s="5">
        <f t="shared" si="35"/>
        <v>-0.78773153846153854</v>
      </c>
    </row>
    <row r="52" spans="1:26" s="24" customFormat="1" hidden="1" outlineLevel="2" x14ac:dyDescent="0.25">
      <c r="A52" s="27"/>
      <c r="B52" s="11" t="str">
        <f>CONCATENATE("          ", "6305", " - ", "FREIGHT OUT")</f>
        <v xml:space="preserve">          6305 - FREIGHT OUT</v>
      </c>
      <c r="C52" s="11"/>
      <c r="D52" s="6">
        <v>3195.83</v>
      </c>
      <c r="E52" s="2"/>
      <c r="F52" s="7">
        <f t="shared" si="28"/>
        <v>2.7099610782759118</v>
      </c>
      <c r="G52" s="2"/>
      <c r="H52" s="6">
        <v>-10000</v>
      </c>
      <c r="I52" s="2"/>
      <c r="J52" s="7">
        <f t="shared" si="29"/>
        <v>0</v>
      </c>
      <c r="K52" s="2"/>
      <c r="L52" s="6">
        <f t="shared" si="30"/>
        <v>13195.83</v>
      </c>
      <c r="M52" s="2"/>
      <c r="N52" s="7">
        <f t="shared" si="31"/>
        <v>-1.319583</v>
      </c>
      <c r="O52" s="11"/>
      <c r="P52" s="6">
        <v>15325.150000000001</v>
      </c>
      <c r="Q52" s="2"/>
      <c r="R52" s="7">
        <f t="shared" si="32"/>
        <v>3.1277029109291998</v>
      </c>
      <c r="S52" s="2"/>
      <c r="T52" s="6">
        <v>-39000</v>
      </c>
      <c r="U52" s="2"/>
      <c r="V52" s="7">
        <f t="shared" si="33"/>
        <v>0</v>
      </c>
      <c r="W52" s="2"/>
      <c r="X52" s="6">
        <f t="shared" si="34"/>
        <v>54325.15</v>
      </c>
      <c r="Y52" s="2"/>
      <c r="Z52" s="7">
        <f t="shared" si="35"/>
        <v>-1.3929525641025642</v>
      </c>
    </row>
    <row r="53" spans="1:26" s="24" customFormat="1" hidden="1" outlineLevel="2" x14ac:dyDescent="0.25">
      <c r="A53" s="27"/>
      <c r="B53" s="11" t="str">
        <f>CONCATENATE("          ", "6307", " - ", "POSTAGE")</f>
        <v xml:space="preserve">          6307 - POSTAGE</v>
      </c>
      <c r="C53" s="11"/>
      <c r="D53" s="6">
        <v>-2961.08</v>
      </c>
      <c r="E53" s="2"/>
      <c r="F53" s="7">
        <f t="shared" si="28"/>
        <v>-2.5109006266482377</v>
      </c>
      <c r="G53" s="2"/>
      <c r="H53" s="6"/>
      <c r="I53" s="2"/>
      <c r="J53" s="7">
        <f t="shared" si="29"/>
        <v>0</v>
      </c>
      <c r="K53" s="2"/>
      <c r="L53" s="6">
        <f t="shared" si="30"/>
        <v>-2961.08</v>
      </c>
      <c r="M53" s="2"/>
      <c r="N53" s="7">
        <f t="shared" si="31"/>
        <v>0</v>
      </c>
      <c r="O53" s="11"/>
      <c r="P53" s="6">
        <v>-23603.62</v>
      </c>
      <c r="Q53" s="2"/>
      <c r="R53" s="7">
        <f t="shared" si="32"/>
        <v>-4.8172520975303126</v>
      </c>
      <c r="S53" s="2"/>
      <c r="T53" s="6"/>
      <c r="U53" s="2"/>
      <c r="V53" s="7">
        <f t="shared" si="33"/>
        <v>0</v>
      </c>
      <c r="W53" s="2"/>
      <c r="X53" s="6">
        <f t="shared" si="34"/>
        <v>-23603.62</v>
      </c>
      <c r="Y53" s="2"/>
      <c r="Z53" s="7">
        <f t="shared" si="35"/>
        <v>0</v>
      </c>
    </row>
    <row r="54" spans="1:26" s="26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SUM(OSRRefD22_5x_0)</f>
        <v>0</v>
      </c>
      <c r="E54" s="1"/>
      <c r="F54" s="5">
        <f t="shared" ref="F54:F60" si="36">IF(D$12=0,0,D54/D$12)</f>
        <v>0</v>
      </c>
      <c r="G54" s="1"/>
      <c r="H54" s="1">
        <f>SUM(OSRRefH22_5x_0)</f>
        <v>100</v>
      </c>
      <c r="I54" s="1"/>
      <c r="J54" s="5">
        <f t="shared" ref="J54:J60" si="37">IF(H$12=0,0,H54/H$12)</f>
        <v>0</v>
      </c>
      <c r="K54" s="1"/>
      <c r="L54" s="1">
        <f t="shared" ref="L54:L60" si="38">+D54-H54</f>
        <v>-100</v>
      </c>
      <c r="M54" s="1"/>
      <c r="N54" s="5">
        <f t="shared" ref="N54:N60" si="39">IF(H54=0,0,L54/H54)</f>
        <v>-1</v>
      </c>
      <c r="O54" s="13"/>
      <c r="P54" s="1">
        <f>SUM(OSRRefP22_5x_0)</f>
        <v>80.17</v>
      </c>
      <c r="Q54" s="1"/>
      <c r="R54" s="5">
        <f t="shared" ref="R54:R60" si="40">IF(P$12=0,0,P54/P$12)</f>
        <v>1.6361858929223788E-2</v>
      </c>
      <c r="S54" s="1"/>
      <c r="T54" s="1">
        <f>SUM(OSRRefT22_5x_0)</f>
        <v>300</v>
      </c>
      <c r="U54" s="1"/>
      <c r="V54" s="5">
        <f t="shared" ref="V54:V60" si="41">IF(T$12=0,0,T54/T$12)</f>
        <v>0</v>
      </c>
      <c r="W54" s="1"/>
      <c r="X54" s="1">
        <f t="shared" ref="X54:X60" si="42">+P54-T54</f>
        <v>-219.82999999999998</v>
      </c>
      <c r="Y54" s="1"/>
      <c r="Z54" s="5">
        <f t="shared" ref="Z54:Z60" si="43">IF(T54=0,0,X54/T54)</f>
        <v>-0.73276666666666657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6"/>
        <v>0</v>
      </c>
      <c r="G55" s="2"/>
      <c r="H55" s="6">
        <v>100</v>
      </c>
      <c r="I55" s="2"/>
      <c r="J55" s="7">
        <f t="shared" si="37"/>
        <v>0</v>
      </c>
      <c r="K55" s="2"/>
      <c r="L55" s="6">
        <f t="shared" si="38"/>
        <v>-100</v>
      </c>
      <c r="M55" s="2"/>
      <c r="N55" s="7">
        <f t="shared" si="39"/>
        <v>-1</v>
      </c>
      <c r="O55" s="11"/>
      <c r="P55" s="6">
        <v>80.17</v>
      </c>
      <c r="Q55" s="2"/>
      <c r="R55" s="7">
        <f t="shared" si="40"/>
        <v>1.6361858929223788E-2</v>
      </c>
      <c r="S55" s="2"/>
      <c r="T55" s="6">
        <v>300</v>
      </c>
      <c r="U55" s="2"/>
      <c r="V55" s="7">
        <f t="shared" si="41"/>
        <v>0</v>
      </c>
      <c r="W55" s="2"/>
      <c r="X55" s="6">
        <f t="shared" si="42"/>
        <v>-219.82999999999998</v>
      </c>
      <c r="Y55" s="2"/>
      <c r="Z55" s="7">
        <f t="shared" si="43"/>
        <v>-0.73276666666666657</v>
      </c>
    </row>
    <row r="56" spans="1:26" s="26" customFormat="1" outlineLevel="1" collapsed="1" x14ac:dyDescent="0.25">
      <c r="A56" s="25"/>
      <c r="B56" s="13" t="str">
        <f>CONCATENATE("     ","Inventory Adjustment                              ")</f>
        <v xml:space="preserve">     Inventory Adjustment                              </v>
      </c>
      <c r="C56" s="13"/>
      <c r="D56" s="1">
        <f>SUM(OSRRefD22_6x_0)</f>
        <v>100</v>
      </c>
      <c r="E56" s="1"/>
      <c r="F56" s="5">
        <f t="shared" si="36"/>
        <v>8.4796784505931533E-2</v>
      </c>
      <c r="G56" s="1"/>
      <c r="H56" s="1">
        <f>SUM(OSRRefH22_6x_0)</f>
        <v>100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3"/>
      <c r="P56" s="1">
        <f>SUM(OSRRefP22_6x_0)</f>
        <v>300</v>
      </c>
      <c r="Q56" s="1"/>
      <c r="R56" s="5">
        <f t="shared" si="40"/>
        <v>6.1226863898804246E-2</v>
      </c>
      <c r="S56" s="1"/>
      <c r="T56" s="1">
        <f>SUM(OSRRefT22_6x_0)</f>
        <v>300</v>
      </c>
      <c r="U56" s="1"/>
      <c r="V56" s="5">
        <f t="shared" si="41"/>
        <v>0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7"/>
      <c r="B57" s="11" t="str">
        <f>CONCATENATE("          ", "6408", " - ", "INVENTORY ADJUSTMENT")</f>
        <v xml:space="preserve">          6408 - INVENTORY ADJUSTMENT</v>
      </c>
      <c r="C57" s="11"/>
      <c r="D57" s="6">
        <v>100</v>
      </c>
      <c r="E57" s="2"/>
      <c r="F57" s="7">
        <f t="shared" si="36"/>
        <v>8.4796784505931533E-2</v>
      </c>
      <c r="G57" s="2"/>
      <c r="H57" s="6">
        <v>100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300</v>
      </c>
      <c r="Q57" s="2"/>
      <c r="R57" s="7">
        <f t="shared" si="40"/>
        <v>6.1226863898804246E-2</v>
      </c>
      <c r="S57" s="2"/>
      <c r="T57" s="6">
        <v>300</v>
      </c>
      <c r="U57" s="2"/>
      <c r="V57" s="7">
        <f t="shared" si="41"/>
        <v>0</v>
      </c>
      <c r="W57" s="2"/>
      <c r="X57" s="6">
        <f t="shared" si="42"/>
        <v>0</v>
      </c>
      <c r="Y57" s="2"/>
      <c r="Z57" s="7">
        <f t="shared" si="43"/>
        <v>0</v>
      </c>
    </row>
    <row r="58" spans="1:26" s="26" customFormat="1" outlineLevel="1" collapsed="1" x14ac:dyDescent="0.25">
      <c r="A58" s="25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SUM(OSRRefD22_7x_0)</f>
        <v>400.86</v>
      </c>
      <c r="E58" s="1"/>
      <c r="F58" s="5">
        <f t="shared" si="36"/>
        <v>0.33991639037047716</v>
      </c>
      <c r="G58" s="1"/>
      <c r="H58" s="1">
        <f>SUM(OSRRefH22_7x_0)</f>
        <v>750</v>
      </c>
      <c r="I58" s="1"/>
      <c r="J58" s="5">
        <f t="shared" si="37"/>
        <v>0</v>
      </c>
      <c r="K58" s="1"/>
      <c r="L58" s="1">
        <f t="shared" si="38"/>
        <v>-349.14</v>
      </c>
      <c r="M58" s="1"/>
      <c r="N58" s="5">
        <f t="shared" si="39"/>
        <v>-0.46551999999999999</v>
      </c>
      <c r="O58" s="13"/>
      <c r="P58" s="1">
        <f>SUM(OSRRefP22_7x_0)</f>
        <v>5174.63</v>
      </c>
      <c r="Q58" s="1"/>
      <c r="R58" s="5">
        <f t="shared" si="40"/>
        <v>1.0560878891222314</v>
      </c>
      <c r="S58" s="1"/>
      <c r="T58" s="1">
        <f>SUM(OSRRefT22_7x_0)</f>
        <v>3000</v>
      </c>
      <c r="U58" s="1"/>
      <c r="V58" s="5">
        <f t="shared" si="41"/>
        <v>0</v>
      </c>
      <c r="W58" s="1"/>
      <c r="X58" s="1">
        <f t="shared" si="42"/>
        <v>2174.63</v>
      </c>
      <c r="Y58" s="1"/>
      <c r="Z58" s="5">
        <f t="shared" si="43"/>
        <v>0.72487666666666672</v>
      </c>
    </row>
    <row r="59" spans="1:26" s="24" customFormat="1" hidden="1" outlineLevel="2" x14ac:dyDescent="0.25">
      <c r="A59" s="27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115.02</v>
      </c>
      <c r="Q59" s="2"/>
      <c r="R59" s="7">
        <f t="shared" si="40"/>
        <v>2.3474379618801548E-2</v>
      </c>
      <c r="S59" s="2"/>
      <c r="T59" s="6"/>
      <c r="U59" s="2"/>
      <c r="V59" s="7">
        <f t="shared" si="41"/>
        <v>0</v>
      </c>
      <c r="W59" s="2"/>
      <c r="X59" s="6">
        <f t="shared" si="42"/>
        <v>115.02</v>
      </c>
      <c r="Y59" s="2"/>
      <c r="Z59" s="7">
        <f t="shared" si="43"/>
        <v>0</v>
      </c>
    </row>
    <row r="60" spans="1:26" s="24" customFormat="1" hidden="1" outlineLevel="2" x14ac:dyDescent="0.25">
      <c r="A60" s="27"/>
      <c r="B60" s="11" t="str">
        <f>CONCATENATE("          ", "6247", " - ", "STORE SUPPLIES")</f>
        <v xml:space="preserve">          6247 - STORE SUPPLIES</v>
      </c>
      <c r="C60" s="11"/>
      <c r="D60" s="6">
        <v>400.86</v>
      </c>
      <c r="E60" s="2"/>
      <c r="F60" s="7">
        <f t="shared" si="36"/>
        <v>0.33991639037047716</v>
      </c>
      <c r="G60" s="2"/>
      <c r="H60" s="6">
        <v>750</v>
      </c>
      <c r="I60" s="2"/>
      <c r="J60" s="7">
        <f t="shared" si="37"/>
        <v>0</v>
      </c>
      <c r="K60" s="2"/>
      <c r="L60" s="6">
        <f t="shared" si="38"/>
        <v>-349.14</v>
      </c>
      <c r="M60" s="2"/>
      <c r="N60" s="7">
        <f t="shared" si="39"/>
        <v>-0.46551999999999999</v>
      </c>
      <c r="O60" s="11"/>
      <c r="P60" s="6">
        <v>5059.6099999999997</v>
      </c>
      <c r="Q60" s="2"/>
      <c r="R60" s="7">
        <f t="shared" si="40"/>
        <v>1.0326135095034297</v>
      </c>
      <c r="S60" s="2"/>
      <c r="T60" s="6">
        <v>3000</v>
      </c>
      <c r="U60" s="2"/>
      <c r="V60" s="7">
        <f t="shared" si="41"/>
        <v>0</v>
      </c>
      <c r="W60" s="2"/>
      <c r="X60" s="6">
        <f t="shared" si="42"/>
        <v>2059.6099999999997</v>
      </c>
      <c r="Y60" s="2"/>
      <c r="Z60" s="7">
        <f t="shared" si="43"/>
        <v>0.68653666666666657</v>
      </c>
    </row>
    <row r="61" spans="1:26" s="26" customFormat="1" outlineLevel="1" collapsed="1" x14ac:dyDescent="0.25">
      <c r="A61" s="25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SUM(OSRRefD22_8x_0)</f>
        <v>86.3</v>
      </c>
      <c r="E61" s="1"/>
      <c r="F61" s="5">
        <f t="shared" ref="F61:F62" si="44">IF(D$12=0,0,D61/D$12)</f>
        <v>7.3179625028618911E-2</v>
      </c>
      <c r="G61" s="1"/>
      <c r="H61" s="1">
        <f>SUM(OSRRefH22_8x_0)</f>
        <v>0</v>
      </c>
      <c r="I61" s="1"/>
      <c r="J61" s="5">
        <f t="shared" ref="J61:J62" si="45">IF(H$12=0,0,H61/H$12)</f>
        <v>0</v>
      </c>
      <c r="K61" s="1"/>
      <c r="L61" s="1">
        <f t="shared" ref="L61:L62" si="46">+D61-H61</f>
        <v>86.3</v>
      </c>
      <c r="M61" s="1"/>
      <c r="N61" s="5">
        <f t="shared" ref="N61:N62" si="47">IF(H61=0,0,L61/H61)</f>
        <v>0</v>
      </c>
      <c r="O61" s="13"/>
      <c r="P61" s="1">
        <f>SUM(OSRRefP22_8x_0)</f>
        <v>232.6</v>
      </c>
      <c r="Q61" s="1"/>
      <c r="R61" s="5">
        <f t="shared" ref="R61:R62" si="48">IF(P$12=0,0,P61/P$12)</f>
        <v>4.7471228476206224E-2</v>
      </c>
      <c r="S61" s="1"/>
      <c r="T61" s="1">
        <f>SUM(OSRRefT22_8x_0)</f>
        <v>0</v>
      </c>
      <c r="U61" s="1"/>
      <c r="V61" s="5">
        <f t="shared" ref="V61:V62" si="49">IF(T$12=0,0,T61/T$12)</f>
        <v>0</v>
      </c>
      <c r="W61" s="1"/>
      <c r="X61" s="1">
        <f t="shared" ref="X61:X62" si="50">+P61-T61</f>
        <v>232.6</v>
      </c>
      <c r="Y61" s="1"/>
      <c r="Z61" s="5">
        <f t="shared" ref="Z61:Z62" si="51">IF(T61=0,0,X61/T61)</f>
        <v>0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6">
        <v>86.3</v>
      </c>
      <c r="E62" s="2"/>
      <c r="F62" s="7">
        <f t="shared" si="44"/>
        <v>7.3179625028618911E-2</v>
      </c>
      <c r="G62" s="2"/>
      <c r="H62" s="6"/>
      <c r="I62" s="2"/>
      <c r="J62" s="7">
        <f t="shared" si="45"/>
        <v>0</v>
      </c>
      <c r="K62" s="2"/>
      <c r="L62" s="6">
        <f t="shared" si="46"/>
        <v>86.3</v>
      </c>
      <c r="M62" s="2"/>
      <c r="N62" s="7">
        <f t="shared" si="47"/>
        <v>0</v>
      </c>
      <c r="O62" s="11"/>
      <c r="P62" s="6">
        <v>232.6</v>
      </c>
      <c r="Q62" s="2"/>
      <c r="R62" s="7">
        <f t="shared" si="48"/>
        <v>4.7471228476206224E-2</v>
      </c>
      <c r="S62" s="2"/>
      <c r="T62" s="6"/>
      <c r="U62" s="2"/>
      <c r="V62" s="7">
        <f t="shared" si="49"/>
        <v>0</v>
      </c>
      <c r="W62" s="2"/>
      <c r="X62" s="6">
        <f t="shared" si="50"/>
        <v>232.6</v>
      </c>
      <c r="Y62" s="2"/>
      <c r="Z62" s="7">
        <f t="shared" si="51"/>
        <v>0</v>
      </c>
    </row>
    <row r="63" spans="1:26" s="61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9" t="s">
        <v>0</v>
      </c>
      <c r="C64" s="10"/>
      <c r="D64" s="4">
        <f>SUM(OSRRefD25x_0)</f>
        <v>61106.55</v>
      </c>
      <c r="E64" s="4"/>
      <c r="F64" s="12">
        <f t="shared" ref="F64:F69" si="52">IF(D$12=0,0,D64/D$12)</f>
        <v>51.816389522509311</v>
      </c>
      <c r="G64" s="4"/>
      <c r="H64" s="4">
        <f>SUM(OSRRefH25x_0)</f>
        <v>14000</v>
      </c>
      <c r="I64" s="4"/>
      <c r="J64" s="12">
        <f t="shared" ref="J64:J69" si="53">IF(H$12=0,0,H64/H$12)</f>
        <v>0</v>
      </c>
      <c r="K64" s="4"/>
      <c r="L64" s="4">
        <f t="shared" ref="L64:L69" si="54">+D64-H64</f>
        <v>47106.55</v>
      </c>
      <c r="M64" s="4"/>
      <c r="N64" s="12">
        <f t="shared" ref="N64:N69" si="55">IF(H64=0,0,L64/H64)</f>
        <v>3.3647535714285715</v>
      </c>
      <c r="O64" s="10"/>
      <c r="P64" s="4">
        <f>SUM(OSRRefP25x_0)</f>
        <v>84428.4</v>
      </c>
      <c r="Q64" s="4"/>
      <c r="R64" s="12">
        <f t="shared" ref="R64:R69" si="56">IF(P$12=0,0,P64/P$12)</f>
        <v>17.23095385331268</v>
      </c>
      <c r="S64" s="4"/>
      <c r="T64" s="4">
        <f>SUM(OSRRefT25x_0)</f>
        <v>55000</v>
      </c>
      <c r="U64" s="4"/>
      <c r="V64" s="12">
        <f t="shared" ref="V64:V69" si="57">IF(T$12=0,0,T64/T$12)</f>
        <v>0</v>
      </c>
      <c r="W64" s="4"/>
      <c r="X64" s="4">
        <f t="shared" ref="X64:X69" si="58">+P64-T64</f>
        <v>29428.399999999994</v>
      </c>
      <c r="Y64" s="4"/>
      <c r="Z64" s="12">
        <f t="shared" ref="Z64:Z69" si="59">IF(T64=0,0,X64/T64)</f>
        <v>0.53506181818181808</v>
      </c>
    </row>
    <row r="65" spans="1:26" s="24" customFormat="1" hidden="1" outlineLevel="1" x14ac:dyDescent="0.25">
      <c r="A65" s="44"/>
      <c r="B65" s="11" t="str">
        <f>CONCATENATE("          ", "4098", " - ", "TAXABLE SALES-GRAD RENTALS")</f>
        <v xml:space="preserve">          4098 - TAXABLE SALES-GRAD RENTALS</v>
      </c>
      <c r="C65" s="11"/>
      <c r="D65" s="2">
        <f t="shared" ref="D65:D68" si="60">0</f>
        <v>0</v>
      </c>
      <c r="E65" s="2"/>
      <c r="F65" s="19">
        <f t="shared" si="52"/>
        <v>0</v>
      </c>
      <c r="G65" s="2"/>
      <c r="H65" s="2"/>
      <c r="I65" s="2"/>
      <c r="J65" s="19">
        <f t="shared" si="53"/>
        <v>0</v>
      </c>
      <c r="K65" s="2"/>
      <c r="L65" s="2">
        <f t="shared" si="54"/>
        <v>0</v>
      </c>
      <c r="M65" s="2"/>
      <c r="N65" s="19">
        <f t="shared" si="55"/>
        <v>0</v>
      </c>
      <c r="O65" s="11"/>
      <c r="P65" s="2">
        <f>--1626.85</f>
        <v>1626.85</v>
      </c>
      <c r="Q65" s="2"/>
      <c r="R65" s="19">
        <f t="shared" si="56"/>
        <v>0.33202307844589896</v>
      </c>
      <c r="S65" s="2"/>
      <c r="T65" s="2"/>
      <c r="U65" s="2"/>
      <c r="V65" s="19">
        <f t="shared" si="57"/>
        <v>0</v>
      </c>
      <c r="W65" s="2"/>
      <c r="X65" s="2">
        <f t="shared" si="58"/>
        <v>1626.85</v>
      </c>
      <c r="Y65" s="2"/>
      <c r="Z65" s="19">
        <f t="shared" si="59"/>
        <v>0</v>
      </c>
    </row>
    <row r="66" spans="1:26" s="24" customFormat="1" hidden="1" outlineLevel="1" x14ac:dyDescent="0.25">
      <c r="A66" s="44"/>
      <c r="B66" s="11" t="str">
        <f>CONCATENATE("          ", "4197", " - ", "NON-TAXABLE SALES-RETURNED CHE")</f>
        <v xml:space="preserve">          4197 - NON-TAXABLE SALES-RETURNED CHE</v>
      </c>
      <c r="C66" s="11"/>
      <c r="D66" s="2">
        <f t="shared" si="60"/>
        <v>0</v>
      </c>
      <c r="E66" s="2"/>
      <c r="F66" s="19">
        <f t="shared" si="52"/>
        <v>0</v>
      </c>
      <c r="G66" s="2"/>
      <c r="H66" s="2"/>
      <c r="I66" s="2"/>
      <c r="J66" s="19">
        <f t="shared" si="53"/>
        <v>0</v>
      </c>
      <c r="K66" s="2"/>
      <c r="L66" s="2">
        <f t="shared" si="54"/>
        <v>0</v>
      </c>
      <c r="M66" s="2"/>
      <c r="N66" s="19">
        <f t="shared" si="55"/>
        <v>0</v>
      </c>
      <c r="O66" s="11"/>
      <c r="P66" s="2">
        <f>--30</f>
        <v>30</v>
      </c>
      <c r="Q66" s="2"/>
      <c r="R66" s="19">
        <f t="shared" si="56"/>
        <v>6.1226863898804244E-3</v>
      </c>
      <c r="S66" s="2"/>
      <c r="T66" s="2"/>
      <c r="U66" s="2"/>
      <c r="V66" s="19">
        <f t="shared" si="57"/>
        <v>0</v>
      </c>
      <c r="W66" s="2"/>
      <c r="X66" s="2">
        <f t="shared" si="58"/>
        <v>30</v>
      </c>
      <c r="Y66" s="2"/>
      <c r="Z66" s="19">
        <f t="shared" si="59"/>
        <v>0</v>
      </c>
    </row>
    <row r="67" spans="1:26" s="24" customFormat="1" hidden="1" outlineLevel="1" x14ac:dyDescent="0.25">
      <c r="A67" s="44"/>
      <c r="B67" s="11" t="str">
        <f>CONCATENATE("          ", "4198", " - ", "NON-TAXABLE SALES-GRAD RENTALS")</f>
        <v xml:space="preserve">          4198 - NON-TAXABLE SALES-GRAD RENTALS</v>
      </c>
      <c r="C67" s="11"/>
      <c r="D67" s="2">
        <f t="shared" si="60"/>
        <v>0</v>
      </c>
      <c r="E67" s="2"/>
      <c r="F67" s="19">
        <f t="shared" si="52"/>
        <v>0</v>
      </c>
      <c r="G67" s="2"/>
      <c r="H67" s="2"/>
      <c r="I67" s="2"/>
      <c r="J67" s="19">
        <f t="shared" si="53"/>
        <v>0</v>
      </c>
      <c r="K67" s="2"/>
      <c r="L67" s="2">
        <f t="shared" si="54"/>
        <v>0</v>
      </c>
      <c r="M67" s="2"/>
      <c r="N67" s="19">
        <f t="shared" si="55"/>
        <v>0</v>
      </c>
      <c r="O67" s="11"/>
      <c r="P67" s="2">
        <f>--495</f>
        <v>495</v>
      </c>
      <c r="Q67" s="2"/>
      <c r="R67" s="19">
        <f t="shared" si="56"/>
        <v>0.101024325433027</v>
      </c>
      <c r="S67" s="2"/>
      <c r="T67" s="2"/>
      <c r="U67" s="2"/>
      <c r="V67" s="19">
        <f t="shared" si="57"/>
        <v>0</v>
      </c>
      <c r="W67" s="2"/>
      <c r="X67" s="2">
        <f t="shared" si="58"/>
        <v>495</v>
      </c>
      <c r="Y67" s="2"/>
      <c r="Z67" s="19">
        <f t="shared" si="59"/>
        <v>0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 t="shared" si="60"/>
        <v>0</v>
      </c>
      <c r="E68" s="2"/>
      <c r="F68" s="19">
        <f t="shared" si="52"/>
        <v>0</v>
      </c>
      <c r="G68" s="2"/>
      <c r="H68" s="2">
        <v>14000</v>
      </c>
      <c r="I68" s="2"/>
      <c r="J68" s="19">
        <f t="shared" si="53"/>
        <v>0</v>
      </c>
      <c r="K68" s="2"/>
      <c r="L68" s="2">
        <f t="shared" si="54"/>
        <v>-14000</v>
      </c>
      <c r="M68" s="2"/>
      <c r="N68" s="19">
        <f t="shared" si="55"/>
        <v>-1</v>
      </c>
      <c r="O68" s="11"/>
      <c r="P68" s="2">
        <f>--21170</f>
        <v>21170</v>
      </c>
      <c r="Q68" s="2"/>
      <c r="R68" s="19">
        <f t="shared" si="56"/>
        <v>4.3205756957922858</v>
      </c>
      <c r="S68" s="2"/>
      <c r="T68" s="2">
        <v>55000</v>
      </c>
      <c r="U68" s="2"/>
      <c r="V68" s="19">
        <f t="shared" si="57"/>
        <v>0</v>
      </c>
      <c r="W68" s="2"/>
      <c r="X68" s="2">
        <f t="shared" si="58"/>
        <v>-33830</v>
      </c>
      <c r="Y68" s="2"/>
      <c r="Z68" s="19">
        <f t="shared" si="59"/>
        <v>-0.61509090909090913</v>
      </c>
    </row>
    <row r="69" spans="1:26" s="24" customFormat="1" hidden="1" outlineLevel="1" x14ac:dyDescent="0.25">
      <c r="A69" s="44"/>
      <c r="B69" s="11" t="str">
        <f>CONCATENATE("          ", "9163", " - ", "MISC. INCOME")</f>
        <v xml:space="preserve">          9163 - MISC. INCOME</v>
      </c>
      <c r="C69" s="11"/>
      <c r="D69" s="2">
        <f>--61106.55</f>
        <v>61106.55</v>
      </c>
      <c r="E69" s="2"/>
      <c r="F69" s="19">
        <f t="shared" si="52"/>
        <v>51.816389522509311</v>
      </c>
      <c r="G69" s="2"/>
      <c r="H69" s="2"/>
      <c r="I69" s="2"/>
      <c r="J69" s="19">
        <f t="shared" si="53"/>
        <v>0</v>
      </c>
      <c r="K69" s="2"/>
      <c r="L69" s="2">
        <f t="shared" si="54"/>
        <v>61106.55</v>
      </c>
      <c r="M69" s="2"/>
      <c r="N69" s="19">
        <f t="shared" si="55"/>
        <v>0</v>
      </c>
      <c r="O69" s="11"/>
      <c r="P69" s="2">
        <f>--61106.55</f>
        <v>61106.55</v>
      </c>
      <c r="Q69" s="2"/>
      <c r="R69" s="19">
        <f t="shared" si="56"/>
        <v>12.47120806725159</v>
      </c>
      <c r="S69" s="2"/>
      <c r="T69" s="2"/>
      <c r="U69" s="2"/>
      <c r="V69" s="19">
        <f t="shared" si="57"/>
        <v>0</v>
      </c>
      <c r="W69" s="2"/>
      <c r="X69" s="2">
        <f t="shared" si="58"/>
        <v>61106.55</v>
      </c>
      <c r="Y69" s="2"/>
      <c r="Z69" s="19">
        <f t="shared" si="59"/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2">
        <f>+D24-D26+D64</f>
        <v>60674.12</v>
      </c>
      <c r="E71" s="14"/>
      <c r="F71" s="20">
        <f>IF(D$12=0,0,D71/D$12)</f>
        <v>51.449702787270311</v>
      </c>
      <c r="G71" s="14"/>
      <c r="H71" s="22">
        <f>+H24-H26+H64</f>
        <v>19384.241759855766</v>
      </c>
      <c r="I71" s="14"/>
      <c r="J71" s="20">
        <f>IF(H$12=0,0,H71/H$12)</f>
        <v>0</v>
      </c>
      <c r="K71" s="16"/>
      <c r="L71" s="22">
        <f>+D71-H71</f>
        <v>41289.878240144237</v>
      </c>
      <c r="M71" s="16"/>
      <c r="N71" s="20">
        <f>IF(H71=0,0,L71/H71)</f>
        <v>2.1300744569568071</v>
      </c>
      <c r="O71" s="29"/>
      <c r="P71" s="22">
        <f>+P24-P26+P64</f>
        <v>87167.639999999985</v>
      </c>
      <c r="Q71" s="14"/>
      <c r="R71" s="20">
        <f>IF(P$12=0,0,P71/P$12)</f>
        <v>17.79000410219988</v>
      </c>
      <c r="S71" s="14"/>
      <c r="T71" s="22">
        <f>+T24-T26+T64</f>
        <v>76899.27033548076</v>
      </c>
      <c r="U71" s="14"/>
      <c r="V71" s="20">
        <f>IF(T$12=0,0,T71/T$12)</f>
        <v>0</v>
      </c>
      <c r="W71" s="16"/>
      <c r="X71" s="22">
        <f>+P71-T71</f>
        <v>10268.369664519225</v>
      </c>
      <c r="Y71" s="16"/>
      <c r="Z71" s="20">
        <f>IF(T71=0,0,X71/T71)</f>
        <v>0.13353013129672667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93.6</v>
      </c>
      <c r="E73" s="4"/>
      <c r="F73" s="12">
        <f>IF(D$12=0,0,D73/D$12)</f>
        <v>7.9369790297551909E-2</v>
      </c>
      <c r="G73" s="4"/>
      <c r="H73" s="4">
        <v>0</v>
      </c>
      <c r="I73" s="4"/>
      <c r="J73" s="12">
        <f>IF(H$12=0,0,H73/H$12)</f>
        <v>0</v>
      </c>
      <c r="K73" s="4"/>
      <c r="L73" s="4">
        <f>+D73-H73</f>
        <v>93.6</v>
      </c>
      <c r="M73" s="4"/>
      <c r="N73" s="12">
        <f>IF(H73=0,0,L73/H73)</f>
        <v>0</v>
      </c>
      <c r="O73" s="10"/>
      <c r="P73" s="4">
        <v>493.23</v>
      </c>
      <c r="Q73" s="4"/>
      <c r="R73" s="12">
        <f>IF(P$12=0,0,P73/P$12)</f>
        <v>0.10066308693602406</v>
      </c>
      <c r="S73" s="4"/>
      <c r="T73" s="4">
        <v>0</v>
      </c>
      <c r="U73" s="4"/>
      <c r="V73" s="12">
        <f>IF(T$12=0,0,T73/T$12)</f>
        <v>0</v>
      </c>
      <c r="W73" s="4"/>
      <c r="X73" s="4">
        <f>+P73-T73</f>
        <v>493.23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1">
        <f>+D71-D73</f>
        <v>60580.520000000004</v>
      </c>
      <c r="E75" s="14"/>
      <c r="F75" s="33">
        <f>IF(D$12=0,0,D75/D$12)</f>
        <v>51.370332996972763</v>
      </c>
      <c r="G75" s="14"/>
      <c r="H75" s="31">
        <f>+H71-H73</f>
        <v>19384.241759855766</v>
      </c>
      <c r="I75" s="14"/>
      <c r="J75" s="33">
        <f>IF(H$12=0,0,H75/H$12)</f>
        <v>0</v>
      </c>
      <c r="K75" s="16"/>
      <c r="L75" s="31">
        <f>D75-H75</f>
        <v>41196.278240144238</v>
      </c>
      <c r="M75" s="16"/>
      <c r="N75" s="33">
        <f>IF(H75=0,0,L75/H75)</f>
        <v>2.125245792459141</v>
      </c>
      <c r="O75" s="29"/>
      <c r="P75" s="31">
        <f>+P71-P73</f>
        <v>86674.409999999989</v>
      </c>
      <c r="Q75" s="14"/>
      <c r="R75" s="33">
        <f>IF(P$12=0,0,P75/P$12)</f>
        <v>17.689341015263857</v>
      </c>
      <c r="S75" s="14"/>
      <c r="T75" s="31">
        <f>+T71-T73</f>
        <v>76899.27033548076</v>
      </c>
      <c r="U75" s="14"/>
      <c r="V75" s="33">
        <f>IF(T$12=0,0,T75/T$12)</f>
        <v>0</v>
      </c>
      <c r="W75" s="16"/>
      <c r="X75" s="31">
        <f>P75-T75</f>
        <v>9775.139664519229</v>
      </c>
      <c r="Y75" s="16"/>
      <c r="Z75" s="33">
        <f>IF(T75=0,0,X75/T75)</f>
        <v>0.12711615626356668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2">
        <f>SUM(D75:D77)</f>
        <v>60580.520000000004</v>
      </c>
      <c r="E78" s="14"/>
      <c r="F78" s="34">
        <f>IF(D$12=0,0,D78/D$12)</f>
        <v>51.370332996972763</v>
      </c>
      <c r="G78" s="14"/>
      <c r="H78" s="32">
        <f>SUM(H75:H77)</f>
        <v>19384.241759855766</v>
      </c>
      <c r="I78" s="14"/>
      <c r="J78" s="34">
        <f>IF(H$12=0,0,H78/H$12)</f>
        <v>0</v>
      </c>
      <c r="K78" s="16"/>
      <c r="L78" s="32">
        <f>+D78-H78</f>
        <v>41196.278240144238</v>
      </c>
      <c r="M78" s="16"/>
      <c r="N78" s="34">
        <f>IF(H78=0,0,L78/H78)</f>
        <v>2.125245792459141</v>
      </c>
      <c r="O78" s="29"/>
      <c r="P78" s="32">
        <f>SUM(P75:P77)</f>
        <v>86674.409999999989</v>
      </c>
      <c r="Q78" s="14"/>
      <c r="R78" s="34">
        <f>IF(P$12=0,0,P78/P$12)</f>
        <v>17.689341015263857</v>
      </c>
      <c r="S78" s="14"/>
      <c r="T78" s="32">
        <f>SUM(T75:T77)</f>
        <v>76899.27033548076</v>
      </c>
      <c r="U78" s="14"/>
      <c r="V78" s="34">
        <f>IF(T$12=0,0,T78/T$12)</f>
        <v>0</v>
      </c>
      <c r="W78" s="16"/>
      <c r="X78" s="32">
        <f>+P78-T78</f>
        <v>9775.139664519229</v>
      </c>
      <c r="Y78" s="16"/>
      <c r="Z78" s="34">
        <f>IF(T78=0,0,X78/T78)</f>
        <v>0.12711615626356668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0">
        <v>43791.348273530093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4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5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146226.72000000003</v>
      </c>
      <c r="E12" s="4"/>
      <c r="F12" s="12"/>
      <c r="G12" s="4"/>
      <c r="H12" s="4">
        <f>SUM(OSRRefH13x_0)</f>
        <v>135028</v>
      </c>
      <c r="I12" s="4"/>
      <c r="J12" s="12"/>
      <c r="K12" s="4"/>
      <c r="L12" s="4">
        <f t="shared" ref="L12:L38" si="0">+D12-H12</f>
        <v>11198.72000000003</v>
      </c>
      <c r="M12" s="4"/>
      <c r="N12" s="12">
        <f t="shared" ref="N12:N38" si="1">IF(H12=0,0,L12/H12)</f>
        <v>8.2936279882691227E-2</v>
      </c>
      <c r="O12" s="10"/>
      <c r="P12" s="4">
        <f>SUM(OSRRefP13x_0)</f>
        <v>1338404.7999999996</v>
      </c>
      <c r="Q12" s="4"/>
      <c r="R12" s="12"/>
      <c r="S12" s="4"/>
      <c r="T12" s="4">
        <f>SUM(OSRRefT13x_0)</f>
        <v>1135580</v>
      </c>
      <c r="U12" s="4"/>
      <c r="V12" s="12"/>
      <c r="W12" s="4"/>
      <c r="X12" s="4">
        <f t="shared" ref="X12:X38" si="2">+P12-T12</f>
        <v>202824.79999999958</v>
      </c>
      <c r="Y12" s="4"/>
      <c r="Z12" s="12">
        <f t="shared" ref="Z12:Z38" si="3">IF(T12=0,0,X12/T12)</f>
        <v>0.1786089927614079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118824</v>
      </c>
      <c r="I13" s="2"/>
      <c r="J13" s="19"/>
      <c r="K13" s="2"/>
      <c r="L13" s="2">
        <f t="shared" si="0"/>
        <v>-118824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999308.99999999988</v>
      </c>
      <c r="U13" s="2"/>
      <c r="V13" s="19"/>
      <c r="W13" s="2"/>
      <c r="X13" s="2">
        <f t="shared" si="2"/>
        <v>-999308.99999999988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--24779.49</f>
        <v>24779.49</v>
      </c>
      <c r="E14" s="2"/>
      <c r="F14" s="19"/>
      <c r="G14" s="2"/>
      <c r="H14" s="2"/>
      <c r="I14" s="2"/>
      <c r="J14" s="19"/>
      <c r="K14" s="2"/>
      <c r="L14" s="2">
        <f t="shared" si="0"/>
        <v>24779.49</v>
      </c>
      <c r="M14" s="2"/>
      <c r="N14" s="19">
        <f t="shared" si="1"/>
        <v>0</v>
      </c>
      <c r="O14" s="11"/>
      <c r="P14" s="2">
        <f>--213456.81</f>
        <v>213456.81</v>
      </c>
      <c r="Q14" s="2"/>
      <c r="R14" s="19"/>
      <c r="S14" s="2"/>
      <c r="T14" s="2"/>
      <c r="U14" s="2"/>
      <c r="V14" s="19"/>
      <c r="W14" s="2"/>
      <c r="X14" s="2">
        <f t="shared" si="2"/>
        <v>213456.81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--109645.14</f>
        <v>109645.14</v>
      </c>
      <c r="E15" s="2"/>
      <c r="F15" s="19"/>
      <c r="G15" s="2"/>
      <c r="H15" s="2"/>
      <c r="I15" s="2"/>
      <c r="J15" s="19"/>
      <c r="K15" s="2"/>
      <c r="L15" s="2">
        <f t="shared" si="0"/>
        <v>109645.14</v>
      </c>
      <c r="M15" s="2"/>
      <c r="N15" s="19">
        <f t="shared" si="1"/>
        <v>0</v>
      </c>
      <c r="O15" s="11"/>
      <c r="P15" s="2">
        <f>--1148399.63</f>
        <v>1148399.6299999999</v>
      </c>
      <c r="Q15" s="2"/>
      <c r="R15" s="19"/>
      <c r="S15" s="2"/>
      <c r="T15" s="2"/>
      <c r="U15" s="2"/>
      <c r="V15" s="19"/>
      <c r="W15" s="2"/>
      <c r="X15" s="2">
        <f t="shared" si="2"/>
        <v>1148399.6299999999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--12650.01</f>
        <v>12650.01</v>
      </c>
      <c r="E16" s="2"/>
      <c r="F16" s="19"/>
      <c r="G16" s="2"/>
      <c r="H16" s="2"/>
      <c r="I16" s="2"/>
      <c r="J16" s="19"/>
      <c r="K16" s="2"/>
      <c r="L16" s="2">
        <f t="shared" si="0"/>
        <v>12650.01</v>
      </c>
      <c r="M16" s="2"/>
      <c r="N16" s="19">
        <f t="shared" si="1"/>
        <v>0</v>
      </c>
      <c r="O16" s="11"/>
      <c r="P16" s="2">
        <f>--53606.22</f>
        <v>53606.22</v>
      </c>
      <c r="Q16" s="2"/>
      <c r="R16" s="19"/>
      <c r="S16" s="2"/>
      <c r="T16" s="2"/>
      <c r="U16" s="2"/>
      <c r="V16" s="19"/>
      <c r="W16" s="2"/>
      <c r="X16" s="2">
        <f t="shared" si="2"/>
        <v>53606.22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--3913.99</f>
        <v>3913.99</v>
      </c>
      <c r="E18" s="2"/>
      <c r="F18" s="19"/>
      <c r="G18" s="2"/>
      <c r="H18" s="2"/>
      <c r="I18" s="2"/>
      <c r="J18" s="19"/>
      <c r="K18" s="2"/>
      <c r="L18" s="2">
        <f t="shared" si="0"/>
        <v>3913.99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--6615.09</f>
        <v>6615.09</v>
      </c>
      <c r="E19" s="2"/>
      <c r="F19" s="19"/>
      <c r="G19" s="2"/>
      <c r="H19" s="2"/>
      <c r="I19" s="2"/>
      <c r="J19" s="19"/>
      <c r="K19" s="2"/>
      <c r="L19" s="2">
        <f t="shared" si="0"/>
        <v>6615.09</v>
      </c>
      <c r="M19" s="2"/>
      <c r="N19" s="19">
        <f t="shared" si="1"/>
        <v>0</v>
      </c>
      <c r="O19" s="11"/>
      <c r="P19" s="2">
        <f>--26598.3</f>
        <v>26598.3</v>
      </c>
      <c r="Q19" s="2"/>
      <c r="R19" s="19"/>
      <c r="S19" s="2"/>
      <c r="T19" s="2"/>
      <c r="U19" s="2"/>
      <c r="V19" s="19"/>
      <c r="W19" s="2"/>
      <c r="X19" s="2">
        <f t="shared" si="2"/>
        <v>26598.3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--281.98</f>
        <v>281.98</v>
      </c>
      <c r="E20" s="2"/>
      <c r="F20" s="19"/>
      <c r="G20" s="2"/>
      <c r="H20" s="2"/>
      <c r="I20" s="2"/>
      <c r="J20" s="19"/>
      <c r="K20" s="2"/>
      <c r="L20" s="2">
        <f t="shared" si="0"/>
        <v>281.98</v>
      </c>
      <c r="M20" s="2"/>
      <c r="N20" s="19">
        <f t="shared" si="1"/>
        <v>0</v>
      </c>
      <c r="O20" s="11"/>
      <c r="P20" s="2">
        <f>--817.94</f>
        <v>817.94</v>
      </c>
      <c r="Q20" s="2"/>
      <c r="R20" s="19"/>
      <c r="S20" s="2"/>
      <c r="T20" s="2"/>
      <c r="U20" s="2"/>
      <c r="V20" s="19"/>
      <c r="W20" s="2"/>
      <c r="X20" s="2">
        <f t="shared" si="2"/>
        <v>817.94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16204</v>
      </c>
      <c r="I21" s="2"/>
      <c r="J21" s="19"/>
      <c r="K21" s="2"/>
      <c r="L21" s="2">
        <f t="shared" si="0"/>
        <v>-16204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136271</v>
      </c>
      <c r="U21" s="2"/>
      <c r="V21" s="19"/>
      <c r="W21" s="2"/>
      <c r="X21" s="2">
        <f t="shared" si="2"/>
        <v>-136271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--7.99</f>
        <v>7.99</v>
      </c>
      <c r="E22" s="2"/>
      <c r="F22" s="19"/>
      <c r="G22" s="2"/>
      <c r="H22" s="2"/>
      <c r="I22" s="2"/>
      <c r="J22" s="19"/>
      <c r="K22" s="2"/>
      <c r="L22" s="2">
        <f t="shared" si="0"/>
        <v>7.99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--10758</f>
        <v>10758</v>
      </c>
      <c r="E23" s="2"/>
      <c r="F23" s="19"/>
      <c r="G23" s="2"/>
      <c r="H23" s="2"/>
      <c r="I23" s="2"/>
      <c r="J23" s="19"/>
      <c r="K23" s="2"/>
      <c r="L23" s="2">
        <f t="shared" si="0"/>
        <v>10758</v>
      </c>
      <c r="M23" s="2"/>
      <c r="N23" s="19">
        <f t="shared" si="1"/>
        <v>0</v>
      </c>
      <c r="O23" s="11"/>
      <c r="P23" s="2">
        <f>--56560</f>
        <v>56560</v>
      </c>
      <c r="Q23" s="2"/>
      <c r="R23" s="19"/>
      <c r="S23" s="2"/>
      <c r="T23" s="2"/>
      <c r="U23" s="2"/>
      <c r="V23" s="19"/>
      <c r="W23" s="2"/>
      <c r="X23" s="2">
        <f t="shared" si="2"/>
        <v>56560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--1033.81</f>
        <v>1033.81</v>
      </c>
      <c r="E24" s="2"/>
      <c r="F24" s="19"/>
      <c r="G24" s="2"/>
      <c r="H24" s="2"/>
      <c r="I24" s="2"/>
      <c r="J24" s="19"/>
      <c r="K24" s="2"/>
      <c r="L24" s="2">
        <f t="shared" si="0"/>
        <v>1033.81</v>
      </c>
      <c r="M24" s="2"/>
      <c r="N24" s="19">
        <f t="shared" si="1"/>
        <v>0</v>
      </c>
      <c r="O24" s="11"/>
      <c r="P24" s="2">
        <f>--3054.92</f>
        <v>3054.92</v>
      </c>
      <c r="Q24" s="2"/>
      <c r="R24" s="19"/>
      <c r="S24" s="2"/>
      <c r="T24" s="2"/>
      <c r="U24" s="2"/>
      <c r="V24" s="19"/>
      <c r="W24" s="2"/>
      <c r="X24" s="2">
        <f t="shared" si="2"/>
        <v>3054.92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--1522</f>
        <v>1522</v>
      </c>
      <c r="Q25" s="2"/>
      <c r="R25" s="19"/>
      <c r="S25" s="2"/>
      <c r="T25" s="2"/>
      <c r="U25" s="2"/>
      <c r="V25" s="19"/>
      <c r="W25" s="2"/>
      <c r="X25" s="2">
        <f t="shared" si="2"/>
        <v>1522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--1389.95</f>
        <v>1389.95</v>
      </c>
      <c r="E26" s="2"/>
      <c r="F26" s="19"/>
      <c r="G26" s="2"/>
      <c r="H26" s="2"/>
      <c r="I26" s="2"/>
      <c r="J26" s="19"/>
      <c r="K26" s="2"/>
      <c r="L26" s="2">
        <f t="shared" si="0"/>
        <v>1389.95</v>
      </c>
      <c r="M26" s="2"/>
      <c r="N26" s="19">
        <f t="shared" si="1"/>
        <v>0</v>
      </c>
      <c r="O26" s="11"/>
      <c r="P26" s="2">
        <f>--8467.89</f>
        <v>8467.89</v>
      </c>
      <c r="Q26" s="2"/>
      <c r="R26" s="19"/>
      <c r="S26" s="2"/>
      <c r="T26" s="2"/>
      <c r="U26" s="2"/>
      <c r="V26" s="19"/>
      <c r="W26" s="2"/>
      <c r="X26" s="2">
        <f t="shared" si="2"/>
        <v>8467.89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--792.62</f>
        <v>792.62</v>
      </c>
      <c r="E27" s="2"/>
      <c r="F27" s="19"/>
      <c r="G27" s="2"/>
      <c r="H27" s="2"/>
      <c r="I27" s="2"/>
      <c r="J27" s="19"/>
      <c r="K27" s="2"/>
      <c r="L27" s="2">
        <f t="shared" si="0"/>
        <v>792.62</v>
      </c>
      <c r="M27" s="2"/>
      <c r="N27" s="19">
        <f t="shared" si="1"/>
        <v>0</v>
      </c>
      <c r="O27" s="11"/>
      <c r="P27" s="2">
        <f>--1553.38</f>
        <v>1553.38</v>
      </c>
      <c r="Q27" s="2"/>
      <c r="R27" s="19"/>
      <c r="S27" s="2"/>
      <c r="T27" s="2"/>
      <c r="U27" s="2"/>
      <c r="V27" s="19"/>
      <c r="W27" s="2"/>
      <c r="X27" s="2">
        <f t="shared" si="2"/>
        <v>1553.38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-1281.68</f>
        <v>-1281.68</v>
      </c>
      <c r="E29" s="2"/>
      <c r="F29" s="19"/>
      <c r="G29" s="2"/>
      <c r="H29" s="2"/>
      <c r="I29" s="2"/>
      <c r="J29" s="19"/>
      <c r="K29" s="2"/>
      <c r="L29" s="2">
        <f t="shared" si="0"/>
        <v>-1281.68</v>
      </c>
      <c r="M29" s="2"/>
      <c r="N29" s="19">
        <f t="shared" si="1"/>
        <v>0</v>
      </c>
      <c r="O29" s="11"/>
      <c r="P29" s="2">
        <f>-4556.15</f>
        <v>-4556.1499999999996</v>
      </c>
      <c r="Q29" s="2"/>
      <c r="R29" s="19"/>
      <c r="S29" s="2"/>
      <c r="T29" s="2"/>
      <c r="U29" s="2"/>
      <c r="V29" s="19"/>
      <c r="W29" s="2"/>
      <c r="X29" s="2">
        <f t="shared" si="2"/>
        <v>-4556.1499999999996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-22491.01</f>
        <v>-22491.01</v>
      </c>
      <c r="E30" s="2"/>
      <c r="F30" s="19"/>
      <c r="G30" s="2"/>
      <c r="H30" s="2"/>
      <c r="I30" s="2"/>
      <c r="J30" s="19"/>
      <c r="K30" s="2"/>
      <c r="L30" s="2">
        <f t="shared" si="0"/>
        <v>-22491.01</v>
      </c>
      <c r="M30" s="2"/>
      <c r="N30" s="19">
        <f t="shared" si="1"/>
        <v>0</v>
      </c>
      <c r="O30" s="11"/>
      <c r="P30" s="2">
        <f>-170137.86</f>
        <v>-170137.86</v>
      </c>
      <c r="Q30" s="2"/>
      <c r="R30" s="19"/>
      <c r="S30" s="2"/>
      <c r="T30" s="2"/>
      <c r="U30" s="2"/>
      <c r="V30" s="19"/>
      <c r="W30" s="2"/>
      <c r="X30" s="2">
        <f t="shared" si="2"/>
        <v>-170137.86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-1247.85</f>
        <v>-1247.8499999999999</v>
      </c>
      <c r="E31" s="2"/>
      <c r="F31" s="19"/>
      <c r="G31" s="2"/>
      <c r="H31" s="2"/>
      <c r="I31" s="2"/>
      <c r="J31" s="19"/>
      <c r="K31" s="2"/>
      <c r="L31" s="2">
        <f t="shared" si="0"/>
        <v>-1247.8499999999999</v>
      </c>
      <c r="M31" s="2"/>
      <c r="N31" s="19">
        <f t="shared" si="1"/>
        <v>0</v>
      </c>
      <c r="O31" s="11"/>
      <c r="P31" s="2">
        <f>-2532.33</f>
        <v>-2532.33</v>
      </c>
      <c r="Q31" s="2"/>
      <c r="R31" s="19"/>
      <c r="S31" s="2"/>
      <c r="T31" s="2"/>
      <c r="U31" s="2"/>
      <c r="V31" s="19"/>
      <c r="W31" s="2"/>
      <c r="X31" s="2">
        <f t="shared" si="2"/>
        <v>-2532.33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-248.99</f>
        <v>-248.99</v>
      </c>
      <c r="E33" s="2"/>
      <c r="F33" s="19"/>
      <c r="G33" s="2"/>
      <c r="H33" s="2"/>
      <c r="I33" s="2"/>
      <c r="J33" s="19"/>
      <c r="K33" s="2"/>
      <c r="L33" s="2">
        <f t="shared" si="0"/>
        <v>-248.99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-307.86</f>
        <v>-307.86</v>
      </c>
      <c r="E34" s="2"/>
      <c r="F34" s="19"/>
      <c r="G34" s="2"/>
      <c r="H34" s="2"/>
      <c r="I34" s="2"/>
      <c r="J34" s="19"/>
      <c r="K34" s="2"/>
      <c r="L34" s="2">
        <f t="shared" si="0"/>
        <v>-307.86</v>
      </c>
      <c r="M34" s="2"/>
      <c r="N34" s="19">
        <f t="shared" si="1"/>
        <v>0</v>
      </c>
      <c r="O34" s="11"/>
      <c r="P34" s="2">
        <f>-2451.6</f>
        <v>-2451.6</v>
      </c>
      <c r="Q34" s="2"/>
      <c r="R34" s="19"/>
      <c r="S34" s="2"/>
      <c r="T34" s="2"/>
      <c r="U34" s="2"/>
      <c r="V34" s="19"/>
      <c r="W34" s="2"/>
      <c r="X34" s="2">
        <f t="shared" si="2"/>
        <v>-2451.6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>-3.99</f>
        <v>-3.99</v>
      </c>
      <c r="E35" s="2"/>
      <c r="F35" s="19"/>
      <c r="G35" s="2"/>
      <c r="H35" s="2"/>
      <c r="I35" s="2"/>
      <c r="J35" s="19"/>
      <c r="K35" s="2"/>
      <c r="L35" s="2">
        <f t="shared" si="0"/>
        <v>-3.99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>-24.99</f>
        <v>-24.99</v>
      </c>
      <c r="E37" s="2"/>
      <c r="F37" s="19"/>
      <c r="G37" s="2"/>
      <c r="H37" s="2"/>
      <c r="I37" s="2"/>
      <c r="J37" s="19"/>
      <c r="K37" s="2"/>
      <c r="L37" s="2">
        <f t="shared" si="0"/>
        <v>-24.99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>-34.98</f>
        <v>-34.979999999999997</v>
      </c>
      <c r="E38" s="2"/>
      <c r="F38" s="19"/>
      <c r="G38" s="2"/>
      <c r="H38" s="2"/>
      <c r="I38" s="2"/>
      <c r="J38" s="19"/>
      <c r="K38" s="2"/>
      <c r="L38" s="2">
        <f t="shared" si="0"/>
        <v>-34.979999999999997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123920.84999999999</v>
      </c>
      <c r="E40" s="4"/>
      <c r="F40" s="12">
        <f t="shared" ref="F40:F54" si="4">IF(D$12=0,0,D40/D$12)</f>
        <v>0.84745694904460667</v>
      </c>
      <c r="G40" s="4"/>
      <c r="H40" s="4">
        <f>SUM(OSRRefH16x_0)</f>
        <v>105451</v>
      </c>
      <c r="I40" s="4"/>
      <c r="J40" s="12">
        <f t="shared" ref="J40:J54" si="5">IF(H$12=0,0,H40/H$12)</f>
        <v>0.78095654234677248</v>
      </c>
      <c r="K40" s="4"/>
      <c r="L40" s="4">
        <f t="shared" ref="L40:L54" si="6">+D40-H40</f>
        <v>18469.849999999991</v>
      </c>
      <c r="M40" s="4"/>
      <c r="N40" s="12">
        <f t="shared" ref="N40:N54" si="7">IF(H40=0,0,L40/H40)</f>
        <v>0.175151018008364</v>
      </c>
      <c r="O40" s="10"/>
      <c r="P40" s="4">
        <f>SUM(OSRRefP16x_0)</f>
        <v>1200081</v>
      </c>
      <c r="Q40" s="4"/>
      <c r="R40" s="12">
        <f t="shared" ref="R40:R54" si="8">IF(P$12=0,0,P40/P$12)</f>
        <v>0.89665025110489771</v>
      </c>
      <c r="S40" s="4"/>
      <c r="T40" s="4">
        <f>SUM(OSRRefT16x_0)</f>
        <v>886846</v>
      </c>
      <c r="U40" s="4"/>
      <c r="V40" s="12">
        <f t="shared" ref="V40:V54" si="9">IF(T$12=0,0,T40/T$12)</f>
        <v>0.78096303210694096</v>
      </c>
      <c r="W40" s="4"/>
      <c r="X40" s="4">
        <f t="shared" ref="X40:X54" si="10">+P40-T40</f>
        <v>313235</v>
      </c>
      <c r="Y40" s="4"/>
      <c r="Z40" s="12">
        <f t="shared" ref="Z40:Z54" si="11">IF(T40=0,0,X40/T40)</f>
        <v>0.35320111947282845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4"/>
        <v>0</v>
      </c>
      <c r="G41" s="2"/>
      <c r="H41" s="2">
        <v>105451</v>
      </c>
      <c r="I41" s="2"/>
      <c r="J41" s="19">
        <f t="shared" si="5"/>
        <v>0.78095654234677248</v>
      </c>
      <c r="K41" s="2"/>
      <c r="L41" s="2">
        <f t="shared" si="6"/>
        <v>-105451</v>
      </c>
      <c r="M41" s="2"/>
      <c r="N41" s="19">
        <f t="shared" si="7"/>
        <v>-1</v>
      </c>
      <c r="O41" s="11"/>
      <c r="P41" s="2"/>
      <c r="Q41" s="2"/>
      <c r="R41" s="19">
        <f t="shared" si="8"/>
        <v>0</v>
      </c>
      <c r="S41" s="2"/>
      <c r="T41" s="2">
        <v>886846</v>
      </c>
      <c r="U41" s="2"/>
      <c r="V41" s="19">
        <f t="shared" si="9"/>
        <v>0.78096303210694096</v>
      </c>
      <c r="W41" s="2"/>
      <c r="X41" s="2">
        <f t="shared" si="10"/>
        <v>-886846</v>
      </c>
      <c r="Y41" s="2"/>
      <c r="Z41" s="19">
        <f t="shared" si="11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18487.53</v>
      </c>
      <c r="E42" s="2"/>
      <c r="F42" s="19">
        <f t="shared" si="4"/>
        <v>0.12643058669441531</v>
      </c>
      <c r="G42" s="2"/>
      <c r="H42" s="2"/>
      <c r="I42" s="2"/>
      <c r="J42" s="19">
        <f t="shared" si="5"/>
        <v>0</v>
      </c>
      <c r="K42" s="2"/>
      <c r="L42" s="2">
        <f t="shared" si="6"/>
        <v>18487.53</v>
      </c>
      <c r="M42" s="2"/>
      <c r="N42" s="19">
        <f t="shared" si="7"/>
        <v>0</v>
      </c>
      <c r="O42" s="11"/>
      <c r="P42" s="2">
        <v>168173.62</v>
      </c>
      <c r="Q42" s="2"/>
      <c r="R42" s="19">
        <f t="shared" si="8"/>
        <v>0.12565228397268155</v>
      </c>
      <c r="S42" s="2"/>
      <c r="T42" s="2"/>
      <c r="U42" s="2"/>
      <c r="V42" s="19">
        <f t="shared" si="9"/>
        <v>0</v>
      </c>
      <c r="W42" s="2"/>
      <c r="X42" s="2">
        <f t="shared" si="10"/>
        <v>168173.62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94594.73</v>
      </c>
      <c r="E43" s="2"/>
      <c r="F43" s="19">
        <f t="shared" si="4"/>
        <v>0.64690454658355179</v>
      </c>
      <c r="G43" s="2"/>
      <c r="H43" s="2"/>
      <c r="I43" s="2"/>
      <c r="J43" s="19">
        <f t="shared" si="5"/>
        <v>0</v>
      </c>
      <c r="K43" s="2"/>
      <c r="L43" s="2">
        <f t="shared" si="6"/>
        <v>94594.73</v>
      </c>
      <c r="M43" s="2"/>
      <c r="N43" s="19">
        <f t="shared" si="7"/>
        <v>0</v>
      </c>
      <c r="O43" s="11"/>
      <c r="P43" s="2">
        <v>895637.7</v>
      </c>
      <c r="Q43" s="2"/>
      <c r="R43" s="19">
        <f t="shared" si="8"/>
        <v>0.66918297065282506</v>
      </c>
      <c r="S43" s="2"/>
      <c r="T43" s="2"/>
      <c r="U43" s="2"/>
      <c r="V43" s="19">
        <f t="shared" si="9"/>
        <v>0</v>
      </c>
      <c r="W43" s="2"/>
      <c r="X43" s="2">
        <f t="shared" si="10"/>
        <v>895637.7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14096.28</v>
      </c>
      <c r="E44" s="2"/>
      <c r="F44" s="19">
        <f t="shared" si="4"/>
        <v>9.6400165441719532E-2</v>
      </c>
      <c r="G44" s="2"/>
      <c r="H44" s="2"/>
      <c r="I44" s="2"/>
      <c r="J44" s="19">
        <f t="shared" si="5"/>
        <v>0</v>
      </c>
      <c r="K44" s="2"/>
      <c r="L44" s="2">
        <f t="shared" si="6"/>
        <v>14096.28</v>
      </c>
      <c r="M44" s="2"/>
      <c r="N44" s="19">
        <f t="shared" si="7"/>
        <v>0</v>
      </c>
      <c r="O44" s="11"/>
      <c r="P44" s="2">
        <v>41808.689999999995</v>
      </c>
      <c r="Q44" s="2"/>
      <c r="R44" s="19">
        <f t="shared" si="8"/>
        <v>3.1237701777519035E-2</v>
      </c>
      <c r="S44" s="2"/>
      <c r="T44" s="2"/>
      <c r="U44" s="2"/>
      <c r="V44" s="19">
        <f t="shared" si="9"/>
        <v>0</v>
      </c>
      <c r="W44" s="2"/>
      <c r="X44" s="2">
        <f t="shared" si="10"/>
        <v>41808.689999999995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>
        <v>1206</v>
      </c>
      <c r="E45" s="2"/>
      <c r="F45" s="19">
        <f t="shared" si="4"/>
        <v>8.2474666736694884E-3</v>
      </c>
      <c r="G45" s="2"/>
      <c r="H45" s="2"/>
      <c r="I45" s="2"/>
      <c r="J45" s="19">
        <f t="shared" si="5"/>
        <v>0</v>
      </c>
      <c r="K45" s="2"/>
      <c r="L45" s="2">
        <f t="shared" si="6"/>
        <v>1206</v>
      </c>
      <c r="M45" s="2"/>
      <c r="N45" s="19">
        <f t="shared" si="7"/>
        <v>0</v>
      </c>
      <c r="O45" s="11"/>
      <c r="P45" s="2">
        <v>2728</v>
      </c>
      <c r="Q45" s="2"/>
      <c r="R45" s="19">
        <f t="shared" si="8"/>
        <v>2.0382473224841999E-3</v>
      </c>
      <c r="S45" s="2"/>
      <c r="T45" s="2"/>
      <c r="U45" s="2"/>
      <c r="V45" s="19">
        <f t="shared" si="9"/>
        <v>0</v>
      </c>
      <c r="W45" s="2"/>
      <c r="X45" s="2">
        <f t="shared" si="10"/>
        <v>2728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506.04</v>
      </c>
      <c r="E46" s="2"/>
      <c r="F46" s="19">
        <f t="shared" si="4"/>
        <v>3.4606534291407201E-3</v>
      </c>
      <c r="G46" s="2"/>
      <c r="H46" s="2"/>
      <c r="I46" s="2"/>
      <c r="J46" s="19">
        <f t="shared" si="5"/>
        <v>0</v>
      </c>
      <c r="K46" s="2"/>
      <c r="L46" s="2">
        <f t="shared" si="6"/>
        <v>506.04</v>
      </c>
      <c r="M46" s="2"/>
      <c r="N46" s="19">
        <f t="shared" si="7"/>
        <v>0</v>
      </c>
      <c r="O46" s="11"/>
      <c r="P46" s="2">
        <v>6932.04</v>
      </c>
      <c r="Q46" s="2"/>
      <c r="R46" s="19">
        <f t="shared" si="8"/>
        <v>5.1793299007893588E-3</v>
      </c>
      <c r="S46" s="2"/>
      <c r="T46" s="2"/>
      <c r="U46" s="2"/>
      <c r="V46" s="19">
        <f t="shared" si="9"/>
        <v>0</v>
      </c>
      <c r="W46" s="2"/>
      <c r="X46" s="2">
        <f t="shared" si="10"/>
        <v>6932.04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5888.35</v>
      </c>
      <c r="E47" s="2"/>
      <c r="F47" s="19">
        <f t="shared" si="4"/>
        <v>4.0268632162439255E-2</v>
      </c>
      <c r="G47" s="2"/>
      <c r="H47" s="2"/>
      <c r="I47" s="2"/>
      <c r="J47" s="19">
        <f t="shared" si="5"/>
        <v>0</v>
      </c>
      <c r="K47" s="2"/>
      <c r="L47" s="2">
        <f t="shared" si="6"/>
        <v>5888.35</v>
      </c>
      <c r="M47" s="2"/>
      <c r="N47" s="19">
        <f t="shared" si="7"/>
        <v>0</v>
      </c>
      <c r="O47" s="11"/>
      <c r="P47" s="2">
        <v>18368.099999999999</v>
      </c>
      <c r="Q47" s="2"/>
      <c r="R47" s="19">
        <f t="shared" si="8"/>
        <v>1.3723874869546198E-2</v>
      </c>
      <c r="S47" s="2"/>
      <c r="T47" s="2"/>
      <c r="U47" s="2"/>
      <c r="V47" s="19">
        <f t="shared" si="9"/>
        <v>0</v>
      </c>
      <c r="W47" s="2"/>
      <c r="X47" s="2">
        <f t="shared" si="10"/>
        <v>18368.099999999999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88.75</v>
      </c>
      <c r="Q48" s="2"/>
      <c r="R48" s="19">
        <f t="shared" si="8"/>
        <v>6.6310282210583848E-5</v>
      </c>
      <c r="S48" s="2"/>
      <c r="T48" s="2"/>
      <c r="U48" s="2"/>
      <c r="V48" s="19">
        <f t="shared" si="9"/>
        <v>0</v>
      </c>
      <c r="W48" s="2"/>
      <c r="X48" s="2">
        <f t="shared" si="10"/>
        <v>88.75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-134851</v>
      </c>
      <c r="E49" s="2"/>
      <c r="F49" s="19">
        <f t="shared" si="4"/>
        <v>-0.92220491576368513</v>
      </c>
      <c r="G49" s="2"/>
      <c r="H49" s="2"/>
      <c r="I49" s="2"/>
      <c r="J49" s="19">
        <f t="shared" si="5"/>
        <v>0</v>
      </c>
      <c r="K49" s="2"/>
      <c r="L49" s="2">
        <f t="shared" si="6"/>
        <v>-134851</v>
      </c>
      <c r="M49" s="2"/>
      <c r="N49" s="19">
        <f t="shared" si="7"/>
        <v>0</v>
      </c>
      <c r="O49" s="11"/>
      <c r="P49" s="2">
        <v>-1134049</v>
      </c>
      <c r="Q49" s="2"/>
      <c r="R49" s="19">
        <f t="shared" si="8"/>
        <v>-0.84731390682400454</v>
      </c>
      <c r="S49" s="2"/>
      <c r="T49" s="2"/>
      <c r="U49" s="2"/>
      <c r="V49" s="19">
        <f t="shared" si="9"/>
        <v>0</v>
      </c>
      <c r="W49" s="2"/>
      <c r="X49" s="2">
        <f t="shared" si="10"/>
        <v>-1134049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123920</v>
      </c>
      <c r="E50" s="2"/>
      <c r="F50" s="19">
        <f t="shared" si="4"/>
        <v>0.84745113615350176</v>
      </c>
      <c r="G50" s="2"/>
      <c r="H50" s="2"/>
      <c r="I50" s="2"/>
      <c r="J50" s="19">
        <f t="shared" si="5"/>
        <v>0</v>
      </c>
      <c r="K50" s="2"/>
      <c r="L50" s="2">
        <f t="shared" si="6"/>
        <v>123920</v>
      </c>
      <c r="M50" s="2"/>
      <c r="N50" s="19">
        <f t="shared" si="7"/>
        <v>0</v>
      </c>
      <c r="O50" s="11"/>
      <c r="P50" s="2">
        <v>1200079</v>
      </c>
      <c r="Q50" s="2"/>
      <c r="R50" s="19">
        <f t="shared" si="8"/>
        <v>0.89664875678867884</v>
      </c>
      <c r="S50" s="2"/>
      <c r="T50" s="2"/>
      <c r="U50" s="2"/>
      <c r="V50" s="19">
        <f t="shared" si="9"/>
        <v>0</v>
      </c>
      <c r="W50" s="2"/>
      <c r="X50" s="2">
        <f t="shared" si="10"/>
        <v>1200079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>
        <v>12.8</v>
      </c>
      <c r="E51" s="2"/>
      <c r="F51" s="19">
        <f t="shared" si="4"/>
        <v>8.7535301345745823E-5</v>
      </c>
      <c r="G51" s="2"/>
      <c r="H51" s="2"/>
      <c r="I51" s="2"/>
      <c r="J51" s="19">
        <f t="shared" si="5"/>
        <v>0</v>
      </c>
      <c r="K51" s="2"/>
      <c r="L51" s="2">
        <f t="shared" si="6"/>
        <v>12.8</v>
      </c>
      <c r="M51" s="2"/>
      <c r="N51" s="19">
        <f t="shared" si="7"/>
        <v>0</v>
      </c>
      <c r="O51" s="11"/>
      <c r="P51" s="2">
        <v>105.75</v>
      </c>
      <c r="Q51" s="2"/>
      <c r="R51" s="19">
        <f t="shared" si="8"/>
        <v>7.9011970070639342E-5</v>
      </c>
      <c r="S51" s="2"/>
      <c r="T51" s="2"/>
      <c r="U51" s="2"/>
      <c r="V51" s="19">
        <f t="shared" si="9"/>
        <v>0</v>
      </c>
      <c r="W51" s="2"/>
      <c r="X51" s="2">
        <f t="shared" si="10"/>
        <v>105.75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4.84</v>
      </c>
      <c r="Q52" s="2"/>
      <c r="R52" s="19">
        <f t="shared" si="8"/>
        <v>3.6162452495687415E-6</v>
      </c>
      <c r="S52" s="2"/>
      <c r="T52" s="2"/>
      <c r="U52" s="2"/>
      <c r="V52" s="19">
        <f t="shared" si="9"/>
        <v>0</v>
      </c>
      <c r="W52" s="2"/>
      <c r="X52" s="2">
        <f t="shared" si="10"/>
        <v>4.84</v>
      </c>
      <c r="Y52" s="2"/>
      <c r="Z52" s="19">
        <f t="shared" si="11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41</v>
      </c>
      <c r="Q53" s="2"/>
      <c r="R53" s="19">
        <f t="shared" si="8"/>
        <v>3.0633482486016197E-5</v>
      </c>
      <c r="S53" s="2"/>
      <c r="T53" s="2"/>
      <c r="U53" s="2"/>
      <c r="V53" s="19">
        <f t="shared" si="9"/>
        <v>0</v>
      </c>
      <c r="W53" s="2"/>
      <c r="X53" s="2">
        <f t="shared" si="10"/>
        <v>41</v>
      </c>
      <c r="Y53" s="2"/>
      <c r="Z53" s="19">
        <f t="shared" si="11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60.12</v>
      </c>
      <c r="E54" s="2"/>
      <c r="F54" s="19">
        <f t="shared" si="4"/>
        <v>4.1114236850829986E-4</v>
      </c>
      <c r="G54" s="2"/>
      <c r="H54" s="2"/>
      <c r="I54" s="2"/>
      <c r="J54" s="19">
        <f t="shared" si="5"/>
        <v>0</v>
      </c>
      <c r="K54" s="2"/>
      <c r="L54" s="2">
        <f t="shared" si="6"/>
        <v>60.12</v>
      </c>
      <c r="M54" s="2"/>
      <c r="N54" s="19">
        <f t="shared" si="7"/>
        <v>0</v>
      </c>
      <c r="O54" s="11"/>
      <c r="P54" s="2">
        <v>162.51</v>
      </c>
      <c r="Q54" s="2"/>
      <c r="R54" s="19">
        <f t="shared" si="8"/>
        <v>1.214206643610364E-4</v>
      </c>
      <c r="S54" s="2"/>
      <c r="T54" s="2"/>
      <c r="U54" s="2"/>
      <c r="V54" s="19">
        <f t="shared" si="9"/>
        <v>0</v>
      </c>
      <c r="W54" s="2"/>
      <c r="X54" s="2">
        <f t="shared" si="10"/>
        <v>162.51</v>
      </c>
      <c r="Y54" s="2"/>
      <c r="Z54" s="19">
        <f t="shared" si="11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2">
        <f>D12-D40</f>
        <v>22305.870000000039</v>
      </c>
      <c r="E56" s="14"/>
      <c r="F56" s="20">
        <f>IF(D$12=0,0,D56/D$12)</f>
        <v>0.15254305095539333</v>
      </c>
      <c r="G56" s="14"/>
      <c r="H56" s="22">
        <f>H12-H40</f>
        <v>29577</v>
      </c>
      <c r="I56" s="14"/>
      <c r="J56" s="20">
        <f>IF(H$12=0,0,H56/H$12)</f>
        <v>0.21904345765322747</v>
      </c>
      <c r="K56" s="16"/>
      <c r="L56" s="22">
        <f>+D56-H56</f>
        <v>-7271.129999999961</v>
      </c>
      <c r="M56" s="16"/>
      <c r="N56" s="20">
        <f>IF(H56=0,0,L56/H56)</f>
        <v>-0.24583730601480749</v>
      </c>
      <c r="O56" s="29"/>
      <c r="P56" s="22">
        <f>P12-P40</f>
        <v>138323.79999999958</v>
      </c>
      <c r="Q56" s="14"/>
      <c r="R56" s="20">
        <f>IF(P$12=0,0,P56/P$12)</f>
        <v>0.1033497488951023</v>
      </c>
      <c r="S56" s="14"/>
      <c r="T56" s="22">
        <f>T12-T40</f>
        <v>248734</v>
      </c>
      <c r="U56" s="14"/>
      <c r="V56" s="20">
        <f>IF(T$12=0,0,T56/T$12)</f>
        <v>0.21903696789305904</v>
      </c>
      <c r="W56" s="16"/>
      <c r="X56" s="22">
        <f>+P56-T56</f>
        <v>-110410.20000000042</v>
      </c>
      <c r="Y56" s="16"/>
      <c r="Z56" s="20">
        <f>IF(T56=0,0,X56/T56)</f>
        <v>-0.44388865213441031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17525.629999999997</v>
      </c>
      <c r="E58" s="21"/>
      <c r="F58" s="35">
        <f t="shared" ref="F58:F69" si="12">IF(D$12=0,0,D58/D$12)</f>
        <v>0.11985244557219087</v>
      </c>
      <c r="G58" s="21"/>
      <c r="H58" s="21">
        <f>SUM(OSRRefH22x_0)</f>
        <v>18256.615164396157</v>
      </c>
      <c r="I58" s="21"/>
      <c r="J58" s="35">
        <f t="shared" ref="J58:J69" si="13">IF(H$12=0,0,H58/H$12)</f>
        <v>0.13520614364721506</v>
      </c>
      <c r="K58" s="4"/>
      <c r="L58" s="21">
        <f t="shared" ref="L58:L69" si="14">+D58-H58</f>
        <v>-730.98516439615923</v>
      </c>
      <c r="M58" s="4"/>
      <c r="N58" s="35">
        <f t="shared" ref="N58:N69" si="15">IF(H58=0,0,L58/H58)</f>
        <v>-4.0039468314023413E-2</v>
      </c>
      <c r="O58" s="10"/>
      <c r="P58" s="21">
        <f>SUM(OSRRefP22x_0)</f>
        <v>119718.84999999999</v>
      </c>
      <c r="Q58" s="21"/>
      <c r="R58" s="35">
        <f t="shared" ref="R58:R69" si="16">IF(P$12=0,0,P58/P$12)</f>
        <v>8.9448909627341464E-2</v>
      </c>
      <c r="S58" s="21"/>
      <c r="T58" s="21">
        <f>SUM(OSRRefT22x_0)</f>
        <v>68611.547482526148</v>
      </c>
      <c r="U58" s="21"/>
      <c r="V58" s="35">
        <f t="shared" ref="V58:V69" si="17">IF(T$12=0,0,T58/T$12)</f>
        <v>6.0419827297527387E-2</v>
      </c>
      <c r="W58" s="4"/>
      <c r="X58" s="21">
        <f t="shared" ref="X58:X69" si="18">+P58-T58</f>
        <v>51107.302517473843</v>
      </c>
      <c r="Y58" s="4"/>
      <c r="Z58" s="35">
        <f t="shared" ref="Z58:Z69" si="19">IF(T58=0,0,X58/T58)</f>
        <v>0.7448790239061398</v>
      </c>
    </row>
    <row r="59" spans="1:26" s="26" customFormat="1" outlineLevel="1" collapsed="1" x14ac:dyDescent="0.25">
      <c r="A59" s="25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3367.3299999999995</v>
      </c>
      <c r="E59" s="1"/>
      <c r="F59" s="5">
        <f t="shared" si="12"/>
        <v>2.3028144240669551E-2</v>
      </c>
      <c r="G59" s="1"/>
      <c r="H59" s="1">
        <f>SUM(OSRRefH22_0x_0)</f>
        <v>2678.863425934615</v>
      </c>
      <c r="I59" s="1"/>
      <c r="J59" s="5">
        <f t="shared" si="13"/>
        <v>1.9839317963197375E-2</v>
      </c>
      <c r="K59" s="1"/>
      <c r="L59" s="1">
        <f t="shared" si="14"/>
        <v>688.46657406538452</v>
      </c>
      <c r="M59" s="1"/>
      <c r="N59" s="5">
        <f t="shared" si="15"/>
        <v>0.2569995048647129</v>
      </c>
      <c r="O59" s="13"/>
      <c r="P59" s="1">
        <f>SUM(OSRRefP22_0x_0)</f>
        <v>12276.279999999999</v>
      </c>
      <c r="Q59" s="1"/>
      <c r="R59" s="5">
        <f t="shared" si="16"/>
        <v>9.1723221554495336E-3</v>
      </c>
      <c r="S59" s="1"/>
      <c r="T59" s="1">
        <f>SUM(OSRRefT22_0x_0)</f>
        <v>10938.901224064613</v>
      </c>
      <c r="U59" s="1"/>
      <c r="V59" s="5">
        <f t="shared" si="17"/>
        <v>9.6328759084032944E-3</v>
      </c>
      <c r="W59" s="1"/>
      <c r="X59" s="1">
        <f t="shared" si="18"/>
        <v>1337.3787759353854</v>
      </c>
      <c r="Y59" s="1"/>
      <c r="Z59" s="5">
        <f t="shared" si="19"/>
        <v>0.12225896811219673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6">
        <v>1360.46</v>
      </c>
      <c r="E60" s="2"/>
      <c r="F60" s="7">
        <f t="shared" si="12"/>
        <v>9.3037715678776067E-3</v>
      </c>
      <c r="G60" s="2"/>
      <c r="H60" s="6">
        <v>434.26097839615403</v>
      </c>
      <c r="I60" s="2"/>
      <c r="J60" s="7">
        <f t="shared" si="13"/>
        <v>3.2160809491079928E-3</v>
      </c>
      <c r="K60" s="2"/>
      <c r="L60" s="6">
        <f t="shared" si="14"/>
        <v>926.19902160384595</v>
      </c>
      <c r="M60" s="2"/>
      <c r="N60" s="7">
        <f t="shared" si="15"/>
        <v>2.1328165957359451</v>
      </c>
      <c r="O60" s="11"/>
      <c r="P60" s="6">
        <v>3135.16</v>
      </c>
      <c r="Q60" s="2"/>
      <c r="R60" s="7">
        <f t="shared" si="16"/>
        <v>2.342460218313623E-3</v>
      </c>
      <c r="S60" s="2"/>
      <c r="T60" s="6">
        <v>2374.740428926154</v>
      </c>
      <c r="U60" s="2"/>
      <c r="V60" s="7">
        <f t="shared" si="17"/>
        <v>2.0912136784076454E-3</v>
      </c>
      <c r="W60" s="2"/>
      <c r="X60" s="6">
        <f t="shared" si="18"/>
        <v>760.41957107384587</v>
      </c>
      <c r="Y60" s="2"/>
      <c r="Z60" s="7">
        <f t="shared" si="19"/>
        <v>0.32021165842437099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47.99</v>
      </c>
      <c r="E61" s="2"/>
      <c r="F61" s="7">
        <f t="shared" si="12"/>
        <v>3.2818899309237047E-4</v>
      </c>
      <c r="G61" s="2"/>
      <c r="H61" s="6">
        <v>231.31813807692299</v>
      </c>
      <c r="I61" s="2"/>
      <c r="J61" s="7">
        <f t="shared" si="13"/>
        <v>1.7131123772619234E-3</v>
      </c>
      <c r="K61" s="2"/>
      <c r="L61" s="6">
        <f t="shared" si="14"/>
        <v>-183.32813807692298</v>
      </c>
      <c r="M61" s="2"/>
      <c r="N61" s="7">
        <f t="shared" si="15"/>
        <v>-0.79253680494332301</v>
      </c>
      <c r="O61" s="11"/>
      <c r="P61" s="6">
        <v>511.56</v>
      </c>
      <c r="Q61" s="2"/>
      <c r="R61" s="7">
        <f t="shared" si="16"/>
        <v>3.8221620245235236E-4</v>
      </c>
      <c r="S61" s="2"/>
      <c r="T61" s="6">
        <v>834.54535707692196</v>
      </c>
      <c r="U61" s="2"/>
      <c r="V61" s="7">
        <f t="shared" si="17"/>
        <v>7.3490670589207452E-4</v>
      </c>
      <c r="W61" s="2"/>
      <c r="X61" s="6">
        <f t="shared" si="18"/>
        <v>-322.98535707692196</v>
      </c>
      <c r="Y61" s="2"/>
      <c r="Z61" s="7">
        <f t="shared" si="19"/>
        <v>-0.38701953625170266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6">
        <v>964.88</v>
      </c>
      <c r="E62" s="2"/>
      <c r="F62" s="7">
        <f t="shared" si="12"/>
        <v>6.5985204345690024E-3</v>
      </c>
      <c r="G62" s="2"/>
      <c r="H62" s="6">
        <v>1186.2</v>
      </c>
      <c r="I62" s="2"/>
      <c r="J62" s="7">
        <f t="shared" si="13"/>
        <v>8.7848446248185563E-3</v>
      </c>
      <c r="K62" s="2"/>
      <c r="L62" s="6">
        <f t="shared" si="14"/>
        <v>-221.32000000000005</v>
      </c>
      <c r="M62" s="2"/>
      <c r="N62" s="7">
        <f t="shared" si="15"/>
        <v>-0.1865789917383241</v>
      </c>
      <c r="O62" s="11"/>
      <c r="P62" s="6">
        <v>3859.52</v>
      </c>
      <c r="Q62" s="2"/>
      <c r="R62" s="7">
        <f t="shared" si="16"/>
        <v>2.8836716664494937E-3</v>
      </c>
      <c r="S62" s="2"/>
      <c r="T62" s="6">
        <v>4744.8</v>
      </c>
      <c r="U62" s="2"/>
      <c r="V62" s="7">
        <f t="shared" si="17"/>
        <v>4.1783053593758253E-3</v>
      </c>
      <c r="W62" s="2"/>
      <c r="X62" s="6">
        <f t="shared" si="18"/>
        <v>-885.2800000000002</v>
      </c>
      <c r="Y62" s="2"/>
      <c r="Z62" s="7">
        <f t="shared" si="19"/>
        <v>-0.1865789917383241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32.96</v>
      </c>
      <c r="E63" s="2"/>
      <c r="F63" s="7">
        <f t="shared" si="12"/>
        <v>2.254034009652955E-4</v>
      </c>
      <c r="G63" s="2"/>
      <c r="H63" s="6">
        <v>31.654060999999999</v>
      </c>
      <c r="I63" s="2"/>
      <c r="J63" s="7">
        <f t="shared" si="13"/>
        <v>2.3442590425689486E-4</v>
      </c>
      <c r="K63" s="2"/>
      <c r="L63" s="6">
        <f t="shared" si="14"/>
        <v>1.3059390000000022</v>
      </c>
      <c r="M63" s="2"/>
      <c r="N63" s="7">
        <f t="shared" si="15"/>
        <v>4.1256602114970405E-2</v>
      </c>
      <c r="O63" s="11"/>
      <c r="P63" s="6">
        <v>96.4</v>
      </c>
      <c r="Q63" s="2"/>
      <c r="R63" s="7">
        <f t="shared" si="16"/>
        <v>7.202604174760882E-5</v>
      </c>
      <c r="S63" s="2"/>
      <c r="T63" s="6">
        <v>114.2009436</v>
      </c>
      <c r="U63" s="2"/>
      <c r="V63" s="7">
        <f t="shared" si="17"/>
        <v>1.0056618080628402E-4</v>
      </c>
      <c r="W63" s="2"/>
      <c r="X63" s="6">
        <f t="shared" si="18"/>
        <v>-17.800943599999997</v>
      </c>
      <c r="Y63" s="2"/>
      <c r="Z63" s="7">
        <f t="shared" si="19"/>
        <v>-0.15587387493355173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6">
        <v>196.25</v>
      </c>
      <c r="E64" s="2"/>
      <c r="F64" s="7">
        <f t="shared" si="12"/>
        <v>1.342093975711142E-3</v>
      </c>
      <c r="G64" s="2"/>
      <c r="H64" s="6">
        <v>367.528640769231</v>
      </c>
      <c r="I64" s="2"/>
      <c r="J64" s="7">
        <f t="shared" si="13"/>
        <v>2.7218698401015417E-3</v>
      </c>
      <c r="K64" s="2"/>
      <c r="L64" s="6">
        <f t="shared" si="14"/>
        <v>-171.278640769231</v>
      </c>
      <c r="M64" s="2"/>
      <c r="N64" s="7">
        <f t="shared" si="15"/>
        <v>-0.46602800916616405</v>
      </c>
      <c r="O64" s="11"/>
      <c r="P64" s="6">
        <v>759.3</v>
      </c>
      <c r="Q64" s="2"/>
      <c r="R64" s="7">
        <f t="shared" si="16"/>
        <v>5.6731715247883166E-4</v>
      </c>
      <c r="S64" s="2"/>
      <c r="T64" s="6">
        <v>1323.1031067692318</v>
      </c>
      <c r="U64" s="2"/>
      <c r="V64" s="7">
        <f t="shared" si="17"/>
        <v>1.1651342105084906E-3</v>
      </c>
      <c r="W64" s="2"/>
      <c r="X64" s="6">
        <f t="shared" si="18"/>
        <v>-563.80310676923182</v>
      </c>
      <c r="Y64" s="2"/>
      <c r="Z64" s="7">
        <f t="shared" si="19"/>
        <v>-0.42612182216541888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2"/>
        <v>0</v>
      </c>
      <c r="G65" s="2"/>
      <c r="H65" s="6">
        <v>0</v>
      </c>
      <c r="I65" s="2"/>
      <c r="J65" s="7">
        <f t="shared" si="13"/>
        <v>0</v>
      </c>
      <c r="K65" s="2"/>
      <c r="L65" s="6">
        <f t="shared" si="14"/>
        <v>0</v>
      </c>
      <c r="M65" s="2"/>
      <c r="N65" s="7">
        <f t="shared" si="15"/>
        <v>0</v>
      </c>
      <c r="O65" s="11"/>
      <c r="P65" s="6"/>
      <c r="Q65" s="2"/>
      <c r="R65" s="7">
        <f t="shared" si="16"/>
        <v>0</v>
      </c>
      <c r="S65" s="2"/>
      <c r="T65" s="6">
        <v>0</v>
      </c>
      <c r="U65" s="2"/>
      <c r="V65" s="7">
        <f t="shared" si="17"/>
        <v>0</v>
      </c>
      <c r="W65" s="2"/>
      <c r="X65" s="6">
        <f t="shared" si="18"/>
        <v>0</v>
      </c>
      <c r="Y65" s="2"/>
      <c r="Z65" s="7">
        <f t="shared" si="19"/>
        <v>0</v>
      </c>
    </row>
    <row r="66" spans="1:26" s="24" customFormat="1" hidden="1" outlineLevel="2" x14ac:dyDescent="0.25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146.69999999999999</v>
      </c>
      <c r="E66" s="2"/>
      <c r="F66" s="7">
        <f t="shared" si="12"/>
        <v>1.0032366177672586E-3</v>
      </c>
      <c r="G66" s="2"/>
      <c r="H66" s="6"/>
      <c r="I66" s="2"/>
      <c r="J66" s="7">
        <f t="shared" si="13"/>
        <v>0</v>
      </c>
      <c r="K66" s="2"/>
      <c r="L66" s="6">
        <f t="shared" si="14"/>
        <v>146.69999999999999</v>
      </c>
      <c r="M66" s="2"/>
      <c r="N66" s="7">
        <f t="shared" si="15"/>
        <v>0</v>
      </c>
      <c r="O66" s="11"/>
      <c r="P66" s="6">
        <v>698.75</v>
      </c>
      <c r="Q66" s="2"/>
      <c r="R66" s="7">
        <f t="shared" si="16"/>
        <v>5.2207672895375164E-4</v>
      </c>
      <c r="S66" s="2"/>
      <c r="T66" s="6"/>
      <c r="U66" s="2"/>
      <c r="V66" s="7">
        <f t="shared" si="17"/>
        <v>0</v>
      </c>
      <c r="W66" s="2"/>
      <c r="X66" s="6">
        <f t="shared" si="18"/>
        <v>698.75</v>
      </c>
      <c r="Y66" s="2"/>
      <c r="Z66" s="7">
        <f t="shared" si="19"/>
        <v>0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6">
        <v>253.74</v>
      </c>
      <c r="E67" s="2"/>
      <c r="F67" s="7">
        <f t="shared" si="12"/>
        <v>1.7352505752710583E-3</v>
      </c>
      <c r="G67" s="2"/>
      <c r="H67" s="6">
        <v>213.679442307692</v>
      </c>
      <c r="I67" s="2"/>
      <c r="J67" s="7">
        <f t="shared" si="13"/>
        <v>1.5824824651753118E-3</v>
      </c>
      <c r="K67" s="2"/>
      <c r="L67" s="6">
        <f t="shared" si="14"/>
        <v>40.060557692308009</v>
      </c>
      <c r="M67" s="2"/>
      <c r="N67" s="7">
        <f t="shared" si="15"/>
        <v>0.18747969977674317</v>
      </c>
      <c r="O67" s="11"/>
      <c r="P67" s="6">
        <v>1291.01</v>
      </c>
      <c r="Q67" s="2"/>
      <c r="R67" s="7">
        <f t="shared" si="16"/>
        <v>9.6458859083589686E-4</v>
      </c>
      <c r="S67" s="2"/>
      <c r="T67" s="6">
        <v>769.24599230769206</v>
      </c>
      <c r="U67" s="2"/>
      <c r="V67" s="7">
        <f t="shared" si="17"/>
        <v>6.7740361076074963E-4</v>
      </c>
      <c r="W67" s="2"/>
      <c r="X67" s="6">
        <f t="shared" si="18"/>
        <v>521.76400769230793</v>
      </c>
      <c r="Y67" s="2"/>
      <c r="Z67" s="7">
        <f t="shared" si="19"/>
        <v>0.67827978684301893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6">
        <v>194.37</v>
      </c>
      <c r="E68" s="2"/>
      <c r="F68" s="7">
        <f t="shared" si="12"/>
        <v>1.3292372283259855E-3</v>
      </c>
      <c r="G68" s="2"/>
      <c r="H68" s="6">
        <v>214.22216538461498</v>
      </c>
      <c r="I68" s="2"/>
      <c r="J68" s="7">
        <f t="shared" si="13"/>
        <v>1.5865018024751531E-3</v>
      </c>
      <c r="K68" s="2"/>
      <c r="L68" s="6">
        <f t="shared" si="14"/>
        <v>-19.852165384614977</v>
      </c>
      <c r="M68" s="2"/>
      <c r="N68" s="7">
        <f t="shared" si="15"/>
        <v>-9.2670921092466566E-2</v>
      </c>
      <c r="O68" s="11"/>
      <c r="P68" s="6">
        <v>1280.4000000000001</v>
      </c>
      <c r="Q68" s="2"/>
      <c r="R68" s="7">
        <f t="shared" si="16"/>
        <v>9.5666124329500354E-4</v>
      </c>
      <c r="S68" s="2"/>
      <c r="T68" s="6">
        <v>778.26539538461395</v>
      </c>
      <c r="U68" s="2"/>
      <c r="V68" s="7">
        <f t="shared" si="17"/>
        <v>6.8534616265222522E-4</v>
      </c>
      <c r="W68" s="2"/>
      <c r="X68" s="6">
        <f t="shared" si="18"/>
        <v>502.13460461538614</v>
      </c>
      <c r="Y68" s="2"/>
      <c r="Z68" s="7">
        <f t="shared" si="19"/>
        <v>0.6451971365979009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6">
        <v>169.98</v>
      </c>
      <c r="E69" s="2"/>
      <c r="F69" s="7">
        <f t="shared" si="12"/>
        <v>1.1624414470898339E-3</v>
      </c>
      <c r="G69" s="2"/>
      <c r="H69" s="6"/>
      <c r="I69" s="2"/>
      <c r="J69" s="7">
        <f t="shared" si="13"/>
        <v>0</v>
      </c>
      <c r="K69" s="2"/>
      <c r="L69" s="6">
        <f t="shared" si="14"/>
        <v>169.98</v>
      </c>
      <c r="M69" s="2"/>
      <c r="N69" s="7">
        <f t="shared" si="15"/>
        <v>0</v>
      </c>
      <c r="O69" s="11"/>
      <c r="P69" s="6">
        <v>644.17999999999995</v>
      </c>
      <c r="Q69" s="2"/>
      <c r="R69" s="7">
        <f t="shared" si="16"/>
        <v>4.8130431092297351E-4</v>
      </c>
      <c r="S69" s="2"/>
      <c r="T69" s="6"/>
      <c r="U69" s="2"/>
      <c r="V69" s="7">
        <f t="shared" si="17"/>
        <v>0</v>
      </c>
      <c r="W69" s="2"/>
      <c r="X69" s="6">
        <f t="shared" si="18"/>
        <v>644.17999999999995</v>
      </c>
      <c r="Y69" s="2"/>
      <c r="Z69" s="7">
        <f t="shared" si="19"/>
        <v>0</v>
      </c>
    </row>
    <row r="70" spans="1:26" s="26" customFormat="1" outlineLevel="1" collapsed="1" x14ac:dyDescent="0.25">
      <c r="A70" s="25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11582.32</v>
      </c>
      <c r="E70" s="1"/>
      <c r="F70" s="5">
        <f t="shared" ref="F70:F80" si="20">IF(D$12=0,0,D70/D$12)</f>
        <v>7.9207958709598333E-2</v>
      </c>
      <c r="G70" s="1"/>
      <c r="H70" s="1">
        <f>SUM(OSRRefH22_1x_0)</f>
        <v>11832.75173846154</v>
      </c>
      <c r="I70" s="1"/>
      <c r="J70" s="5">
        <f t="shared" ref="J70:J80" si="21">IF(H$12=0,0,H70/H$12)</f>
        <v>8.7631837385294453E-2</v>
      </c>
      <c r="K70" s="1"/>
      <c r="L70" s="1">
        <f t="shared" ref="L70:L80" si="22">+D70-H70</f>
        <v>-250.43173846154059</v>
      </c>
      <c r="M70" s="1"/>
      <c r="N70" s="5">
        <f t="shared" ref="N70:N80" si="23">IF(H70=0,0,L70/H70)</f>
        <v>-2.1164285704358146E-2</v>
      </c>
      <c r="O70" s="13"/>
      <c r="P70" s="1">
        <f>SUM(OSRRefP22_1x_0)</f>
        <v>39094.380000000005</v>
      </c>
      <c r="Q70" s="1"/>
      <c r="R70" s="5">
        <f t="shared" ref="R70:R80" si="24">IF(P$12=0,0,P70/P$12)</f>
        <v>2.9209683049552734E-2</v>
      </c>
      <c r="S70" s="1"/>
      <c r="T70" s="1">
        <f>SUM(OSRRefT22_1x_0)</f>
        <v>42692.646258461536</v>
      </c>
      <c r="U70" s="1"/>
      <c r="V70" s="5">
        <f t="shared" ref="V70:V80" si="25">IF(T$12=0,0,T70/T$12)</f>
        <v>3.7595454532892036E-2</v>
      </c>
      <c r="W70" s="1"/>
      <c r="X70" s="1">
        <f t="shared" ref="X70:X80" si="26">+P70-T70</f>
        <v>-3598.2662584615318</v>
      </c>
      <c r="Y70" s="1"/>
      <c r="Z70" s="5">
        <f t="shared" ref="Z70:Z80" si="27">IF(T70=0,0,X70/T70)</f>
        <v>-8.4283045765718212E-2</v>
      </c>
    </row>
    <row r="71" spans="1:26" s="24" customFormat="1" hidden="1" outlineLevel="2" x14ac:dyDescent="0.25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0"/>
        <v>0</v>
      </c>
      <c r="G71" s="2"/>
      <c r="H71" s="6">
        <v>3931.7017384615406</v>
      </c>
      <c r="I71" s="2"/>
      <c r="J71" s="7">
        <f t="shared" si="21"/>
        <v>2.9117677359225793E-2</v>
      </c>
      <c r="K71" s="2"/>
      <c r="L71" s="6">
        <f t="shared" si="22"/>
        <v>-3931.7017384615406</v>
      </c>
      <c r="M71" s="2"/>
      <c r="N71" s="7">
        <f t="shared" si="23"/>
        <v>-1</v>
      </c>
      <c r="O71" s="11"/>
      <c r="P71" s="6"/>
      <c r="Q71" s="2"/>
      <c r="R71" s="7">
        <f t="shared" si="24"/>
        <v>0</v>
      </c>
      <c r="S71" s="2"/>
      <c r="T71" s="6">
        <v>14154.12625846154</v>
      </c>
      <c r="U71" s="2"/>
      <c r="V71" s="7">
        <f t="shared" si="25"/>
        <v>1.2464226437997798E-2</v>
      </c>
      <c r="W71" s="2"/>
      <c r="X71" s="6">
        <f t="shared" si="26"/>
        <v>-14154.12625846154</v>
      </c>
      <c r="Y71" s="2"/>
      <c r="Z71" s="7">
        <f t="shared" si="27"/>
        <v>-1</v>
      </c>
    </row>
    <row r="72" spans="1:26" s="24" customFormat="1" hidden="1" outlineLevel="2" x14ac:dyDescent="0.25">
      <c r="A72" s="27"/>
      <c r="B72" s="11" t="str">
        <f>CONCATENATE("          ", "6002", " - ", "STAFF SALARIES")</f>
        <v xml:space="preserve">          6002 - STAFF SALARIES</v>
      </c>
      <c r="C72" s="11"/>
      <c r="D72" s="6">
        <v>3231.38</v>
      </c>
      <c r="E72" s="2"/>
      <c r="F72" s="7">
        <f t="shared" si="20"/>
        <v>2.2098423598641885E-2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3231.38</v>
      </c>
      <c r="M72" s="2"/>
      <c r="N72" s="7">
        <f t="shared" si="23"/>
        <v>0</v>
      </c>
      <c r="O72" s="11"/>
      <c r="P72" s="6">
        <v>11863.02</v>
      </c>
      <c r="Q72" s="2"/>
      <c r="R72" s="7">
        <f t="shared" si="24"/>
        <v>8.8635515951526796E-3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11863.02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0"/>
        <v>0</v>
      </c>
      <c r="G74" s="2"/>
      <c r="H74" s="6">
        <v>1400.8</v>
      </c>
      <c r="I74" s="2"/>
      <c r="J74" s="7">
        <f t="shared" si="21"/>
        <v>1.0374144621856207E-2</v>
      </c>
      <c r="K74" s="2"/>
      <c r="L74" s="6">
        <f t="shared" si="22"/>
        <v>-1400.8</v>
      </c>
      <c r="M74" s="2"/>
      <c r="N74" s="7">
        <f t="shared" si="23"/>
        <v>-1</v>
      </c>
      <c r="O74" s="11"/>
      <c r="P74" s="6"/>
      <c r="Q74" s="2"/>
      <c r="R74" s="7">
        <f t="shared" si="24"/>
        <v>0</v>
      </c>
      <c r="S74" s="2"/>
      <c r="T74" s="6">
        <v>6266.52</v>
      </c>
      <c r="U74" s="2"/>
      <c r="V74" s="7">
        <f t="shared" si="25"/>
        <v>5.5183430493668442E-3</v>
      </c>
      <c r="W74" s="2"/>
      <c r="X74" s="6">
        <f t="shared" si="26"/>
        <v>-6266.52</v>
      </c>
      <c r="Y74" s="2"/>
      <c r="Z74" s="7">
        <f t="shared" si="27"/>
        <v>-1</v>
      </c>
    </row>
    <row r="75" spans="1:26" s="24" customFormat="1" hidden="1" outlineLevel="2" x14ac:dyDescent="0.25">
      <c r="A75" s="27"/>
      <c r="B75" s="11" t="str">
        <f>CONCATENATE("          ", "6005", " - ", "TEMPORARY WAGES-HOURLY")</f>
        <v xml:space="preserve">          6005 - TEMPORARY WAGES-HOURLY</v>
      </c>
      <c r="C75" s="11"/>
      <c r="D75" s="6">
        <v>4770.38</v>
      </c>
      <c r="E75" s="2"/>
      <c r="F75" s="7">
        <f t="shared" si="20"/>
        <v>3.2623175846384293E-2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4770.38</v>
      </c>
      <c r="M75" s="2"/>
      <c r="N75" s="7">
        <f t="shared" si="23"/>
        <v>0</v>
      </c>
      <c r="O75" s="11"/>
      <c r="P75" s="6">
        <v>14138.52</v>
      </c>
      <c r="Q75" s="2"/>
      <c r="R75" s="7">
        <f t="shared" si="24"/>
        <v>1.0563709873126579E-2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14138.52</v>
      </c>
      <c r="Y75" s="2"/>
      <c r="Z75" s="7">
        <f t="shared" si="27"/>
        <v>0</v>
      </c>
    </row>
    <row r="76" spans="1:26" s="24" customFormat="1" hidden="1" outlineLevel="2" x14ac:dyDescent="0.25">
      <c r="A76" s="27"/>
      <c r="B76" s="11" t="str">
        <f>CONCATENATE("          ", "6006", " - ", "TEMPORARY PART TIME")</f>
        <v xml:space="preserve">          6006 - TEMPORARY PART TIME</v>
      </c>
      <c r="C76" s="11"/>
      <c r="D76" s="6">
        <v>1494</v>
      </c>
      <c r="E76" s="2"/>
      <c r="F76" s="7">
        <f t="shared" si="20"/>
        <v>1.0217010953948769E-2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1494</v>
      </c>
      <c r="M76" s="2"/>
      <c r="N76" s="7">
        <f t="shared" si="23"/>
        <v>0</v>
      </c>
      <c r="O76" s="11"/>
      <c r="P76" s="6">
        <v>6548.16</v>
      </c>
      <c r="Q76" s="2"/>
      <c r="R76" s="7">
        <f t="shared" si="24"/>
        <v>4.8925108457471174E-3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6548.16</v>
      </c>
      <c r="Y76" s="2"/>
      <c r="Z76" s="7">
        <f t="shared" si="27"/>
        <v>0</v>
      </c>
    </row>
    <row r="77" spans="1:26" s="24" customFormat="1" hidden="1" outlineLevel="2" x14ac:dyDescent="0.25">
      <c r="A77" s="27"/>
      <c r="B77" s="11" t="str">
        <f>CONCATENATE("          ", "6007", " - ", "STUDENT HOURLY")</f>
        <v xml:space="preserve">          6007 - STUDENT HOURLY</v>
      </c>
      <c r="C77" s="11"/>
      <c r="D77" s="6">
        <v>2086.56</v>
      </c>
      <c r="E77" s="2"/>
      <c r="F77" s="7">
        <f t="shared" si="20"/>
        <v>1.4269348310623391E-2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2086.56</v>
      </c>
      <c r="M77" s="2"/>
      <c r="N77" s="7">
        <f t="shared" si="23"/>
        <v>0</v>
      </c>
      <c r="O77" s="11"/>
      <c r="P77" s="6">
        <v>6544.68</v>
      </c>
      <c r="Q77" s="2"/>
      <c r="R77" s="7">
        <f t="shared" si="24"/>
        <v>4.8899107355263541E-3</v>
      </c>
      <c r="S77" s="2"/>
      <c r="T77" s="6">
        <v>9378.75</v>
      </c>
      <c r="U77" s="2"/>
      <c r="V77" s="7">
        <f t="shared" si="25"/>
        <v>8.2589954032300673E-3</v>
      </c>
      <c r="W77" s="2"/>
      <c r="X77" s="6">
        <f t="shared" si="26"/>
        <v>-2834.0699999999997</v>
      </c>
      <c r="Y77" s="2"/>
      <c r="Z77" s="7">
        <f t="shared" si="27"/>
        <v>-0.30217992802878846</v>
      </c>
    </row>
    <row r="78" spans="1:26" s="24" customFormat="1" hidden="1" outlineLevel="2" x14ac:dyDescent="0.25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0"/>
        <v>0</v>
      </c>
      <c r="G78" s="2"/>
      <c r="H78" s="6">
        <v>6500.25</v>
      </c>
      <c r="I78" s="2"/>
      <c r="J78" s="7">
        <f t="shared" si="21"/>
        <v>4.8140015404212456E-2</v>
      </c>
      <c r="K78" s="2"/>
      <c r="L78" s="6">
        <f t="shared" si="22"/>
        <v>-6500.25</v>
      </c>
      <c r="M78" s="2"/>
      <c r="N78" s="7">
        <f t="shared" si="23"/>
        <v>-1</v>
      </c>
      <c r="O78" s="11"/>
      <c r="P78" s="6"/>
      <c r="Q78" s="2"/>
      <c r="R78" s="7">
        <f t="shared" si="24"/>
        <v>0</v>
      </c>
      <c r="S78" s="2"/>
      <c r="T78" s="6">
        <v>12893.25</v>
      </c>
      <c r="U78" s="2"/>
      <c r="V78" s="7">
        <f t="shared" si="25"/>
        <v>1.1353889642297329E-2</v>
      </c>
      <c r="W78" s="2"/>
      <c r="X78" s="6">
        <f t="shared" si="26"/>
        <v>-12893.25</v>
      </c>
      <c r="Y78" s="2"/>
      <c r="Z78" s="7">
        <f t="shared" si="27"/>
        <v>-1</v>
      </c>
    </row>
    <row r="79" spans="1:26" s="24" customFormat="1" hidden="1" outlineLevel="2" x14ac:dyDescent="0.25">
      <c r="A79" s="27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0"/>
        <v>0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0</v>
      </c>
      <c r="M79" s="2"/>
      <c r="N79" s="7">
        <f t="shared" si="23"/>
        <v>0</v>
      </c>
      <c r="O79" s="11"/>
      <c r="P79" s="6"/>
      <c r="Q79" s="2"/>
      <c r="R79" s="7">
        <f t="shared" si="24"/>
        <v>0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0</v>
      </c>
      <c r="Y79" s="2"/>
      <c r="Z79" s="7">
        <f t="shared" si="27"/>
        <v>0</v>
      </c>
    </row>
    <row r="80" spans="1:26" s="24" customFormat="1" hidden="1" outlineLevel="2" x14ac:dyDescent="0.25">
      <c r="A80" s="27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0"/>
        <v>0</v>
      </c>
      <c r="G80" s="2"/>
      <c r="H80" s="6">
        <v>0</v>
      </c>
      <c r="I80" s="2"/>
      <c r="J80" s="7">
        <f t="shared" si="21"/>
        <v>0</v>
      </c>
      <c r="K80" s="2"/>
      <c r="L80" s="6">
        <f t="shared" si="22"/>
        <v>0</v>
      </c>
      <c r="M80" s="2"/>
      <c r="N80" s="7">
        <f t="shared" si="23"/>
        <v>0</v>
      </c>
      <c r="O80" s="11"/>
      <c r="P80" s="6"/>
      <c r="Q80" s="2"/>
      <c r="R80" s="7">
        <f t="shared" si="24"/>
        <v>0</v>
      </c>
      <c r="S80" s="2"/>
      <c r="T80" s="6">
        <v>0</v>
      </c>
      <c r="U80" s="2"/>
      <c r="V80" s="7">
        <f t="shared" si="25"/>
        <v>0</v>
      </c>
      <c r="W80" s="2"/>
      <c r="X80" s="6">
        <f t="shared" si="26"/>
        <v>0</v>
      </c>
      <c r="Y80" s="2"/>
      <c r="Z80" s="7">
        <f t="shared" si="27"/>
        <v>0</v>
      </c>
    </row>
    <row r="81" spans="1:26" s="26" customFormat="1" outlineLevel="1" collapsed="1" x14ac:dyDescent="0.25">
      <c r="A81" s="25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419.39</v>
      </c>
      <c r="E81" s="1"/>
      <c r="F81" s="5">
        <f t="shared" ref="F81:F95" si="28">IF(D$12=0,0,D81/D$12)</f>
        <v>2.8680804712025265E-3</v>
      </c>
      <c r="G81" s="1"/>
      <c r="H81" s="1">
        <f>SUM(OSRRefH22_2x_0)</f>
        <v>250</v>
      </c>
      <c r="I81" s="1"/>
      <c r="J81" s="5">
        <f t="shared" ref="J81:J95" si="29">IF(H$12=0,0,H81/H$12)</f>
        <v>1.8514678437064906E-3</v>
      </c>
      <c r="K81" s="1"/>
      <c r="L81" s="1">
        <f t="shared" ref="L81:L95" si="30">+D81-H81</f>
        <v>169.39</v>
      </c>
      <c r="M81" s="1"/>
      <c r="N81" s="5">
        <f t="shared" ref="N81:N95" si="31">IF(H81=0,0,L81/H81)</f>
        <v>0.67755999999999994</v>
      </c>
      <c r="O81" s="13"/>
      <c r="P81" s="1">
        <f>SUM(OSRRefP22_2x_0)</f>
        <v>1219.79</v>
      </c>
      <c r="Q81" s="1"/>
      <c r="R81" s="5">
        <f t="shared" ref="R81:R95" si="32">IF(P$12=0,0,P81/P$12)</f>
        <v>9.1137599028335843E-4</v>
      </c>
      <c r="S81" s="1"/>
      <c r="T81" s="1">
        <f>SUM(OSRRefT22_2x_0)</f>
        <v>1000</v>
      </c>
      <c r="U81" s="1"/>
      <c r="V81" s="5">
        <f t="shared" ref="V81:V95" si="33">IF(T$12=0,0,T81/T$12)</f>
        <v>8.8060726677116543E-4</v>
      </c>
      <c r="W81" s="1"/>
      <c r="X81" s="1">
        <f t="shared" ref="X81:X95" si="34">+P81-T81</f>
        <v>219.78999999999996</v>
      </c>
      <c r="Y81" s="1"/>
      <c r="Z81" s="5">
        <f t="shared" ref="Z81:Z95" si="35">IF(T81=0,0,X81/T81)</f>
        <v>0.21978999999999996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6">
        <v>419.39</v>
      </c>
      <c r="E82" s="2"/>
      <c r="F82" s="7">
        <f t="shared" si="28"/>
        <v>2.8680804712025265E-3</v>
      </c>
      <c r="G82" s="2"/>
      <c r="H82" s="6">
        <v>250</v>
      </c>
      <c r="I82" s="2"/>
      <c r="J82" s="7">
        <f t="shared" si="29"/>
        <v>1.8514678437064906E-3</v>
      </c>
      <c r="K82" s="2"/>
      <c r="L82" s="6">
        <f t="shared" si="30"/>
        <v>169.39</v>
      </c>
      <c r="M82" s="2"/>
      <c r="N82" s="7">
        <f t="shared" si="31"/>
        <v>0.67755999999999994</v>
      </c>
      <c r="O82" s="11"/>
      <c r="P82" s="6">
        <v>1219.79</v>
      </c>
      <c r="Q82" s="2"/>
      <c r="R82" s="7">
        <f t="shared" si="32"/>
        <v>9.1137599028335843E-4</v>
      </c>
      <c r="S82" s="2"/>
      <c r="T82" s="6">
        <v>1000</v>
      </c>
      <c r="U82" s="2"/>
      <c r="V82" s="7">
        <f t="shared" si="33"/>
        <v>8.8060726677116543E-4</v>
      </c>
      <c r="W82" s="2"/>
      <c r="X82" s="6">
        <f t="shared" si="34"/>
        <v>219.78999999999996</v>
      </c>
      <c r="Y82" s="2"/>
      <c r="Z82" s="7">
        <f t="shared" si="35"/>
        <v>0.21978999999999996</v>
      </c>
    </row>
    <row r="83" spans="1:26" s="26" customFormat="1" outlineLevel="1" collapsed="1" x14ac:dyDescent="0.25">
      <c r="A83" s="25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28"/>
        <v>1.9178437429219499E-3</v>
      </c>
      <c r="G83" s="1"/>
      <c r="H83" s="1">
        <f>SUM(OSRRefH22_3x_0)</f>
        <v>0</v>
      </c>
      <c r="I83" s="1"/>
      <c r="J83" s="5">
        <f t="shared" si="29"/>
        <v>0</v>
      </c>
      <c r="K83" s="1"/>
      <c r="L83" s="1">
        <f t="shared" si="30"/>
        <v>280.44</v>
      </c>
      <c r="M83" s="1"/>
      <c r="N83" s="5">
        <f t="shared" si="31"/>
        <v>0</v>
      </c>
      <c r="O83" s="13"/>
      <c r="P83" s="1">
        <f>SUM(OSRRefP22_3x_0)</f>
        <v>1121.76</v>
      </c>
      <c r="Q83" s="1"/>
      <c r="R83" s="5">
        <f t="shared" si="32"/>
        <v>8.3813208081740323E-4</v>
      </c>
      <c r="S83" s="1"/>
      <c r="T83" s="1">
        <f>SUM(OSRRefT22_3x_0)</f>
        <v>0</v>
      </c>
      <c r="U83" s="1"/>
      <c r="V83" s="5">
        <f t="shared" si="33"/>
        <v>0</v>
      </c>
      <c r="W83" s="1"/>
      <c r="X83" s="1">
        <f t="shared" si="34"/>
        <v>1121.76</v>
      </c>
      <c r="Y83" s="1"/>
      <c r="Z83" s="5">
        <f t="shared" si="35"/>
        <v>0</v>
      </c>
    </row>
    <row r="84" spans="1:26" s="24" customFormat="1" hidden="1" outlineLevel="2" x14ac:dyDescent="0.25">
      <c r="A84" s="27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28"/>
        <v>1.9178437429219499E-3</v>
      </c>
      <c r="G84" s="2"/>
      <c r="H84" s="6"/>
      <c r="I84" s="2"/>
      <c r="J84" s="7">
        <f t="shared" si="29"/>
        <v>0</v>
      </c>
      <c r="K84" s="2"/>
      <c r="L84" s="6">
        <f t="shared" si="30"/>
        <v>280.44</v>
      </c>
      <c r="M84" s="2"/>
      <c r="N84" s="7">
        <f t="shared" si="31"/>
        <v>0</v>
      </c>
      <c r="O84" s="11"/>
      <c r="P84" s="6">
        <v>1121.76</v>
      </c>
      <c r="Q84" s="2"/>
      <c r="R84" s="7">
        <f t="shared" si="32"/>
        <v>8.3813208081740323E-4</v>
      </c>
      <c r="S84" s="2"/>
      <c r="T84" s="6"/>
      <c r="U84" s="2"/>
      <c r="V84" s="7">
        <f t="shared" si="33"/>
        <v>0</v>
      </c>
      <c r="W84" s="2"/>
      <c r="X84" s="6">
        <f t="shared" si="34"/>
        <v>1121.76</v>
      </c>
      <c r="Y84" s="2"/>
      <c r="Z84" s="7">
        <f t="shared" si="35"/>
        <v>0</v>
      </c>
    </row>
    <row r="85" spans="1:26" s="26" customFormat="1" outlineLevel="1" collapsed="1" x14ac:dyDescent="0.25">
      <c r="A85" s="25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1378.62</v>
      </c>
      <c r="E85" s="1"/>
      <c r="F85" s="5">
        <f t="shared" si="28"/>
        <v>9.4279622766618824E-3</v>
      </c>
      <c r="G85" s="1"/>
      <c r="H85" s="1">
        <f>SUM(OSRRefH22_4x_0)</f>
        <v>2500</v>
      </c>
      <c r="I85" s="1"/>
      <c r="J85" s="5">
        <f t="shared" si="29"/>
        <v>1.8514678437064905E-2</v>
      </c>
      <c r="K85" s="1"/>
      <c r="L85" s="1">
        <f t="shared" si="30"/>
        <v>-1121.3800000000001</v>
      </c>
      <c r="M85" s="1"/>
      <c r="N85" s="5">
        <f t="shared" si="31"/>
        <v>-0.44855200000000006</v>
      </c>
      <c r="O85" s="13"/>
      <c r="P85" s="1">
        <f>SUM(OSRRefP22_4x_0)</f>
        <v>68378.13</v>
      </c>
      <c r="Q85" s="1"/>
      <c r="R85" s="5">
        <f t="shared" si="32"/>
        <v>5.1089274336135096E-2</v>
      </c>
      <c r="S85" s="1"/>
      <c r="T85" s="1">
        <f>SUM(OSRRefT22_4x_0)</f>
        <v>10000</v>
      </c>
      <c r="U85" s="1"/>
      <c r="V85" s="5">
        <f t="shared" si="33"/>
        <v>8.8060726677116532E-3</v>
      </c>
      <c r="W85" s="1"/>
      <c r="X85" s="1">
        <f t="shared" si="34"/>
        <v>58378.130000000005</v>
      </c>
      <c r="Y85" s="1"/>
      <c r="Z85" s="5">
        <f t="shared" si="35"/>
        <v>5.8378130000000006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>
        <v>1378.62</v>
      </c>
      <c r="E86" s="2"/>
      <c r="F86" s="7">
        <f t="shared" si="28"/>
        <v>9.4279622766618824E-3</v>
      </c>
      <c r="G86" s="2"/>
      <c r="H86" s="6">
        <v>2500</v>
      </c>
      <c r="I86" s="2"/>
      <c r="J86" s="7">
        <f t="shared" si="29"/>
        <v>1.8514678437064905E-2</v>
      </c>
      <c r="K86" s="2"/>
      <c r="L86" s="6">
        <f t="shared" si="30"/>
        <v>-1121.3800000000001</v>
      </c>
      <c r="M86" s="2"/>
      <c r="N86" s="7">
        <f t="shared" si="31"/>
        <v>-0.44855200000000006</v>
      </c>
      <c r="O86" s="11"/>
      <c r="P86" s="6">
        <v>68378.13</v>
      </c>
      <c r="Q86" s="2"/>
      <c r="R86" s="7">
        <f t="shared" si="32"/>
        <v>5.1089274336135096E-2</v>
      </c>
      <c r="S86" s="2"/>
      <c r="T86" s="6">
        <v>10000</v>
      </c>
      <c r="U86" s="2"/>
      <c r="V86" s="7">
        <f t="shared" si="33"/>
        <v>8.8060726677116532E-3</v>
      </c>
      <c r="W86" s="2"/>
      <c r="X86" s="6">
        <f t="shared" si="34"/>
        <v>58378.130000000005</v>
      </c>
      <c r="Y86" s="2"/>
      <c r="Z86" s="7">
        <f t="shared" si="35"/>
        <v>5.8378130000000006</v>
      </c>
    </row>
    <row r="87" spans="1:26" s="26" customFormat="1" outlineLevel="1" collapsed="1" x14ac:dyDescent="0.25">
      <c r="A87" s="25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28"/>
        <v>0</v>
      </c>
      <c r="G87" s="1"/>
      <c r="H87" s="1">
        <f>SUM(OSRRefH22_5x_0)</f>
        <v>40</v>
      </c>
      <c r="I87" s="1"/>
      <c r="J87" s="5">
        <f t="shared" si="29"/>
        <v>2.9623485499303848E-4</v>
      </c>
      <c r="K87" s="1"/>
      <c r="L87" s="1">
        <f t="shared" si="30"/>
        <v>-40</v>
      </c>
      <c r="M87" s="1"/>
      <c r="N87" s="5">
        <f t="shared" si="31"/>
        <v>-1</v>
      </c>
      <c r="O87" s="13"/>
      <c r="P87" s="1">
        <f>SUM(OSRRefP22_5x_0)</f>
        <v>0</v>
      </c>
      <c r="Q87" s="1"/>
      <c r="R87" s="5">
        <f t="shared" si="32"/>
        <v>0</v>
      </c>
      <c r="S87" s="1"/>
      <c r="T87" s="1">
        <f>SUM(OSRRefT22_5x_0)</f>
        <v>160</v>
      </c>
      <c r="U87" s="1"/>
      <c r="V87" s="5">
        <f t="shared" si="33"/>
        <v>1.4089716268338647E-4</v>
      </c>
      <c r="W87" s="1"/>
      <c r="X87" s="1">
        <f t="shared" si="34"/>
        <v>-160</v>
      </c>
      <c r="Y87" s="1"/>
      <c r="Z87" s="5">
        <f t="shared" si="35"/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28"/>
        <v>0</v>
      </c>
      <c r="G88" s="2"/>
      <c r="H88" s="6">
        <v>40</v>
      </c>
      <c r="I88" s="2"/>
      <c r="J88" s="7">
        <f t="shared" si="29"/>
        <v>2.9623485499303848E-4</v>
      </c>
      <c r="K88" s="2"/>
      <c r="L88" s="6">
        <f t="shared" si="30"/>
        <v>-40</v>
      </c>
      <c r="M88" s="2"/>
      <c r="N88" s="7">
        <f t="shared" si="31"/>
        <v>-1</v>
      </c>
      <c r="O88" s="11"/>
      <c r="P88" s="6"/>
      <c r="Q88" s="2"/>
      <c r="R88" s="7">
        <f t="shared" si="32"/>
        <v>0</v>
      </c>
      <c r="S88" s="2"/>
      <c r="T88" s="6">
        <v>160</v>
      </c>
      <c r="U88" s="2"/>
      <c r="V88" s="7">
        <f t="shared" si="33"/>
        <v>1.4089716268338647E-4</v>
      </c>
      <c r="W88" s="2"/>
      <c r="X88" s="6">
        <f t="shared" si="34"/>
        <v>-160</v>
      </c>
      <c r="Y88" s="2"/>
      <c r="Z88" s="7">
        <f t="shared" si="35"/>
        <v>-1</v>
      </c>
    </row>
    <row r="89" spans="1:26" s="26" customFormat="1" outlineLevel="1" collapsed="1" x14ac:dyDescent="0.25">
      <c r="A89" s="25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5.27</v>
      </c>
      <c r="E89" s="1"/>
      <c r="F89" s="5">
        <f t="shared" si="28"/>
        <v>3.6039924850943786E-5</v>
      </c>
      <c r="G89" s="1"/>
      <c r="H89" s="1">
        <f>SUM(OSRRefH22_6x_0)</f>
        <v>25</v>
      </c>
      <c r="I89" s="1"/>
      <c r="J89" s="5">
        <f t="shared" si="29"/>
        <v>1.8514678437064904E-4</v>
      </c>
      <c r="K89" s="1"/>
      <c r="L89" s="1">
        <f t="shared" si="30"/>
        <v>-19.73</v>
      </c>
      <c r="M89" s="1"/>
      <c r="N89" s="5">
        <f t="shared" si="31"/>
        <v>-0.78920000000000001</v>
      </c>
      <c r="O89" s="13"/>
      <c r="P89" s="1">
        <f>SUM(OSRRefP22_6x_0)</f>
        <v>10.76</v>
      </c>
      <c r="Q89" s="1"/>
      <c r="R89" s="5">
        <f t="shared" si="32"/>
        <v>8.0394212573057145E-6</v>
      </c>
      <c r="S89" s="1"/>
      <c r="T89" s="1">
        <f>SUM(OSRRefT22_6x_0)</f>
        <v>100</v>
      </c>
      <c r="U89" s="1"/>
      <c r="V89" s="5">
        <f t="shared" si="33"/>
        <v>8.8060726677116545E-5</v>
      </c>
      <c r="W89" s="1"/>
      <c r="X89" s="1">
        <f t="shared" si="34"/>
        <v>-89.24</v>
      </c>
      <c r="Y89" s="1"/>
      <c r="Z89" s="5">
        <f t="shared" si="35"/>
        <v>-0.89239999999999997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6">
        <v>5.27</v>
      </c>
      <c r="E90" s="2"/>
      <c r="F90" s="7">
        <f t="shared" si="28"/>
        <v>3.6039924850943786E-5</v>
      </c>
      <c r="G90" s="2"/>
      <c r="H90" s="6">
        <v>25</v>
      </c>
      <c r="I90" s="2"/>
      <c r="J90" s="7">
        <f t="shared" si="29"/>
        <v>1.8514678437064904E-4</v>
      </c>
      <c r="K90" s="2"/>
      <c r="L90" s="6">
        <f t="shared" si="30"/>
        <v>-19.73</v>
      </c>
      <c r="M90" s="2"/>
      <c r="N90" s="7">
        <f t="shared" si="31"/>
        <v>-0.78920000000000001</v>
      </c>
      <c r="O90" s="11"/>
      <c r="P90" s="6">
        <v>10.76</v>
      </c>
      <c r="Q90" s="2"/>
      <c r="R90" s="7">
        <f t="shared" si="32"/>
        <v>8.0394212573057145E-6</v>
      </c>
      <c r="S90" s="2"/>
      <c r="T90" s="6">
        <v>100</v>
      </c>
      <c r="U90" s="2"/>
      <c r="V90" s="7">
        <f t="shared" si="33"/>
        <v>8.8060726677116545E-5</v>
      </c>
      <c r="W90" s="2"/>
      <c r="X90" s="6">
        <f t="shared" si="34"/>
        <v>-89.24</v>
      </c>
      <c r="Y90" s="2"/>
      <c r="Z90" s="7">
        <f t="shared" si="35"/>
        <v>-0.89239999999999997</v>
      </c>
    </row>
    <row r="91" spans="1:26" s="26" customFormat="1" outlineLevel="1" collapsed="1" x14ac:dyDescent="0.25">
      <c r="A91" s="25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SUM(OSRRefD22_7x_0)</f>
        <v>0</v>
      </c>
      <c r="E91" s="1"/>
      <c r="F91" s="5">
        <f t="shared" si="28"/>
        <v>0</v>
      </c>
      <c r="G91" s="1"/>
      <c r="H91" s="1">
        <f>SUM(OSRRefH22_7x_0)</f>
        <v>0</v>
      </c>
      <c r="I91" s="1"/>
      <c r="J91" s="5">
        <f t="shared" si="29"/>
        <v>0</v>
      </c>
      <c r="K91" s="1"/>
      <c r="L91" s="1">
        <f t="shared" si="30"/>
        <v>0</v>
      </c>
      <c r="M91" s="1"/>
      <c r="N91" s="5">
        <f t="shared" si="31"/>
        <v>0</v>
      </c>
      <c r="O91" s="13"/>
      <c r="P91" s="1">
        <f>SUM(OSRRefP22_7x_0)</f>
        <v>-5000</v>
      </c>
      <c r="Q91" s="1"/>
      <c r="R91" s="5">
        <f t="shared" si="32"/>
        <v>-3.7357905470751462E-3</v>
      </c>
      <c r="S91" s="1"/>
      <c r="T91" s="1">
        <f>SUM(OSRRefT22_7x_0)</f>
        <v>0</v>
      </c>
      <c r="U91" s="1"/>
      <c r="V91" s="5">
        <f t="shared" si="33"/>
        <v>0</v>
      </c>
      <c r="W91" s="1"/>
      <c r="X91" s="1">
        <f t="shared" si="34"/>
        <v>-5000</v>
      </c>
      <c r="Y91" s="1"/>
      <c r="Z91" s="5">
        <f t="shared" si="35"/>
        <v>0</v>
      </c>
    </row>
    <row r="92" spans="1:26" s="24" customFormat="1" hidden="1" outlineLevel="2" x14ac:dyDescent="0.25">
      <c r="A92" s="27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28"/>
        <v>0</v>
      </c>
      <c r="G92" s="2"/>
      <c r="H92" s="6"/>
      <c r="I92" s="2"/>
      <c r="J92" s="7">
        <f t="shared" si="29"/>
        <v>0</v>
      </c>
      <c r="K92" s="2"/>
      <c r="L92" s="6">
        <f t="shared" si="30"/>
        <v>0</v>
      </c>
      <c r="M92" s="2"/>
      <c r="N92" s="7">
        <f t="shared" si="31"/>
        <v>0</v>
      </c>
      <c r="O92" s="11"/>
      <c r="P92" s="6">
        <v>-5000</v>
      </c>
      <c r="Q92" s="2"/>
      <c r="R92" s="7">
        <f t="shared" si="32"/>
        <v>-3.7357905470751462E-3</v>
      </c>
      <c r="S92" s="2"/>
      <c r="T92" s="6"/>
      <c r="U92" s="2"/>
      <c r="V92" s="7">
        <f t="shared" si="33"/>
        <v>0</v>
      </c>
      <c r="W92" s="2"/>
      <c r="X92" s="6">
        <f t="shared" si="34"/>
        <v>-5000</v>
      </c>
      <c r="Y92" s="2"/>
      <c r="Z92" s="7">
        <f t="shared" si="35"/>
        <v>0</v>
      </c>
    </row>
    <row r="93" spans="1:26" s="26" customFormat="1" outlineLevel="1" collapsed="1" x14ac:dyDescent="0.25">
      <c r="A93" s="25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SUM(OSRRefD22_8x_0)</f>
        <v>192.76</v>
      </c>
      <c r="E93" s="1"/>
      <c r="F93" s="5">
        <f t="shared" si="28"/>
        <v>1.3182269287035908E-3</v>
      </c>
      <c r="G93" s="1"/>
      <c r="H93" s="1">
        <f>SUM(OSRRefH22_8x_0)</f>
        <v>275</v>
      </c>
      <c r="I93" s="1"/>
      <c r="J93" s="5">
        <f t="shared" si="29"/>
        <v>2.0366146280771397E-3</v>
      </c>
      <c r="K93" s="1"/>
      <c r="L93" s="1">
        <f t="shared" si="30"/>
        <v>-82.240000000000009</v>
      </c>
      <c r="M93" s="1"/>
      <c r="N93" s="5">
        <f t="shared" si="31"/>
        <v>-0.29905454545454546</v>
      </c>
      <c r="O93" s="13"/>
      <c r="P93" s="1">
        <f>SUM(OSRRefP22_8x_0)</f>
        <v>1556.9499999999998</v>
      </c>
      <c r="Q93" s="1"/>
      <c r="R93" s="5">
        <f t="shared" si="32"/>
        <v>1.1632878184537295E-3</v>
      </c>
      <c r="S93" s="1"/>
      <c r="T93" s="1">
        <f>SUM(OSRRefT22_8x_0)</f>
        <v>1100</v>
      </c>
      <c r="U93" s="1"/>
      <c r="V93" s="5">
        <f t="shared" si="33"/>
        <v>9.6866799344828196E-4</v>
      </c>
      <c r="W93" s="1"/>
      <c r="X93" s="1">
        <f t="shared" si="34"/>
        <v>456.94999999999982</v>
      </c>
      <c r="Y93" s="1"/>
      <c r="Z93" s="5">
        <f t="shared" si="35"/>
        <v>0.41540909090909073</v>
      </c>
    </row>
    <row r="94" spans="1:26" s="24" customFormat="1" hidden="1" outlineLevel="2" x14ac:dyDescent="0.25">
      <c r="A94" s="27"/>
      <c r="B94" s="11" t="str">
        <f>CONCATENATE("          ", "6241", " - ", "OFFICE EXPENSE")</f>
        <v xml:space="preserve">          6241 - OFFICE EXPENSE</v>
      </c>
      <c r="C94" s="11"/>
      <c r="D94" s="6">
        <v>192.76</v>
      </c>
      <c r="E94" s="2"/>
      <c r="F94" s="7">
        <f t="shared" si="28"/>
        <v>1.3182269287035908E-3</v>
      </c>
      <c r="G94" s="2"/>
      <c r="H94" s="6">
        <v>275</v>
      </c>
      <c r="I94" s="2"/>
      <c r="J94" s="7">
        <f t="shared" si="29"/>
        <v>2.0366146280771397E-3</v>
      </c>
      <c r="K94" s="2"/>
      <c r="L94" s="6">
        <f t="shared" si="30"/>
        <v>-82.240000000000009</v>
      </c>
      <c r="M94" s="2"/>
      <c r="N94" s="7">
        <f t="shared" si="31"/>
        <v>-0.29905454545454546</v>
      </c>
      <c r="O94" s="11"/>
      <c r="P94" s="6">
        <v>616.29999999999995</v>
      </c>
      <c r="Q94" s="2"/>
      <c r="R94" s="7">
        <f t="shared" si="32"/>
        <v>4.604735428324825E-4</v>
      </c>
      <c r="S94" s="2"/>
      <c r="T94" s="6">
        <v>1100</v>
      </c>
      <c r="U94" s="2"/>
      <c r="V94" s="7">
        <f t="shared" si="33"/>
        <v>9.6866799344828196E-4</v>
      </c>
      <c r="W94" s="2"/>
      <c r="X94" s="6">
        <f t="shared" si="34"/>
        <v>-483.70000000000005</v>
      </c>
      <c r="Y94" s="2"/>
      <c r="Z94" s="7">
        <f t="shared" si="35"/>
        <v>-0.43972727272727274</v>
      </c>
    </row>
    <row r="95" spans="1:26" s="24" customFormat="1" hidden="1" outlineLevel="2" x14ac:dyDescent="0.25">
      <c r="A95" s="27"/>
      <c r="B95" s="11" t="str">
        <f>CONCATENATE("          ", "6247", " - ", "STORE SUPPLIES")</f>
        <v xml:space="preserve">          6247 - STORE SUPPLIES</v>
      </c>
      <c r="C95" s="11"/>
      <c r="D95" s="6"/>
      <c r="E95" s="2"/>
      <c r="F95" s="7">
        <f t="shared" si="28"/>
        <v>0</v>
      </c>
      <c r="G95" s="2"/>
      <c r="H95" s="6"/>
      <c r="I95" s="2"/>
      <c r="J95" s="7">
        <f t="shared" si="29"/>
        <v>0</v>
      </c>
      <c r="K95" s="2"/>
      <c r="L95" s="6">
        <f t="shared" si="30"/>
        <v>0</v>
      </c>
      <c r="M95" s="2"/>
      <c r="N95" s="7">
        <f t="shared" si="31"/>
        <v>0</v>
      </c>
      <c r="O95" s="11"/>
      <c r="P95" s="6">
        <v>940.65</v>
      </c>
      <c r="Q95" s="2"/>
      <c r="R95" s="7">
        <f t="shared" si="32"/>
        <v>7.0281427562124724E-4</v>
      </c>
      <c r="S95" s="2"/>
      <c r="T95" s="6"/>
      <c r="U95" s="2"/>
      <c r="V95" s="7">
        <f t="shared" si="33"/>
        <v>0</v>
      </c>
      <c r="W95" s="2"/>
      <c r="X95" s="6">
        <f t="shared" si="34"/>
        <v>940.65</v>
      </c>
      <c r="Y95" s="2"/>
      <c r="Z95" s="7">
        <f t="shared" si="35"/>
        <v>0</v>
      </c>
    </row>
    <row r="96" spans="1:26" s="26" customFormat="1" outlineLevel="1" collapsed="1" x14ac:dyDescent="0.25">
      <c r="A96" s="25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SUM(OSRRefD22_9x_0)</f>
        <v>259.5</v>
      </c>
      <c r="E96" s="1"/>
      <c r="F96" s="5">
        <f t="shared" ref="F96:F98" si="36">IF(D$12=0,0,D96/D$12)</f>
        <v>1.7746414608766437E-3</v>
      </c>
      <c r="G96" s="1"/>
      <c r="H96" s="1">
        <f>SUM(OSRRefH22_9x_0)</f>
        <v>280</v>
      </c>
      <c r="I96" s="1"/>
      <c r="J96" s="5">
        <f t="shared" ref="J96:J98" si="37">IF(H$12=0,0,H96/H$12)</f>
        <v>2.0736439849512694E-3</v>
      </c>
      <c r="K96" s="1"/>
      <c r="L96" s="1">
        <f t="shared" ref="L96:L98" si="38">+D96-H96</f>
        <v>-20.5</v>
      </c>
      <c r="M96" s="1"/>
      <c r="N96" s="5">
        <f t="shared" ref="N96:N98" si="39">IF(H96=0,0,L96/H96)</f>
        <v>-7.3214285714285718E-2</v>
      </c>
      <c r="O96" s="13"/>
      <c r="P96" s="1">
        <f>SUM(OSRRefP22_9x_0)</f>
        <v>1020.8</v>
      </c>
      <c r="Q96" s="1"/>
      <c r="R96" s="5">
        <f t="shared" ref="R96:R98" si="40">IF(P$12=0,0,P96/P$12)</f>
        <v>7.6269899809086183E-4</v>
      </c>
      <c r="S96" s="1"/>
      <c r="T96" s="1">
        <f>SUM(OSRRefT22_9x_0)</f>
        <v>1120</v>
      </c>
      <c r="U96" s="1"/>
      <c r="V96" s="5">
        <f t="shared" ref="V96:V98" si="41">IF(T$12=0,0,T96/T$12)</f>
        <v>9.862801387837052E-4</v>
      </c>
      <c r="W96" s="1"/>
      <c r="X96" s="1">
        <f t="shared" ref="X96:X98" si="42">+P96-T96</f>
        <v>-99.200000000000045</v>
      </c>
      <c r="Y96" s="1"/>
      <c r="Z96" s="5">
        <f t="shared" ref="Z96:Z98" si="43">IF(T96=0,0,X96/T96)</f>
        <v>-8.8571428571428606E-2</v>
      </c>
    </row>
    <row r="97" spans="1:26" s="24" customFormat="1" hidden="1" outlineLevel="2" x14ac:dyDescent="0.25">
      <c r="A97" s="27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36"/>
        <v>0</v>
      </c>
      <c r="G97" s="2"/>
      <c r="H97" s="6">
        <v>280</v>
      </c>
      <c r="I97" s="2"/>
      <c r="J97" s="7">
        <f t="shared" si="37"/>
        <v>2.0736439849512694E-3</v>
      </c>
      <c r="K97" s="2"/>
      <c r="L97" s="6">
        <f t="shared" si="38"/>
        <v>-280</v>
      </c>
      <c r="M97" s="2"/>
      <c r="N97" s="7">
        <f t="shared" si="39"/>
        <v>-1</v>
      </c>
      <c r="O97" s="11"/>
      <c r="P97" s="6"/>
      <c r="Q97" s="2"/>
      <c r="R97" s="7">
        <f t="shared" si="40"/>
        <v>0</v>
      </c>
      <c r="S97" s="2"/>
      <c r="T97" s="6">
        <v>1120</v>
      </c>
      <c r="U97" s="2"/>
      <c r="V97" s="7">
        <f t="shared" si="41"/>
        <v>9.862801387837052E-4</v>
      </c>
      <c r="W97" s="2"/>
      <c r="X97" s="6">
        <f t="shared" si="42"/>
        <v>-1120</v>
      </c>
      <c r="Y97" s="2"/>
      <c r="Z97" s="7">
        <f t="shared" si="43"/>
        <v>-1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6">
        <v>259.5</v>
      </c>
      <c r="E98" s="2"/>
      <c r="F98" s="7">
        <f t="shared" si="36"/>
        <v>1.7746414608766437E-3</v>
      </c>
      <c r="G98" s="2"/>
      <c r="H98" s="6"/>
      <c r="I98" s="2"/>
      <c r="J98" s="7">
        <f t="shared" si="37"/>
        <v>0</v>
      </c>
      <c r="K98" s="2"/>
      <c r="L98" s="6">
        <f t="shared" si="38"/>
        <v>259.5</v>
      </c>
      <c r="M98" s="2"/>
      <c r="N98" s="7">
        <f t="shared" si="39"/>
        <v>0</v>
      </c>
      <c r="O98" s="11"/>
      <c r="P98" s="6">
        <v>1020.8</v>
      </c>
      <c r="Q98" s="2"/>
      <c r="R98" s="7">
        <f t="shared" si="40"/>
        <v>7.6269899809086183E-4</v>
      </c>
      <c r="S98" s="2"/>
      <c r="T98" s="6"/>
      <c r="U98" s="2"/>
      <c r="V98" s="7">
        <f t="shared" si="41"/>
        <v>0</v>
      </c>
      <c r="W98" s="2"/>
      <c r="X98" s="6">
        <f t="shared" si="42"/>
        <v>1020.8</v>
      </c>
      <c r="Y98" s="2"/>
      <c r="Z98" s="7">
        <f t="shared" si="43"/>
        <v>0</v>
      </c>
    </row>
    <row r="99" spans="1:26" s="26" customFormat="1" outlineLevel="1" collapsed="1" x14ac:dyDescent="0.25">
      <c r="A99" s="25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SUM(OSRRefD22_10x_0)</f>
        <v>40</v>
      </c>
      <c r="E99" s="1"/>
      <c r="F99" s="5">
        <f t="shared" ref="F99:F100" si="44">IF(D$12=0,0,D99/D$12)</f>
        <v>2.7354781670545567E-4</v>
      </c>
      <c r="G99" s="1"/>
      <c r="H99" s="1">
        <f>SUM(OSRRefH22_10x_0)</f>
        <v>375</v>
      </c>
      <c r="I99" s="1"/>
      <c r="J99" s="5">
        <f t="shared" ref="J99:J100" si="45">IF(H$12=0,0,H99/H$12)</f>
        <v>2.7772017655597358E-3</v>
      </c>
      <c r="K99" s="1"/>
      <c r="L99" s="1">
        <f t="shared" ref="L99:L100" si="46">+D99-H99</f>
        <v>-335</v>
      </c>
      <c r="M99" s="1"/>
      <c r="N99" s="5">
        <f t="shared" ref="N99:N100" si="47">IF(H99=0,0,L99/H99)</f>
        <v>-0.89333333333333331</v>
      </c>
      <c r="O99" s="13"/>
      <c r="P99" s="1">
        <f>SUM(OSRRefP22_10x_0)</f>
        <v>40</v>
      </c>
      <c r="Q99" s="1"/>
      <c r="R99" s="5">
        <f t="shared" ref="R99:R100" si="48">IF(P$12=0,0,P99/P$12)</f>
        <v>2.988632437660117E-5</v>
      </c>
      <c r="S99" s="1"/>
      <c r="T99" s="1">
        <f>SUM(OSRRefT22_10x_0)</f>
        <v>1500</v>
      </c>
      <c r="U99" s="1"/>
      <c r="V99" s="5">
        <f t="shared" ref="V99:V100" si="49">IF(T$12=0,0,T99/T$12)</f>
        <v>1.3209109001567482E-3</v>
      </c>
      <c r="W99" s="1"/>
      <c r="X99" s="1">
        <f t="shared" ref="X99:X100" si="50">+P99-T99</f>
        <v>-1460</v>
      </c>
      <c r="Y99" s="1"/>
      <c r="Z99" s="5">
        <f t="shared" ref="Z99:Z100" si="51">IF(T99=0,0,X99/T99)</f>
        <v>-0.97333333333333338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6">
        <v>40</v>
      </c>
      <c r="E100" s="2"/>
      <c r="F100" s="7">
        <f t="shared" si="44"/>
        <v>2.7354781670545567E-4</v>
      </c>
      <c r="G100" s="2"/>
      <c r="H100" s="6">
        <v>375</v>
      </c>
      <c r="I100" s="2"/>
      <c r="J100" s="7">
        <f t="shared" si="45"/>
        <v>2.7772017655597358E-3</v>
      </c>
      <c r="K100" s="2"/>
      <c r="L100" s="6">
        <f t="shared" si="46"/>
        <v>-335</v>
      </c>
      <c r="M100" s="2"/>
      <c r="N100" s="7">
        <f t="shared" si="47"/>
        <v>-0.89333333333333331</v>
      </c>
      <c r="O100" s="11"/>
      <c r="P100" s="6">
        <v>40</v>
      </c>
      <c r="Q100" s="2"/>
      <c r="R100" s="7">
        <f t="shared" si="48"/>
        <v>2.988632437660117E-5</v>
      </c>
      <c r="S100" s="2"/>
      <c r="T100" s="6">
        <v>1500</v>
      </c>
      <c r="U100" s="2"/>
      <c r="V100" s="7">
        <f t="shared" si="49"/>
        <v>1.3209109001567482E-3</v>
      </c>
      <c r="W100" s="2"/>
      <c r="X100" s="6">
        <f t="shared" si="50"/>
        <v>-1460</v>
      </c>
      <c r="Y100" s="2"/>
      <c r="Z100" s="7">
        <f t="shared" si="51"/>
        <v>-0.97333333333333338</v>
      </c>
    </row>
    <row r="101" spans="1:26" s="61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4142.82</v>
      </c>
      <c r="E102" s="4"/>
      <c r="F102" s="12">
        <f t="shared" ref="F102:F105" si="52">IF(D$12=0,0,D102/D$12)</f>
        <v>2.8331484150092397E-2</v>
      </c>
      <c r="G102" s="4"/>
      <c r="H102" s="4">
        <f>SUM(OSRRefH25x_0)</f>
        <v>2025</v>
      </c>
      <c r="I102" s="4"/>
      <c r="J102" s="12">
        <f t="shared" ref="J102:J105" si="53">IF(H$12=0,0,H102/H$12)</f>
        <v>1.4996889534022574E-2</v>
      </c>
      <c r="K102" s="4"/>
      <c r="L102" s="4">
        <f t="shared" ref="L102:L105" si="54">+D102-H102</f>
        <v>2117.8199999999997</v>
      </c>
      <c r="M102" s="4"/>
      <c r="N102" s="12">
        <f t="shared" ref="N102:N105" si="55">IF(H102=0,0,L102/H102)</f>
        <v>1.0458370370370369</v>
      </c>
      <c r="O102" s="10"/>
      <c r="P102" s="4">
        <f>SUM(OSRRefP25x_0)</f>
        <v>6288.93</v>
      </c>
      <c r="Q102" s="4"/>
      <c r="R102" s="12">
        <f t="shared" ref="R102:R105" si="56">IF(P$12=0,0,P102/P$12)</f>
        <v>4.6988250490434596E-3</v>
      </c>
      <c r="S102" s="4"/>
      <c r="T102" s="4">
        <f>SUM(OSRRefT25x_0)</f>
        <v>7425</v>
      </c>
      <c r="U102" s="4"/>
      <c r="V102" s="12">
        <f t="shared" ref="V102:V105" si="57">IF(T$12=0,0,T102/T$12)</f>
        <v>6.538508955775903E-3</v>
      </c>
      <c r="W102" s="4"/>
      <c r="X102" s="4">
        <f t="shared" ref="X102:X105" si="58">+P102-T102</f>
        <v>-1136.0699999999997</v>
      </c>
      <c r="Y102" s="4"/>
      <c r="Z102" s="12">
        <f t="shared" ref="Z102:Z105" si="59">IF(T102=0,0,X102/T102)</f>
        <v>-0.15300606060606056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--4407.89</f>
        <v>4407.8900000000003</v>
      </c>
      <c r="E103" s="2"/>
      <c r="F103" s="19">
        <f t="shared" si="52"/>
        <v>3.014421714444528E-2</v>
      </c>
      <c r="G103" s="2"/>
      <c r="H103" s="2"/>
      <c r="I103" s="2"/>
      <c r="J103" s="19">
        <f t="shared" si="53"/>
        <v>0</v>
      </c>
      <c r="K103" s="2"/>
      <c r="L103" s="2">
        <f t="shared" si="54"/>
        <v>4407.8900000000003</v>
      </c>
      <c r="M103" s="2"/>
      <c r="N103" s="19">
        <f t="shared" si="55"/>
        <v>0</v>
      </c>
      <c r="O103" s="11"/>
      <c r="P103" s="2">
        <f>--11782.69</f>
        <v>11782.69</v>
      </c>
      <c r="Q103" s="2"/>
      <c r="R103" s="19">
        <f t="shared" si="56"/>
        <v>8.8035323842233712E-3</v>
      </c>
      <c r="S103" s="2"/>
      <c r="T103" s="2"/>
      <c r="U103" s="2"/>
      <c r="V103" s="19">
        <f t="shared" si="57"/>
        <v>0</v>
      </c>
      <c r="W103" s="2"/>
      <c r="X103" s="2">
        <f t="shared" si="58"/>
        <v>11782.69</v>
      </c>
      <c r="Y103" s="2"/>
      <c r="Z103" s="19">
        <f t="shared" si="59"/>
        <v>0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>-350.05</f>
        <v>-350.05</v>
      </c>
      <c r="E104" s="2"/>
      <c r="F104" s="19">
        <f t="shared" si="52"/>
        <v>-2.393885330943619E-3</v>
      </c>
      <c r="G104" s="2"/>
      <c r="H104" s="2"/>
      <c r="I104" s="2"/>
      <c r="J104" s="19">
        <f t="shared" si="53"/>
        <v>0</v>
      </c>
      <c r="K104" s="2"/>
      <c r="L104" s="2">
        <f t="shared" si="54"/>
        <v>-350.05</v>
      </c>
      <c r="M104" s="2"/>
      <c r="N104" s="19">
        <f t="shared" si="55"/>
        <v>0</v>
      </c>
      <c r="O104" s="11"/>
      <c r="P104" s="2">
        <f>-6790.75</f>
        <v>-6790.75</v>
      </c>
      <c r="Q104" s="2"/>
      <c r="R104" s="19">
        <f t="shared" si="56"/>
        <v>-5.0737639315101097E-3</v>
      </c>
      <c r="S104" s="2"/>
      <c r="T104" s="2"/>
      <c r="U104" s="2"/>
      <c r="V104" s="19">
        <f t="shared" si="57"/>
        <v>0</v>
      </c>
      <c r="W104" s="2"/>
      <c r="X104" s="2">
        <f t="shared" si="58"/>
        <v>-6790.75</v>
      </c>
      <c r="Y104" s="2"/>
      <c r="Z104" s="19">
        <f t="shared" si="59"/>
        <v>0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--84.98</f>
        <v>84.98</v>
      </c>
      <c r="E105" s="2"/>
      <c r="F105" s="19">
        <f t="shared" si="52"/>
        <v>5.8115233659074067E-4</v>
      </c>
      <c r="G105" s="2"/>
      <c r="H105" s="2">
        <v>2025</v>
      </c>
      <c r="I105" s="2"/>
      <c r="J105" s="19">
        <f t="shared" si="53"/>
        <v>1.4996889534022574E-2</v>
      </c>
      <c r="K105" s="2"/>
      <c r="L105" s="2">
        <f t="shared" si="54"/>
        <v>-1940.02</v>
      </c>
      <c r="M105" s="2"/>
      <c r="N105" s="19">
        <f t="shared" si="55"/>
        <v>-0.95803456790123454</v>
      </c>
      <c r="O105" s="11"/>
      <c r="P105" s="2">
        <f>--1296.99</f>
        <v>1296.99</v>
      </c>
      <c r="Q105" s="2"/>
      <c r="R105" s="19">
        <f t="shared" si="56"/>
        <v>9.690565963301988E-4</v>
      </c>
      <c r="S105" s="2"/>
      <c r="T105" s="2">
        <v>7425</v>
      </c>
      <c r="U105" s="2"/>
      <c r="V105" s="19">
        <f t="shared" si="57"/>
        <v>6.538508955775903E-3</v>
      </c>
      <c r="W105" s="2"/>
      <c r="X105" s="2">
        <f t="shared" si="58"/>
        <v>-6128.01</v>
      </c>
      <c r="Y105" s="2"/>
      <c r="Z105" s="19">
        <f t="shared" si="59"/>
        <v>-0.82532121212121212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2">
        <f>+D56-D58+D102</f>
        <v>8923.0600000000413</v>
      </c>
      <c r="E107" s="14"/>
      <c r="F107" s="20">
        <f>IF(D$12=0,0,D107/D$12)</f>
        <v>6.1022089533294868E-2</v>
      </c>
      <c r="G107" s="14"/>
      <c r="H107" s="22">
        <f>+H56-H58+H102</f>
        <v>13345.384835603843</v>
      </c>
      <c r="I107" s="14"/>
      <c r="J107" s="20">
        <f>IF(H$12=0,0,H107/H$12)</f>
        <v>9.8834203540034984E-2</v>
      </c>
      <c r="K107" s="16"/>
      <c r="L107" s="22">
        <f>+D107-H107</f>
        <v>-4422.3248356038021</v>
      </c>
      <c r="M107" s="16"/>
      <c r="N107" s="20">
        <f>IF(H107=0,0,L107/H107)</f>
        <v>-0.33137484531772993</v>
      </c>
      <c r="O107" s="29"/>
      <c r="P107" s="22">
        <f>+P56-P58+P102</f>
        <v>24893.87999999959</v>
      </c>
      <c r="Q107" s="14"/>
      <c r="R107" s="20">
        <f>IF(P$12=0,0,P107/P$12)</f>
        <v>1.85996643168043E-2</v>
      </c>
      <c r="S107" s="14"/>
      <c r="T107" s="22">
        <f>+T56-T58+T102</f>
        <v>187547.45251747384</v>
      </c>
      <c r="U107" s="14"/>
      <c r="V107" s="20">
        <f>IF(T$12=0,0,T107/T$12)</f>
        <v>0.16515564955130757</v>
      </c>
      <c r="W107" s="16"/>
      <c r="X107" s="22">
        <f>+P107-T107</f>
        <v>-162653.57251747424</v>
      </c>
      <c r="Y107" s="16"/>
      <c r="Z107" s="20">
        <f>IF(T107=0,0,X107/T107)</f>
        <v>-0.8672662322743081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6671.52</v>
      </c>
      <c r="E109" s="4"/>
      <c r="F109" s="12">
        <f>IF(D$12=0,0,D109/D$12)</f>
        <v>4.5624493252669547E-2</v>
      </c>
      <c r="G109" s="4"/>
      <c r="H109" s="4">
        <v>10196</v>
      </c>
      <c r="I109" s="4"/>
      <c r="J109" s="12">
        <f>IF(H$12=0,0,H109/H$12)</f>
        <v>7.5510264537725511E-2</v>
      </c>
      <c r="K109" s="4"/>
      <c r="L109" s="4">
        <f>+D109-H109</f>
        <v>-3524.4799999999996</v>
      </c>
      <c r="M109" s="4"/>
      <c r="N109" s="12">
        <f>IF(H109=0,0,L109/H109)</f>
        <v>-0.34567281286779122</v>
      </c>
      <c r="O109" s="10"/>
      <c r="P109" s="4">
        <v>134727.24</v>
      </c>
      <c r="Q109" s="4"/>
      <c r="R109" s="12">
        <f>IF(P$12=0,0,P109/P$12)</f>
        <v>0.1006625499251049</v>
      </c>
      <c r="S109" s="4"/>
      <c r="T109" s="4">
        <v>136750</v>
      </c>
      <c r="U109" s="4"/>
      <c r="V109" s="12">
        <f>IF(T$12=0,0,T109/T$12)</f>
        <v>0.12042304373095687</v>
      </c>
      <c r="W109" s="4"/>
      <c r="X109" s="4">
        <f>+P109-T109</f>
        <v>-2022.7600000000093</v>
      </c>
      <c r="Y109" s="4"/>
      <c r="Z109" s="12">
        <f>IF(T109=0,0,X109/T109)</f>
        <v>-1.4791663619744126E-2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1">
        <f>+D107-D109</f>
        <v>2251.5400000000409</v>
      </c>
      <c r="E111" s="14"/>
      <c r="F111" s="33">
        <f>IF(D$12=0,0,D111/D$12)</f>
        <v>1.5397596280625323E-2</v>
      </c>
      <c r="G111" s="14"/>
      <c r="H111" s="31">
        <f>+H107-H109</f>
        <v>3149.3848356038434</v>
      </c>
      <c r="I111" s="14"/>
      <c r="J111" s="33">
        <f>IF(H$12=0,0,H111/H$12)</f>
        <v>2.332393900230947E-2</v>
      </c>
      <c r="K111" s="16"/>
      <c r="L111" s="31">
        <f>D111-H111</f>
        <v>-897.84483560380249</v>
      </c>
      <c r="M111" s="16"/>
      <c r="N111" s="33">
        <f>IF(H111=0,0,L111/H111)</f>
        <v>-0.28508578102417115</v>
      </c>
      <c r="O111" s="29"/>
      <c r="P111" s="31">
        <f>+P107-P109</f>
        <v>-109833.36000000039</v>
      </c>
      <c r="Q111" s="14"/>
      <c r="R111" s="33">
        <f>IF(P$12=0,0,P111/P$12)</f>
        <v>-8.2062885608300593E-2</v>
      </c>
      <c r="S111" s="14"/>
      <c r="T111" s="31">
        <f>+T107-T109</f>
        <v>50797.452517473837</v>
      </c>
      <c r="U111" s="14"/>
      <c r="V111" s="33">
        <f>IF(T$12=0,0,T111/T$12)</f>
        <v>4.4732605820350692E-2</v>
      </c>
      <c r="W111" s="16"/>
      <c r="X111" s="31">
        <f>P111-T111</f>
        <v>-160630.81251747423</v>
      </c>
      <c r="Y111" s="16"/>
      <c r="Z111" s="33">
        <f>IF(T111=0,0,X111/T111)</f>
        <v>-3.1621824433463228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2">
        <f>SUM(D111:D113)</f>
        <v>2251.5400000000409</v>
      </c>
      <c r="E114" s="14"/>
      <c r="F114" s="34">
        <f>IF(D$12=0,0,D114/D$12)</f>
        <v>1.5397596280625323E-2</v>
      </c>
      <c r="G114" s="14"/>
      <c r="H114" s="32">
        <f>SUM(H111:H113)</f>
        <v>3149.3848356038434</v>
      </c>
      <c r="I114" s="14"/>
      <c r="J114" s="34">
        <f>IF(H$12=0,0,H114/H$12)</f>
        <v>2.332393900230947E-2</v>
      </c>
      <c r="K114" s="16"/>
      <c r="L114" s="32">
        <f>+D114-H114</f>
        <v>-897.84483560380249</v>
      </c>
      <c r="M114" s="16"/>
      <c r="N114" s="34">
        <f>IF(H114=0,0,L114/H114)</f>
        <v>-0.28508578102417115</v>
      </c>
      <c r="O114" s="29"/>
      <c r="P114" s="32">
        <f>SUM(P111:P113)</f>
        <v>-109833.36000000039</v>
      </c>
      <c r="Q114" s="14"/>
      <c r="R114" s="34">
        <f>IF(P$12=0,0,P114/P$12)</f>
        <v>-8.2062885608300593E-2</v>
      </c>
      <c r="S114" s="14"/>
      <c r="T114" s="32">
        <f>SUM(T111:T113)</f>
        <v>50797.452517473837</v>
      </c>
      <c r="U114" s="14"/>
      <c r="V114" s="34">
        <f>IF(T$12=0,0,T114/T$12)</f>
        <v>4.4732605820350692E-2</v>
      </c>
      <c r="W114" s="16"/>
      <c r="X114" s="32">
        <f>+P114-T114</f>
        <v>-160630.81251747423</v>
      </c>
      <c r="Y114" s="16"/>
      <c r="Z114" s="34">
        <f>IF(T114=0,0,X114/T114)</f>
        <v>-3.1621824433463228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60">
        <v>43791.347877858796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4" t="s">
        <v>314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5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146226.72000000003</v>
      </c>
      <c r="E12" s="4"/>
      <c r="F12" s="12"/>
      <c r="G12" s="4"/>
      <c r="H12" s="4">
        <f>SUM(OSRRefH13x_0)</f>
        <v>135028</v>
      </c>
      <c r="I12" s="4"/>
      <c r="J12" s="12"/>
      <c r="K12" s="4"/>
      <c r="L12" s="4">
        <f t="shared" ref="L12:L38" si="0">+D12-H12</f>
        <v>11198.72000000003</v>
      </c>
      <c r="M12" s="4"/>
      <c r="N12" s="12">
        <f t="shared" ref="N12:N38" si="1">IF(H12=0,0,L12/H12)</f>
        <v>8.2936279882691227E-2</v>
      </c>
      <c r="O12" s="10"/>
      <c r="P12" s="4">
        <f>SUM(OSRRefP13x_0)</f>
        <v>1338404.7999999996</v>
      </c>
      <c r="Q12" s="4"/>
      <c r="R12" s="12"/>
      <c r="S12" s="4"/>
      <c r="T12" s="4">
        <f>SUM(OSRRefT13x_0)</f>
        <v>1135580</v>
      </c>
      <c r="U12" s="4"/>
      <c r="V12" s="12"/>
      <c r="W12" s="4"/>
      <c r="X12" s="4">
        <f t="shared" ref="X12:X38" si="2">+P12-T12</f>
        <v>202824.79999999958</v>
      </c>
      <c r="Y12" s="4"/>
      <c r="Z12" s="12">
        <f t="shared" ref="Z12:Z38" si="3">IF(T12=0,0,X12/T12)</f>
        <v>0.1786089927614079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118824</v>
      </c>
      <c r="I13" s="2"/>
      <c r="J13" s="19"/>
      <c r="K13" s="2"/>
      <c r="L13" s="2">
        <f t="shared" si="0"/>
        <v>-118824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999308.99999999988</v>
      </c>
      <c r="U13" s="2"/>
      <c r="V13" s="19"/>
      <c r="W13" s="2"/>
      <c r="X13" s="2">
        <f t="shared" si="2"/>
        <v>-999308.99999999988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--24779.49</f>
        <v>24779.49</v>
      </c>
      <c r="E14" s="2"/>
      <c r="F14" s="19"/>
      <c r="G14" s="2"/>
      <c r="H14" s="2"/>
      <c r="I14" s="2"/>
      <c r="J14" s="19"/>
      <c r="K14" s="2"/>
      <c r="L14" s="2">
        <f t="shared" si="0"/>
        <v>24779.49</v>
      </c>
      <c r="M14" s="2"/>
      <c r="N14" s="19">
        <f t="shared" si="1"/>
        <v>0</v>
      </c>
      <c r="O14" s="11"/>
      <c r="P14" s="2">
        <f>--213456.81</f>
        <v>213456.81</v>
      </c>
      <c r="Q14" s="2"/>
      <c r="R14" s="19"/>
      <c r="S14" s="2"/>
      <c r="T14" s="2"/>
      <c r="U14" s="2"/>
      <c r="V14" s="19"/>
      <c r="W14" s="2"/>
      <c r="X14" s="2">
        <f t="shared" si="2"/>
        <v>213456.81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--109645.14</f>
        <v>109645.14</v>
      </c>
      <c r="E15" s="2"/>
      <c r="F15" s="19"/>
      <c r="G15" s="2"/>
      <c r="H15" s="2"/>
      <c r="I15" s="2"/>
      <c r="J15" s="19"/>
      <c r="K15" s="2"/>
      <c r="L15" s="2">
        <f t="shared" si="0"/>
        <v>109645.14</v>
      </c>
      <c r="M15" s="2"/>
      <c r="N15" s="19">
        <f t="shared" si="1"/>
        <v>0</v>
      </c>
      <c r="O15" s="11"/>
      <c r="P15" s="2">
        <f>--1148399.63</f>
        <v>1148399.6299999999</v>
      </c>
      <c r="Q15" s="2"/>
      <c r="R15" s="19"/>
      <c r="S15" s="2"/>
      <c r="T15" s="2"/>
      <c r="U15" s="2"/>
      <c r="V15" s="19"/>
      <c r="W15" s="2"/>
      <c r="X15" s="2">
        <f t="shared" si="2"/>
        <v>1148399.6299999999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--12650.01</f>
        <v>12650.01</v>
      </c>
      <c r="E16" s="2"/>
      <c r="F16" s="19"/>
      <c r="G16" s="2"/>
      <c r="H16" s="2"/>
      <c r="I16" s="2"/>
      <c r="J16" s="19"/>
      <c r="K16" s="2"/>
      <c r="L16" s="2">
        <f t="shared" si="0"/>
        <v>12650.01</v>
      </c>
      <c r="M16" s="2"/>
      <c r="N16" s="19">
        <f t="shared" si="1"/>
        <v>0</v>
      </c>
      <c r="O16" s="11"/>
      <c r="P16" s="2">
        <f>--53606.22</f>
        <v>53606.22</v>
      </c>
      <c r="Q16" s="2"/>
      <c r="R16" s="19"/>
      <c r="S16" s="2"/>
      <c r="T16" s="2"/>
      <c r="U16" s="2"/>
      <c r="V16" s="19"/>
      <c r="W16" s="2"/>
      <c r="X16" s="2">
        <f t="shared" si="2"/>
        <v>53606.22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--3913.99</f>
        <v>3913.99</v>
      </c>
      <c r="E18" s="2"/>
      <c r="F18" s="19"/>
      <c r="G18" s="2"/>
      <c r="H18" s="2"/>
      <c r="I18" s="2"/>
      <c r="J18" s="19"/>
      <c r="K18" s="2"/>
      <c r="L18" s="2">
        <f t="shared" si="0"/>
        <v>3913.99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--6615.09</f>
        <v>6615.09</v>
      </c>
      <c r="E19" s="2"/>
      <c r="F19" s="19"/>
      <c r="G19" s="2"/>
      <c r="H19" s="2"/>
      <c r="I19" s="2"/>
      <c r="J19" s="19"/>
      <c r="K19" s="2"/>
      <c r="L19" s="2">
        <f t="shared" si="0"/>
        <v>6615.09</v>
      </c>
      <c r="M19" s="2"/>
      <c r="N19" s="19">
        <f t="shared" si="1"/>
        <v>0</v>
      </c>
      <c r="O19" s="11"/>
      <c r="P19" s="2">
        <f>--26598.3</f>
        <v>26598.3</v>
      </c>
      <c r="Q19" s="2"/>
      <c r="R19" s="19"/>
      <c r="S19" s="2"/>
      <c r="T19" s="2"/>
      <c r="U19" s="2"/>
      <c r="V19" s="19"/>
      <c r="W19" s="2"/>
      <c r="X19" s="2">
        <f t="shared" si="2"/>
        <v>26598.3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--281.98</f>
        <v>281.98</v>
      </c>
      <c r="E20" s="2"/>
      <c r="F20" s="19"/>
      <c r="G20" s="2"/>
      <c r="H20" s="2"/>
      <c r="I20" s="2"/>
      <c r="J20" s="19"/>
      <c r="K20" s="2"/>
      <c r="L20" s="2">
        <f t="shared" si="0"/>
        <v>281.98</v>
      </c>
      <c r="M20" s="2"/>
      <c r="N20" s="19">
        <f t="shared" si="1"/>
        <v>0</v>
      </c>
      <c r="O20" s="11"/>
      <c r="P20" s="2">
        <f>--817.94</f>
        <v>817.94</v>
      </c>
      <c r="Q20" s="2"/>
      <c r="R20" s="19"/>
      <c r="S20" s="2"/>
      <c r="T20" s="2"/>
      <c r="U20" s="2"/>
      <c r="V20" s="19"/>
      <c r="W20" s="2"/>
      <c r="X20" s="2">
        <f t="shared" si="2"/>
        <v>817.94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16204</v>
      </c>
      <c r="I21" s="2"/>
      <c r="J21" s="19"/>
      <c r="K21" s="2"/>
      <c r="L21" s="2">
        <f t="shared" si="0"/>
        <v>-16204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136271</v>
      </c>
      <c r="U21" s="2"/>
      <c r="V21" s="19"/>
      <c r="W21" s="2"/>
      <c r="X21" s="2">
        <f t="shared" si="2"/>
        <v>-136271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--7.99</f>
        <v>7.99</v>
      </c>
      <c r="E22" s="2"/>
      <c r="F22" s="19"/>
      <c r="G22" s="2"/>
      <c r="H22" s="2"/>
      <c r="I22" s="2"/>
      <c r="J22" s="19"/>
      <c r="K22" s="2"/>
      <c r="L22" s="2">
        <f t="shared" si="0"/>
        <v>7.99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--10758</f>
        <v>10758</v>
      </c>
      <c r="E23" s="2"/>
      <c r="F23" s="19"/>
      <c r="G23" s="2"/>
      <c r="H23" s="2"/>
      <c r="I23" s="2"/>
      <c r="J23" s="19"/>
      <c r="K23" s="2"/>
      <c r="L23" s="2">
        <f t="shared" si="0"/>
        <v>10758</v>
      </c>
      <c r="M23" s="2"/>
      <c r="N23" s="19">
        <f t="shared" si="1"/>
        <v>0</v>
      </c>
      <c r="O23" s="11"/>
      <c r="P23" s="2">
        <f>--56560</f>
        <v>56560</v>
      </c>
      <c r="Q23" s="2"/>
      <c r="R23" s="19"/>
      <c r="S23" s="2"/>
      <c r="T23" s="2"/>
      <c r="U23" s="2"/>
      <c r="V23" s="19"/>
      <c r="W23" s="2"/>
      <c r="X23" s="2">
        <f t="shared" si="2"/>
        <v>56560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--1033.81</f>
        <v>1033.81</v>
      </c>
      <c r="E24" s="2"/>
      <c r="F24" s="19"/>
      <c r="G24" s="2"/>
      <c r="H24" s="2"/>
      <c r="I24" s="2"/>
      <c r="J24" s="19"/>
      <c r="K24" s="2"/>
      <c r="L24" s="2">
        <f t="shared" si="0"/>
        <v>1033.81</v>
      </c>
      <c r="M24" s="2"/>
      <c r="N24" s="19">
        <f t="shared" si="1"/>
        <v>0</v>
      </c>
      <c r="O24" s="11"/>
      <c r="P24" s="2">
        <f>--3054.92</f>
        <v>3054.92</v>
      </c>
      <c r="Q24" s="2"/>
      <c r="R24" s="19"/>
      <c r="S24" s="2"/>
      <c r="T24" s="2"/>
      <c r="U24" s="2"/>
      <c r="V24" s="19"/>
      <c r="W24" s="2"/>
      <c r="X24" s="2">
        <f t="shared" si="2"/>
        <v>3054.92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--1522</f>
        <v>1522</v>
      </c>
      <c r="Q25" s="2"/>
      <c r="R25" s="19"/>
      <c r="S25" s="2"/>
      <c r="T25" s="2"/>
      <c r="U25" s="2"/>
      <c r="V25" s="19"/>
      <c r="W25" s="2"/>
      <c r="X25" s="2">
        <f t="shared" si="2"/>
        <v>1522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--1389.95</f>
        <v>1389.95</v>
      </c>
      <c r="E26" s="2"/>
      <c r="F26" s="19"/>
      <c r="G26" s="2"/>
      <c r="H26" s="2"/>
      <c r="I26" s="2"/>
      <c r="J26" s="19"/>
      <c r="K26" s="2"/>
      <c r="L26" s="2">
        <f t="shared" si="0"/>
        <v>1389.95</v>
      </c>
      <c r="M26" s="2"/>
      <c r="N26" s="19">
        <f t="shared" si="1"/>
        <v>0</v>
      </c>
      <c r="O26" s="11"/>
      <c r="P26" s="2">
        <f>--8467.89</f>
        <v>8467.89</v>
      </c>
      <c r="Q26" s="2"/>
      <c r="R26" s="19"/>
      <c r="S26" s="2"/>
      <c r="T26" s="2"/>
      <c r="U26" s="2"/>
      <c r="V26" s="19"/>
      <c r="W26" s="2"/>
      <c r="X26" s="2">
        <f t="shared" si="2"/>
        <v>8467.89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--792.62</f>
        <v>792.62</v>
      </c>
      <c r="E27" s="2"/>
      <c r="F27" s="19"/>
      <c r="G27" s="2"/>
      <c r="H27" s="2"/>
      <c r="I27" s="2"/>
      <c r="J27" s="19"/>
      <c r="K27" s="2"/>
      <c r="L27" s="2">
        <f t="shared" si="0"/>
        <v>792.62</v>
      </c>
      <c r="M27" s="2"/>
      <c r="N27" s="19">
        <f t="shared" si="1"/>
        <v>0</v>
      </c>
      <c r="O27" s="11"/>
      <c r="P27" s="2">
        <f>--1553.38</f>
        <v>1553.38</v>
      </c>
      <c r="Q27" s="2"/>
      <c r="R27" s="19"/>
      <c r="S27" s="2"/>
      <c r="T27" s="2"/>
      <c r="U27" s="2"/>
      <c r="V27" s="19"/>
      <c r="W27" s="2"/>
      <c r="X27" s="2">
        <f t="shared" si="2"/>
        <v>1553.38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-1281.68</f>
        <v>-1281.68</v>
      </c>
      <c r="E29" s="2"/>
      <c r="F29" s="19"/>
      <c r="G29" s="2"/>
      <c r="H29" s="2"/>
      <c r="I29" s="2"/>
      <c r="J29" s="19"/>
      <c r="K29" s="2"/>
      <c r="L29" s="2">
        <f t="shared" si="0"/>
        <v>-1281.68</v>
      </c>
      <c r="M29" s="2"/>
      <c r="N29" s="19">
        <f t="shared" si="1"/>
        <v>0</v>
      </c>
      <c r="O29" s="11"/>
      <c r="P29" s="2">
        <f>-4556.15</f>
        <v>-4556.1499999999996</v>
      </c>
      <c r="Q29" s="2"/>
      <c r="R29" s="19"/>
      <c r="S29" s="2"/>
      <c r="T29" s="2"/>
      <c r="U29" s="2"/>
      <c r="V29" s="19"/>
      <c r="W29" s="2"/>
      <c r="X29" s="2">
        <f t="shared" si="2"/>
        <v>-4556.1499999999996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-22491.01</f>
        <v>-22491.01</v>
      </c>
      <c r="E30" s="2"/>
      <c r="F30" s="19"/>
      <c r="G30" s="2"/>
      <c r="H30" s="2"/>
      <c r="I30" s="2"/>
      <c r="J30" s="19"/>
      <c r="K30" s="2"/>
      <c r="L30" s="2">
        <f t="shared" si="0"/>
        <v>-22491.01</v>
      </c>
      <c r="M30" s="2"/>
      <c r="N30" s="19">
        <f t="shared" si="1"/>
        <v>0</v>
      </c>
      <c r="O30" s="11"/>
      <c r="P30" s="2">
        <f>-170137.86</f>
        <v>-170137.86</v>
      </c>
      <c r="Q30" s="2"/>
      <c r="R30" s="19"/>
      <c r="S30" s="2"/>
      <c r="T30" s="2"/>
      <c r="U30" s="2"/>
      <c r="V30" s="19"/>
      <c r="W30" s="2"/>
      <c r="X30" s="2">
        <f t="shared" si="2"/>
        <v>-170137.86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-1247.85</f>
        <v>-1247.8499999999999</v>
      </c>
      <c r="E31" s="2"/>
      <c r="F31" s="19"/>
      <c r="G31" s="2"/>
      <c r="H31" s="2"/>
      <c r="I31" s="2"/>
      <c r="J31" s="19"/>
      <c r="K31" s="2"/>
      <c r="L31" s="2">
        <f t="shared" si="0"/>
        <v>-1247.8499999999999</v>
      </c>
      <c r="M31" s="2"/>
      <c r="N31" s="19">
        <f t="shared" si="1"/>
        <v>0</v>
      </c>
      <c r="O31" s="11"/>
      <c r="P31" s="2">
        <f>-2532.33</f>
        <v>-2532.33</v>
      </c>
      <c r="Q31" s="2"/>
      <c r="R31" s="19"/>
      <c r="S31" s="2"/>
      <c r="T31" s="2"/>
      <c r="U31" s="2"/>
      <c r="V31" s="19"/>
      <c r="W31" s="2"/>
      <c r="X31" s="2">
        <f t="shared" si="2"/>
        <v>-2532.33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-248.99</f>
        <v>-248.99</v>
      </c>
      <c r="E33" s="2"/>
      <c r="F33" s="19"/>
      <c r="G33" s="2"/>
      <c r="H33" s="2"/>
      <c r="I33" s="2"/>
      <c r="J33" s="19"/>
      <c r="K33" s="2"/>
      <c r="L33" s="2">
        <f t="shared" si="0"/>
        <v>-248.99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-307.86</f>
        <v>-307.86</v>
      </c>
      <c r="E34" s="2"/>
      <c r="F34" s="19"/>
      <c r="G34" s="2"/>
      <c r="H34" s="2"/>
      <c r="I34" s="2"/>
      <c r="J34" s="19"/>
      <c r="K34" s="2"/>
      <c r="L34" s="2">
        <f t="shared" si="0"/>
        <v>-307.86</v>
      </c>
      <c r="M34" s="2"/>
      <c r="N34" s="19">
        <f t="shared" si="1"/>
        <v>0</v>
      </c>
      <c r="O34" s="11"/>
      <c r="P34" s="2">
        <f>-2451.6</f>
        <v>-2451.6</v>
      </c>
      <c r="Q34" s="2"/>
      <c r="R34" s="19"/>
      <c r="S34" s="2"/>
      <c r="T34" s="2"/>
      <c r="U34" s="2"/>
      <c r="V34" s="19"/>
      <c r="W34" s="2"/>
      <c r="X34" s="2">
        <f t="shared" si="2"/>
        <v>-2451.6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>-3.99</f>
        <v>-3.99</v>
      </c>
      <c r="E35" s="2"/>
      <c r="F35" s="19"/>
      <c r="G35" s="2"/>
      <c r="H35" s="2"/>
      <c r="I35" s="2"/>
      <c r="J35" s="19"/>
      <c r="K35" s="2"/>
      <c r="L35" s="2">
        <f t="shared" si="0"/>
        <v>-3.99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>-24.99</f>
        <v>-24.99</v>
      </c>
      <c r="E37" s="2"/>
      <c r="F37" s="19"/>
      <c r="G37" s="2"/>
      <c r="H37" s="2"/>
      <c r="I37" s="2"/>
      <c r="J37" s="19"/>
      <c r="K37" s="2"/>
      <c r="L37" s="2">
        <f t="shared" si="0"/>
        <v>-24.99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>-34.98</f>
        <v>-34.979999999999997</v>
      </c>
      <c r="E38" s="2"/>
      <c r="F38" s="19"/>
      <c r="G38" s="2"/>
      <c r="H38" s="2"/>
      <c r="I38" s="2"/>
      <c r="J38" s="19"/>
      <c r="K38" s="2"/>
      <c r="L38" s="2">
        <f t="shared" si="0"/>
        <v>-34.979999999999997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123920.84999999999</v>
      </c>
      <c r="E40" s="4"/>
      <c r="F40" s="12">
        <f t="shared" ref="F40:F54" si="4">IF(D$12=0,0,D40/D$12)</f>
        <v>0.84745694904460667</v>
      </c>
      <c r="G40" s="4"/>
      <c r="H40" s="4">
        <f>SUM(OSRRefH16x_0)</f>
        <v>105451</v>
      </c>
      <c r="I40" s="4"/>
      <c r="J40" s="12">
        <f t="shared" ref="J40:J54" si="5">IF(H$12=0,0,H40/H$12)</f>
        <v>0.78095654234677248</v>
      </c>
      <c r="K40" s="4"/>
      <c r="L40" s="4">
        <f t="shared" ref="L40:L54" si="6">+D40-H40</f>
        <v>18469.849999999991</v>
      </c>
      <c r="M40" s="4"/>
      <c r="N40" s="12">
        <f t="shared" ref="N40:N54" si="7">IF(H40=0,0,L40/H40)</f>
        <v>0.175151018008364</v>
      </c>
      <c r="O40" s="10"/>
      <c r="P40" s="4">
        <f>SUM(OSRRefP16x_0)</f>
        <v>1200081</v>
      </c>
      <c r="Q40" s="4"/>
      <c r="R40" s="12">
        <f t="shared" ref="R40:R54" si="8">IF(P$12=0,0,P40/P$12)</f>
        <v>0.89665025110489771</v>
      </c>
      <c r="S40" s="4"/>
      <c r="T40" s="4">
        <f>SUM(OSRRefT16x_0)</f>
        <v>886846</v>
      </c>
      <c r="U40" s="4"/>
      <c r="V40" s="12">
        <f t="shared" ref="V40:V54" si="9">IF(T$12=0,0,T40/T$12)</f>
        <v>0.78096303210694096</v>
      </c>
      <c r="W40" s="4"/>
      <c r="X40" s="4">
        <f t="shared" ref="X40:X54" si="10">+P40-T40</f>
        <v>313235</v>
      </c>
      <c r="Y40" s="4"/>
      <c r="Z40" s="12">
        <f t="shared" ref="Z40:Z54" si="11">IF(T40=0,0,X40/T40)</f>
        <v>0.35320111947282845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4"/>
        <v>0</v>
      </c>
      <c r="G41" s="2"/>
      <c r="H41" s="2">
        <v>105451</v>
      </c>
      <c r="I41" s="2"/>
      <c r="J41" s="19">
        <f t="shared" si="5"/>
        <v>0.78095654234677248</v>
      </c>
      <c r="K41" s="2"/>
      <c r="L41" s="2">
        <f t="shared" si="6"/>
        <v>-105451</v>
      </c>
      <c r="M41" s="2"/>
      <c r="N41" s="19">
        <f t="shared" si="7"/>
        <v>-1</v>
      </c>
      <c r="O41" s="11"/>
      <c r="P41" s="2"/>
      <c r="Q41" s="2"/>
      <c r="R41" s="19">
        <f t="shared" si="8"/>
        <v>0</v>
      </c>
      <c r="S41" s="2"/>
      <c r="T41" s="2">
        <v>886846</v>
      </c>
      <c r="U41" s="2"/>
      <c r="V41" s="19">
        <f t="shared" si="9"/>
        <v>0.78096303210694096</v>
      </c>
      <c r="W41" s="2"/>
      <c r="X41" s="2">
        <f t="shared" si="10"/>
        <v>-886846</v>
      </c>
      <c r="Y41" s="2"/>
      <c r="Z41" s="19">
        <f t="shared" si="11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18487.53</v>
      </c>
      <c r="E42" s="2"/>
      <c r="F42" s="19">
        <f t="shared" si="4"/>
        <v>0.12643058669441531</v>
      </c>
      <c r="G42" s="2"/>
      <c r="H42" s="2"/>
      <c r="I42" s="2"/>
      <c r="J42" s="19">
        <f t="shared" si="5"/>
        <v>0</v>
      </c>
      <c r="K42" s="2"/>
      <c r="L42" s="2">
        <f t="shared" si="6"/>
        <v>18487.53</v>
      </c>
      <c r="M42" s="2"/>
      <c r="N42" s="19">
        <f t="shared" si="7"/>
        <v>0</v>
      </c>
      <c r="O42" s="11"/>
      <c r="P42" s="2">
        <v>168173.62</v>
      </c>
      <c r="Q42" s="2"/>
      <c r="R42" s="19">
        <f t="shared" si="8"/>
        <v>0.12565228397268155</v>
      </c>
      <c r="S42" s="2"/>
      <c r="T42" s="2"/>
      <c r="U42" s="2"/>
      <c r="V42" s="19">
        <f t="shared" si="9"/>
        <v>0</v>
      </c>
      <c r="W42" s="2"/>
      <c r="X42" s="2">
        <f t="shared" si="10"/>
        <v>168173.62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94594.73</v>
      </c>
      <c r="E43" s="2"/>
      <c r="F43" s="19">
        <f t="shared" si="4"/>
        <v>0.64690454658355179</v>
      </c>
      <c r="G43" s="2"/>
      <c r="H43" s="2"/>
      <c r="I43" s="2"/>
      <c r="J43" s="19">
        <f t="shared" si="5"/>
        <v>0</v>
      </c>
      <c r="K43" s="2"/>
      <c r="L43" s="2">
        <f t="shared" si="6"/>
        <v>94594.73</v>
      </c>
      <c r="M43" s="2"/>
      <c r="N43" s="19">
        <f t="shared" si="7"/>
        <v>0</v>
      </c>
      <c r="O43" s="11"/>
      <c r="P43" s="2">
        <v>895637.7</v>
      </c>
      <c r="Q43" s="2"/>
      <c r="R43" s="19">
        <f t="shared" si="8"/>
        <v>0.66918297065282506</v>
      </c>
      <c r="S43" s="2"/>
      <c r="T43" s="2"/>
      <c r="U43" s="2"/>
      <c r="V43" s="19">
        <f t="shared" si="9"/>
        <v>0</v>
      </c>
      <c r="W43" s="2"/>
      <c r="X43" s="2">
        <f t="shared" si="10"/>
        <v>895637.7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14096.28</v>
      </c>
      <c r="E44" s="2"/>
      <c r="F44" s="19">
        <f t="shared" si="4"/>
        <v>9.6400165441719532E-2</v>
      </c>
      <c r="G44" s="2"/>
      <c r="H44" s="2"/>
      <c r="I44" s="2"/>
      <c r="J44" s="19">
        <f t="shared" si="5"/>
        <v>0</v>
      </c>
      <c r="K44" s="2"/>
      <c r="L44" s="2">
        <f t="shared" si="6"/>
        <v>14096.28</v>
      </c>
      <c r="M44" s="2"/>
      <c r="N44" s="19">
        <f t="shared" si="7"/>
        <v>0</v>
      </c>
      <c r="O44" s="11"/>
      <c r="P44" s="2">
        <v>41808.689999999995</v>
      </c>
      <c r="Q44" s="2"/>
      <c r="R44" s="19">
        <f t="shared" si="8"/>
        <v>3.1237701777519035E-2</v>
      </c>
      <c r="S44" s="2"/>
      <c r="T44" s="2"/>
      <c r="U44" s="2"/>
      <c r="V44" s="19">
        <f t="shared" si="9"/>
        <v>0</v>
      </c>
      <c r="W44" s="2"/>
      <c r="X44" s="2">
        <f t="shared" si="10"/>
        <v>41808.689999999995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>
        <v>1206</v>
      </c>
      <c r="E45" s="2"/>
      <c r="F45" s="19">
        <f t="shared" si="4"/>
        <v>8.2474666736694884E-3</v>
      </c>
      <c r="G45" s="2"/>
      <c r="H45" s="2"/>
      <c r="I45" s="2"/>
      <c r="J45" s="19">
        <f t="shared" si="5"/>
        <v>0</v>
      </c>
      <c r="K45" s="2"/>
      <c r="L45" s="2">
        <f t="shared" si="6"/>
        <v>1206</v>
      </c>
      <c r="M45" s="2"/>
      <c r="N45" s="19">
        <f t="shared" si="7"/>
        <v>0</v>
      </c>
      <c r="O45" s="11"/>
      <c r="P45" s="2">
        <v>2728</v>
      </c>
      <c r="Q45" s="2"/>
      <c r="R45" s="19">
        <f t="shared" si="8"/>
        <v>2.0382473224841999E-3</v>
      </c>
      <c r="S45" s="2"/>
      <c r="T45" s="2"/>
      <c r="U45" s="2"/>
      <c r="V45" s="19">
        <f t="shared" si="9"/>
        <v>0</v>
      </c>
      <c r="W45" s="2"/>
      <c r="X45" s="2">
        <f t="shared" si="10"/>
        <v>2728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506.04</v>
      </c>
      <c r="E46" s="2"/>
      <c r="F46" s="19">
        <f t="shared" si="4"/>
        <v>3.4606534291407201E-3</v>
      </c>
      <c r="G46" s="2"/>
      <c r="H46" s="2"/>
      <c r="I46" s="2"/>
      <c r="J46" s="19">
        <f t="shared" si="5"/>
        <v>0</v>
      </c>
      <c r="K46" s="2"/>
      <c r="L46" s="2">
        <f t="shared" si="6"/>
        <v>506.04</v>
      </c>
      <c r="M46" s="2"/>
      <c r="N46" s="19">
        <f t="shared" si="7"/>
        <v>0</v>
      </c>
      <c r="O46" s="11"/>
      <c r="P46" s="2">
        <v>6932.04</v>
      </c>
      <c r="Q46" s="2"/>
      <c r="R46" s="19">
        <f t="shared" si="8"/>
        <v>5.1793299007893588E-3</v>
      </c>
      <c r="S46" s="2"/>
      <c r="T46" s="2"/>
      <c r="U46" s="2"/>
      <c r="V46" s="19">
        <f t="shared" si="9"/>
        <v>0</v>
      </c>
      <c r="W46" s="2"/>
      <c r="X46" s="2">
        <f t="shared" si="10"/>
        <v>6932.04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5888.35</v>
      </c>
      <c r="E47" s="2"/>
      <c r="F47" s="19">
        <f t="shared" si="4"/>
        <v>4.0268632162439255E-2</v>
      </c>
      <c r="G47" s="2"/>
      <c r="H47" s="2"/>
      <c r="I47" s="2"/>
      <c r="J47" s="19">
        <f t="shared" si="5"/>
        <v>0</v>
      </c>
      <c r="K47" s="2"/>
      <c r="L47" s="2">
        <f t="shared" si="6"/>
        <v>5888.35</v>
      </c>
      <c r="M47" s="2"/>
      <c r="N47" s="19">
        <f t="shared" si="7"/>
        <v>0</v>
      </c>
      <c r="O47" s="11"/>
      <c r="P47" s="2">
        <v>18368.099999999999</v>
      </c>
      <c r="Q47" s="2"/>
      <c r="R47" s="19">
        <f t="shared" si="8"/>
        <v>1.3723874869546198E-2</v>
      </c>
      <c r="S47" s="2"/>
      <c r="T47" s="2"/>
      <c r="U47" s="2"/>
      <c r="V47" s="19">
        <f t="shared" si="9"/>
        <v>0</v>
      </c>
      <c r="W47" s="2"/>
      <c r="X47" s="2">
        <f t="shared" si="10"/>
        <v>18368.099999999999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88.75</v>
      </c>
      <c r="Q48" s="2"/>
      <c r="R48" s="19">
        <f t="shared" si="8"/>
        <v>6.6310282210583848E-5</v>
      </c>
      <c r="S48" s="2"/>
      <c r="T48" s="2"/>
      <c r="U48" s="2"/>
      <c r="V48" s="19">
        <f t="shared" si="9"/>
        <v>0</v>
      </c>
      <c r="W48" s="2"/>
      <c r="X48" s="2">
        <f t="shared" si="10"/>
        <v>88.75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-134851</v>
      </c>
      <c r="E49" s="2"/>
      <c r="F49" s="19">
        <f t="shared" si="4"/>
        <v>-0.92220491576368513</v>
      </c>
      <c r="G49" s="2"/>
      <c r="H49" s="2"/>
      <c r="I49" s="2"/>
      <c r="J49" s="19">
        <f t="shared" si="5"/>
        <v>0</v>
      </c>
      <c r="K49" s="2"/>
      <c r="L49" s="2">
        <f t="shared" si="6"/>
        <v>-134851</v>
      </c>
      <c r="M49" s="2"/>
      <c r="N49" s="19">
        <f t="shared" si="7"/>
        <v>0</v>
      </c>
      <c r="O49" s="11"/>
      <c r="P49" s="2">
        <v>-1134049</v>
      </c>
      <c r="Q49" s="2"/>
      <c r="R49" s="19">
        <f t="shared" si="8"/>
        <v>-0.84731390682400454</v>
      </c>
      <c r="S49" s="2"/>
      <c r="T49" s="2"/>
      <c r="U49" s="2"/>
      <c r="V49" s="19">
        <f t="shared" si="9"/>
        <v>0</v>
      </c>
      <c r="W49" s="2"/>
      <c r="X49" s="2">
        <f t="shared" si="10"/>
        <v>-1134049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123920</v>
      </c>
      <c r="E50" s="2"/>
      <c r="F50" s="19">
        <f t="shared" si="4"/>
        <v>0.84745113615350176</v>
      </c>
      <c r="G50" s="2"/>
      <c r="H50" s="2"/>
      <c r="I50" s="2"/>
      <c r="J50" s="19">
        <f t="shared" si="5"/>
        <v>0</v>
      </c>
      <c r="K50" s="2"/>
      <c r="L50" s="2">
        <f t="shared" si="6"/>
        <v>123920</v>
      </c>
      <c r="M50" s="2"/>
      <c r="N50" s="19">
        <f t="shared" si="7"/>
        <v>0</v>
      </c>
      <c r="O50" s="11"/>
      <c r="P50" s="2">
        <v>1200079</v>
      </c>
      <c r="Q50" s="2"/>
      <c r="R50" s="19">
        <f t="shared" si="8"/>
        <v>0.89664875678867884</v>
      </c>
      <c r="S50" s="2"/>
      <c r="T50" s="2"/>
      <c r="U50" s="2"/>
      <c r="V50" s="19">
        <f t="shared" si="9"/>
        <v>0</v>
      </c>
      <c r="W50" s="2"/>
      <c r="X50" s="2">
        <f t="shared" si="10"/>
        <v>1200079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>
        <v>12.8</v>
      </c>
      <c r="E51" s="2"/>
      <c r="F51" s="19">
        <f t="shared" si="4"/>
        <v>8.7535301345745823E-5</v>
      </c>
      <c r="G51" s="2"/>
      <c r="H51" s="2"/>
      <c r="I51" s="2"/>
      <c r="J51" s="19">
        <f t="shared" si="5"/>
        <v>0</v>
      </c>
      <c r="K51" s="2"/>
      <c r="L51" s="2">
        <f t="shared" si="6"/>
        <v>12.8</v>
      </c>
      <c r="M51" s="2"/>
      <c r="N51" s="19">
        <f t="shared" si="7"/>
        <v>0</v>
      </c>
      <c r="O51" s="11"/>
      <c r="P51" s="2">
        <v>105.75</v>
      </c>
      <c r="Q51" s="2"/>
      <c r="R51" s="19">
        <f t="shared" si="8"/>
        <v>7.9011970070639342E-5</v>
      </c>
      <c r="S51" s="2"/>
      <c r="T51" s="2"/>
      <c r="U51" s="2"/>
      <c r="V51" s="19">
        <f t="shared" si="9"/>
        <v>0</v>
      </c>
      <c r="W51" s="2"/>
      <c r="X51" s="2">
        <f t="shared" si="10"/>
        <v>105.75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4.84</v>
      </c>
      <c r="Q52" s="2"/>
      <c r="R52" s="19">
        <f t="shared" si="8"/>
        <v>3.6162452495687415E-6</v>
      </c>
      <c r="S52" s="2"/>
      <c r="T52" s="2"/>
      <c r="U52" s="2"/>
      <c r="V52" s="19">
        <f t="shared" si="9"/>
        <v>0</v>
      </c>
      <c r="W52" s="2"/>
      <c r="X52" s="2">
        <f t="shared" si="10"/>
        <v>4.84</v>
      </c>
      <c r="Y52" s="2"/>
      <c r="Z52" s="19">
        <f t="shared" si="11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41</v>
      </c>
      <c r="Q53" s="2"/>
      <c r="R53" s="19">
        <f t="shared" si="8"/>
        <v>3.0633482486016197E-5</v>
      </c>
      <c r="S53" s="2"/>
      <c r="T53" s="2"/>
      <c r="U53" s="2"/>
      <c r="V53" s="19">
        <f t="shared" si="9"/>
        <v>0</v>
      </c>
      <c r="W53" s="2"/>
      <c r="X53" s="2">
        <f t="shared" si="10"/>
        <v>41</v>
      </c>
      <c r="Y53" s="2"/>
      <c r="Z53" s="19">
        <f t="shared" si="11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>
        <v>60.12</v>
      </c>
      <c r="E54" s="2"/>
      <c r="F54" s="19">
        <f t="shared" si="4"/>
        <v>4.1114236850829986E-4</v>
      </c>
      <c r="G54" s="2"/>
      <c r="H54" s="2"/>
      <c r="I54" s="2"/>
      <c r="J54" s="19">
        <f t="shared" si="5"/>
        <v>0</v>
      </c>
      <c r="K54" s="2"/>
      <c r="L54" s="2">
        <f t="shared" si="6"/>
        <v>60.12</v>
      </c>
      <c r="M54" s="2"/>
      <c r="N54" s="19">
        <f t="shared" si="7"/>
        <v>0</v>
      </c>
      <c r="O54" s="11"/>
      <c r="P54" s="2">
        <v>162.51</v>
      </c>
      <c r="Q54" s="2"/>
      <c r="R54" s="19">
        <f t="shared" si="8"/>
        <v>1.214206643610364E-4</v>
      </c>
      <c r="S54" s="2"/>
      <c r="T54" s="2"/>
      <c r="U54" s="2"/>
      <c r="V54" s="19">
        <f t="shared" si="9"/>
        <v>0</v>
      </c>
      <c r="W54" s="2"/>
      <c r="X54" s="2">
        <f t="shared" si="10"/>
        <v>162.51</v>
      </c>
      <c r="Y54" s="2"/>
      <c r="Z54" s="19">
        <f t="shared" si="11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2">
        <f>D12-D40</f>
        <v>22305.870000000039</v>
      </c>
      <c r="E56" s="14"/>
      <c r="F56" s="20">
        <f>IF(D$12=0,0,D56/D$12)</f>
        <v>0.15254305095539333</v>
      </c>
      <c r="G56" s="14"/>
      <c r="H56" s="22">
        <f>H12-H40</f>
        <v>29577</v>
      </c>
      <c r="I56" s="14"/>
      <c r="J56" s="20">
        <f>IF(H$12=0,0,H56/H$12)</f>
        <v>0.21904345765322747</v>
      </c>
      <c r="K56" s="16"/>
      <c r="L56" s="22">
        <f>+D56-H56</f>
        <v>-7271.129999999961</v>
      </c>
      <c r="M56" s="16"/>
      <c r="N56" s="20">
        <f>IF(H56=0,0,L56/H56)</f>
        <v>-0.24583730601480749</v>
      </c>
      <c r="O56" s="29"/>
      <c r="P56" s="22">
        <f>P12-P40</f>
        <v>138323.79999999958</v>
      </c>
      <c r="Q56" s="14"/>
      <c r="R56" s="20">
        <f>IF(P$12=0,0,P56/P$12)</f>
        <v>0.1033497488951023</v>
      </c>
      <c r="S56" s="14"/>
      <c r="T56" s="22">
        <f>T12-T40</f>
        <v>248734</v>
      </c>
      <c r="U56" s="14"/>
      <c r="V56" s="20">
        <f>IF(T$12=0,0,T56/T$12)</f>
        <v>0.21903696789305904</v>
      </c>
      <c r="W56" s="16"/>
      <c r="X56" s="22">
        <f>+P56-T56</f>
        <v>-110410.20000000042</v>
      </c>
      <c r="Y56" s="16"/>
      <c r="Z56" s="20">
        <f>IF(T56=0,0,X56/T56)</f>
        <v>-0.44388865213441031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17525.629999999997</v>
      </c>
      <c r="E58" s="21"/>
      <c r="F58" s="35">
        <f t="shared" ref="F58:F69" si="12">IF(D$12=0,0,D58/D$12)</f>
        <v>0.11985244557219087</v>
      </c>
      <c r="G58" s="21"/>
      <c r="H58" s="21">
        <f>SUM(OSRRefH22x_0)</f>
        <v>18256.615164396157</v>
      </c>
      <c r="I58" s="21"/>
      <c r="J58" s="35">
        <f t="shared" ref="J58:J69" si="13">IF(H$12=0,0,H58/H$12)</f>
        <v>0.13520614364721506</v>
      </c>
      <c r="K58" s="4"/>
      <c r="L58" s="21">
        <f t="shared" ref="L58:L69" si="14">+D58-H58</f>
        <v>-730.98516439615923</v>
      </c>
      <c r="M58" s="4"/>
      <c r="N58" s="35">
        <f t="shared" ref="N58:N69" si="15">IF(H58=0,0,L58/H58)</f>
        <v>-4.0039468314023413E-2</v>
      </c>
      <c r="O58" s="10"/>
      <c r="P58" s="21">
        <f>SUM(OSRRefP22x_0)</f>
        <v>119718.84999999999</v>
      </c>
      <c r="Q58" s="21"/>
      <c r="R58" s="35">
        <f t="shared" ref="R58:R69" si="16">IF(P$12=0,0,P58/P$12)</f>
        <v>8.9448909627341464E-2</v>
      </c>
      <c r="S58" s="21"/>
      <c r="T58" s="21">
        <f>SUM(OSRRefT22x_0)</f>
        <v>68611.547482526148</v>
      </c>
      <c r="U58" s="21"/>
      <c r="V58" s="35">
        <f t="shared" ref="V58:V69" si="17">IF(T$12=0,0,T58/T$12)</f>
        <v>6.0419827297527387E-2</v>
      </c>
      <c r="W58" s="4"/>
      <c r="X58" s="21">
        <f t="shared" ref="X58:X69" si="18">+P58-T58</f>
        <v>51107.302517473843</v>
      </c>
      <c r="Y58" s="4"/>
      <c r="Z58" s="35">
        <f t="shared" ref="Z58:Z69" si="19">IF(T58=0,0,X58/T58)</f>
        <v>0.7448790239061398</v>
      </c>
    </row>
    <row r="59" spans="1:26" s="26" customFormat="1" outlineLevel="1" collapsed="1" x14ac:dyDescent="0.25">
      <c r="A59" s="25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3367.3299999999995</v>
      </c>
      <c r="E59" s="1"/>
      <c r="F59" s="5">
        <f t="shared" si="12"/>
        <v>2.3028144240669551E-2</v>
      </c>
      <c r="G59" s="1"/>
      <c r="H59" s="1">
        <f>SUM(OSRRefH22_0x_0)</f>
        <v>2678.863425934615</v>
      </c>
      <c r="I59" s="1"/>
      <c r="J59" s="5">
        <f t="shared" si="13"/>
        <v>1.9839317963197375E-2</v>
      </c>
      <c r="K59" s="1"/>
      <c r="L59" s="1">
        <f t="shared" si="14"/>
        <v>688.46657406538452</v>
      </c>
      <c r="M59" s="1"/>
      <c r="N59" s="5">
        <f t="shared" si="15"/>
        <v>0.2569995048647129</v>
      </c>
      <c r="O59" s="13"/>
      <c r="P59" s="1">
        <f>SUM(OSRRefP22_0x_0)</f>
        <v>12276.279999999999</v>
      </c>
      <c r="Q59" s="1"/>
      <c r="R59" s="5">
        <f t="shared" si="16"/>
        <v>9.1723221554495336E-3</v>
      </c>
      <c r="S59" s="1"/>
      <c r="T59" s="1">
        <f>SUM(OSRRefT22_0x_0)</f>
        <v>10938.901224064613</v>
      </c>
      <c r="U59" s="1"/>
      <c r="V59" s="5">
        <f t="shared" si="17"/>
        <v>9.6328759084032944E-3</v>
      </c>
      <c r="W59" s="1"/>
      <c r="X59" s="1">
        <f t="shared" si="18"/>
        <v>1337.3787759353854</v>
      </c>
      <c r="Y59" s="1"/>
      <c r="Z59" s="5">
        <f t="shared" si="19"/>
        <v>0.12225896811219673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6">
        <v>1360.46</v>
      </c>
      <c r="E60" s="2"/>
      <c r="F60" s="7">
        <f t="shared" si="12"/>
        <v>9.3037715678776067E-3</v>
      </c>
      <c r="G60" s="2"/>
      <c r="H60" s="6">
        <v>434.26097839615403</v>
      </c>
      <c r="I60" s="2"/>
      <c r="J60" s="7">
        <f t="shared" si="13"/>
        <v>3.2160809491079928E-3</v>
      </c>
      <c r="K60" s="2"/>
      <c r="L60" s="6">
        <f t="shared" si="14"/>
        <v>926.19902160384595</v>
      </c>
      <c r="M60" s="2"/>
      <c r="N60" s="7">
        <f t="shared" si="15"/>
        <v>2.1328165957359451</v>
      </c>
      <c r="O60" s="11"/>
      <c r="P60" s="6">
        <v>3135.16</v>
      </c>
      <c r="Q60" s="2"/>
      <c r="R60" s="7">
        <f t="shared" si="16"/>
        <v>2.342460218313623E-3</v>
      </c>
      <c r="S60" s="2"/>
      <c r="T60" s="6">
        <v>2374.740428926154</v>
      </c>
      <c r="U60" s="2"/>
      <c r="V60" s="7">
        <f t="shared" si="17"/>
        <v>2.0912136784076454E-3</v>
      </c>
      <c r="W60" s="2"/>
      <c r="X60" s="6">
        <f t="shared" si="18"/>
        <v>760.41957107384587</v>
      </c>
      <c r="Y60" s="2"/>
      <c r="Z60" s="7">
        <f t="shared" si="19"/>
        <v>0.32021165842437099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47.99</v>
      </c>
      <c r="E61" s="2"/>
      <c r="F61" s="7">
        <f t="shared" si="12"/>
        <v>3.2818899309237047E-4</v>
      </c>
      <c r="G61" s="2"/>
      <c r="H61" s="6">
        <v>231.31813807692299</v>
      </c>
      <c r="I61" s="2"/>
      <c r="J61" s="7">
        <f t="shared" si="13"/>
        <v>1.7131123772619234E-3</v>
      </c>
      <c r="K61" s="2"/>
      <c r="L61" s="6">
        <f t="shared" si="14"/>
        <v>-183.32813807692298</v>
      </c>
      <c r="M61" s="2"/>
      <c r="N61" s="7">
        <f t="shared" si="15"/>
        <v>-0.79253680494332301</v>
      </c>
      <c r="O61" s="11"/>
      <c r="P61" s="6">
        <v>511.56</v>
      </c>
      <c r="Q61" s="2"/>
      <c r="R61" s="7">
        <f t="shared" si="16"/>
        <v>3.8221620245235236E-4</v>
      </c>
      <c r="S61" s="2"/>
      <c r="T61" s="6">
        <v>834.54535707692196</v>
      </c>
      <c r="U61" s="2"/>
      <c r="V61" s="7">
        <f t="shared" si="17"/>
        <v>7.3490670589207452E-4</v>
      </c>
      <c r="W61" s="2"/>
      <c r="X61" s="6">
        <f t="shared" si="18"/>
        <v>-322.98535707692196</v>
      </c>
      <c r="Y61" s="2"/>
      <c r="Z61" s="7">
        <f t="shared" si="19"/>
        <v>-0.38701953625170266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6">
        <v>964.88</v>
      </c>
      <c r="E62" s="2"/>
      <c r="F62" s="7">
        <f t="shared" si="12"/>
        <v>6.5985204345690024E-3</v>
      </c>
      <c r="G62" s="2"/>
      <c r="H62" s="6">
        <v>1186.2</v>
      </c>
      <c r="I62" s="2"/>
      <c r="J62" s="7">
        <f t="shared" si="13"/>
        <v>8.7848446248185563E-3</v>
      </c>
      <c r="K62" s="2"/>
      <c r="L62" s="6">
        <f t="shared" si="14"/>
        <v>-221.32000000000005</v>
      </c>
      <c r="M62" s="2"/>
      <c r="N62" s="7">
        <f t="shared" si="15"/>
        <v>-0.1865789917383241</v>
      </c>
      <c r="O62" s="11"/>
      <c r="P62" s="6">
        <v>3859.52</v>
      </c>
      <c r="Q62" s="2"/>
      <c r="R62" s="7">
        <f t="shared" si="16"/>
        <v>2.8836716664494937E-3</v>
      </c>
      <c r="S62" s="2"/>
      <c r="T62" s="6">
        <v>4744.8</v>
      </c>
      <c r="U62" s="2"/>
      <c r="V62" s="7">
        <f t="shared" si="17"/>
        <v>4.1783053593758253E-3</v>
      </c>
      <c r="W62" s="2"/>
      <c r="X62" s="6">
        <f t="shared" si="18"/>
        <v>-885.2800000000002</v>
      </c>
      <c r="Y62" s="2"/>
      <c r="Z62" s="7">
        <f t="shared" si="19"/>
        <v>-0.1865789917383241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32.96</v>
      </c>
      <c r="E63" s="2"/>
      <c r="F63" s="7">
        <f t="shared" si="12"/>
        <v>2.254034009652955E-4</v>
      </c>
      <c r="G63" s="2"/>
      <c r="H63" s="6">
        <v>31.654060999999999</v>
      </c>
      <c r="I63" s="2"/>
      <c r="J63" s="7">
        <f t="shared" si="13"/>
        <v>2.3442590425689486E-4</v>
      </c>
      <c r="K63" s="2"/>
      <c r="L63" s="6">
        <f t="shared" si="14"/>
        <v>1.3059390000000022</v>
      </c>
      <c r="M63" s="2"/>
      <c r="N63" s="7">
        <f t="shared" si="15"/>
        <v>4.1256602114970405E-2</v>
      </c>
      <c r="O63" s="11"/>
      <c r="P63" s="6">
        <v>96.4</v>
      </c>
      <c r="Q63" s="2"/>
      <c r="R63" s="7">
        <f t="shared" si="16"/>
        <v>7.202604174760882E-5</v>
      </c>
      <c r="S63" s="2"/>
      <c r="T63" s="6">
        <v>114.2009436</v>
      </c>
      <c r="U63" s="2"/>
      <c r="V63" s="7">
        <f t="shared" si="17"/>
        <v>1.0056618080628402E-4</v>
      </c>
      <c r="W63" s="2"/>
      <c r="X63" s="6">
        <f t="shared" si="18"/>
        <v>-17.800943599999997</v>
      </c>
      <c r="Y63" s="2"/>
      <c r="Z63" s="7">
        <f t="shared" si="19"/>
        <v>-0.15587387493355173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6">
        <v>196.25</v>
      </c>
      <c r="E64" s="2"/>
      <c r="F64" s="7">
        <f t="shared" si="12"/>
        <v>1.342093975711142E-3</v>
      </c>
      <c r="G64" s="2"/>
      <c r="H64" s="6">
        <v>367.528640769231</v>
      </c>
      <c r="I64" s="2"/>
      <c r="J64" s="7">
        <f t="shared" si="13"/>
        <v>2.7218698401015417E-3</v>
      </c>
      <c r="K64" s="2"/>
      <c r="L64" s="6">
        <f t="shared" si="14"/>
        <v>-171.278640769231</v>
      </c>
      <c r="M64" s="2"/>
      <c r="N64" s="7">
        <f t="shared" si="15"/>
        <v>-0.46602800916616405</v>
      </c>
      <c r="O64" s="11"/>
      <c r="P64" s="6">
        <v>759.3</v>
      </c>
      <c r="Q64" s="2"/>
      <c r="R64" s="7">
        <f t="shared" si="16"/>
        <v>5.6731715247883166E-4</v>
      </c>
      <c r="S64" s="2"/>
      <c r="T64" s="6">
        <v>1323.1031067692318</v>
      </c>
      <c r="U64" s="2"/>
      <c r="V64" s="7">
        <f t="shared" si="17"/>
        <v>1.1651342105084906E-3</v>
      </c>
      <c r="W64" s="2"/>
      <c r="X64" s="6">
        <f t="shared" si="18"/>
        <v>-563.80310676923182</v>
      </c>
      <c r="Y64" s="2"/>
      <c r="Z64" s="7">
        <f t="shared" si="19"/>
        <v>-0.42612182216541888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2"/>
        <v>0</v>
      </c>
      <c r="G65" s="2"/>
      <c r="H65" s="6">
        <v>0</v>
      </c>
      <c r="I65" s="2"/>
      <c r="J65" s="7">
        <f t="shared" si="13"/>
        <v>0</v>
      </c>
      <c r="K65" s="2"/>
      <c r="L65" s="6">
        <f t="shared" si="14"/>
        <v>0</v>
      </c>
      <c r="M65" s="2"/>
      <c r="N65" s="7">
        <f t="shared" si="15"/>
        <v>0</v>
      </c>
      <c r="O65" s="11"/>
      <c r="P65" s="6"/>
      <c r="Q65" s="2"/>
      <c r="R65" s="7">
        <f t="shared" si="16"/>
        <v>0</v>
      </c>
      <c r="S65" s="2"/>
      <c r="T65" s="6">
        <v>0</v>
      </c>
      <c r="U65" s="2"/>
      <c r="V65" s="7">
        <f t="shared" si="17"/>
        <v>0</v>
      </c>
      <c r="W65" s="2"/>
      <c r="X65" s="6">
        <f t="shared" si="18"/>
        <v>0</v>
      </c>
      <c r="Y65" s="2"/>
      <c r="Z65" s="7">
        <f t="shared" si="19"/>
        <v>0</v>
      </c>
    </row>
    <row r="66" spans="1:26" s="24" customFormat="1" hidden="1" outlineLevel="2" x14ac:dyDescent="0.25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146.69999999999999</v>
      </c>
      <c r="E66" s="2"/>
      <c r="F66" s="7">
        <f t="shared" si="12"/>
        <v>1.0032366177672586E-3</v>
      </c>
      <c r="G66" s="2"/>
      <c r="H66" s="6"/>
      <c r="I66" s="2"/>
      <c r="J66" s="7">
        <f t="shared" si="13"/>
        <v>0</v>
      </c>
      <c r="K66" s="2"/>
      <c r="L66" s="6">
        <f t="shared" si="14"/>
        <v>146.69999999999999</v>
      </c>
      <c r="M66" s="2"/>
      <c r="N66" s="7">
        <f t="shared" si="15"/>
        <v>0</v>
      </c>
      <c r="O66" s="11"/>
      <c r="P66" s="6">
        <v>698.75</v>
      </c>
      <c r="Q66" s="2"/>
      <c r="R66" s="7">
        <f t="shared" si="16"/>
        <v>5.2207672895375164E-4</v>
      </c>
      <c r="S66" s="2"/>
      <c r="T66" s="6"/>
      <c r="U66" s="2"/>
      <c r="V66" s="7">
        <f t="shared" si="17"/>
        <v>0</v>
      </c>
      <c r="W66" s="2"/>
      <c r="X66" s="6">
        <f t="shared" si="18"/>
        <v>698.75</v>
      </c>
      <c r="Y66" s="2"/>
      <c r="Z66" s="7">
        <f t="shared" si="19"/>
        <v>0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6">
        <v>253.74</v>
      </c>
      <c r="E67" s="2"/>
      <c r="F67" s="7">
        <f t="shared" si="12"/>
        <v>1.7352505752710583E-3</v>
      </c>
      <c r="G67" s="2"/>
      <c r="H67" s="6">
        <v>213.679442307692</v>
      </c>
      <c r="I67" s="2"/>
      <c r="J67" s="7">
        <f t="shared" si="13"/>
        <v>1.5824824651753118E-3</v>
      </c>
      <c r="K67" s="2"/>
      <c r="L67" s="6">
        <f t="shared" si="14"/>
        <v>40.060557692308009</v>
      </c>
      <c r="M67" s="2"/>
      <c r="N67" s="7">
        <f t="shared" si="15"/>
        <v>0.18747969977674317</v>
      </c>
      <c r="O67" s="11"/>
      <c r="P67" s="6">
        <v>1291.01</v>
      </c>
      <c r="Q67" s="2"/>
      <c r="R67" s="7">
        <f t="shared" si="16"/>
        <v>9.6458859083589686E-4</v>
      </c>
      <c r="S67" s="2"/>
      <c r="T67" s="6">
        <v>769.24599230769206</v>
      </c>
      <c r="U67" s="2"/>
      <c r="V67" s="7">
        <f t="shared" si="17"/>
        <v>6.7740361076074963E-4</v>
      </c>
      <c r="W67" s="2"/>
      <c r="X67" s="6">
        <f t="shared" si="18"/>
        <v>521.76400769230793</v>
      </c>
      <c r="Y67" s="2"/>
      <c r="Z67" s="7">
        <f t="shared" si="19"/>
        <v>0.67827978684301893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6">
        <v>194.37</v>
      </c>
      <c r="E68" s="2"/>
      <c r="F68" s="7">
        <f t="shared" si="12"/>
        <v>1.3292372283259855E-3</v>
      </c>
      <c r="G68" s="2"/>
      <c r="H68" s="6">
        <v>214.22216538461498</v>
      </c>
      <c r="I68" s="2"/>
      <c r="J68" s="7">
        <f t="shared" si="13"/>
        <v>1.5865018024751531E-3</v>
      </c>
      <c r="K68" s="2"/>
      <c r="L68" s="6">
        <f t="shared" si="14"/>
        <v>-19.852165384614977</v>
      </c>
      <c r="M68" s="2"/>
      <c r="N68" s="7">
        <f t="shared" si="15"/>
        <v>-9.2670921092466566E-2</v>
      </c>
      <c r="O68" s="11"/>
      <c r="P68" s="6">
        <v>1280.4000000000001</v>
      </c>
      <c r="Q68" s="2"/>
      <c r="R68" s="7">
        <f t="shared" si="16"/>
        <v>9.5666124329500354E-4</v>
      </c>
      <c r="S68" s="2"/>
      <c r="T68" s="6">
        <v>778.26539538461395</v>
      </c>
      <c r="U68" s="2"/>
      <c r="V68" s="7">
        <f t="shared" si="17"/>
        <v>6.8534616265222522E-4</v>
      </c>
      <c r="W68" s="2"/>
      <c r="X68" s="6">
        <f t="shared" si="18"/>
        <v>502.13460461538614</v>
      </c>
      <c r="Y68" s="2"/>
      <c r="Z68" s="7">
        <f t="shared" si="19"/>
        <v>0.6451971365979009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6">
        <v>169.98</v>
      </c>
      <c r="E69" s="2"/>
      <c r="F69" s="7">
        <f t="shared" si="12"/>
        <v>1.1624414470898339E-3</v>
      </c>
      <c r="G69" s="2"/>
      <c r="H69" s="6"/>
      <c r="I69" s="2"/>
      <c r="J69" s="7">
        <f t="shared" si="13"/>
        <v>0</v>
      </c>
      <c r="K69" s="2"/>
      <c r="L69" s="6">
        <f t="shared" si="14"/>
        <v>169.98</v>
      </c>
      <c r="M69" s="2"/>
      <c r="N69" s="7">
        <f t="shared" si="15"/>
        <v>0</v>
      </c>
      <c r="O69" s="11"/>
      <c r="P69" s="6">
        <v>644.17999999999995</v>
      </c>
      <c r="Q69" s="2"/>
      <c r="R69" s="7">
        <f t="shared" si="16"/>
        <v>4.8130431092297351E-4</v>
      </c>
      <c r="S69" s="2"/>
      <c r="T69" s="6"/>
      <c r="U69" s="2"/>
      <c r="V69" s="7">
        <f t="shared" si="17"/>
        <v>0</v>
      </c>
      <c r="W69" s="2"/>
      <c r="X69" s="6">
        <f t="shared" si="18"/>
        <v>644.17999999999995</v>
      </c>
      <c r="Y69" s="2"/>
      <c r="Z69" s="7">
        <f t="shared" si="19"/>
        <v>0</v>
      </c>
    </row>
    <row r="70" spans="1:26" s="26" customFormat="1" outlineLevel="1" collapsed="1" x14ac:dyDescent="0.25">
      <c r="A70" s="25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11582.32</v>
      </c>
      <c r="E70" s="1"/>
      <c r="F70" s="5">
        <f t="shared" ref="F70:F80" si="20">IF(D$12=0,0,D70/D$12)</f>
        <v>7.9207958709598333E-2</v>
      </c>
      <c r="G70" s="1"/>
      <c r="H70" s="1">
        <f>SUM(OSRRefH22_1x_0)</f>
        <v>11832.75173846154</v>
      </c>
      <c r="I70" s="1"/>
      <c r="J70" s="5">
        <f t="shared" ref="J70:J80" si="21">IF(H$12=0,0,H70/H$12)</f>
        <v>8.7631837385294453E-2</v>
      </c>
      <c r="K70" s="1"/>
      <c r="L70" s="1">
        <f t="shared" ref="L70:L80" si="22">+D70-H70</f>
        <v>-250.43173846154059</v>
      </c>
      <c r="M70" s="1"/>
      <c r="N70" s="5">
        <f t="shared" ref="N70:N80" si="23">IF(H70=0,0,L70/H70)</f>
        <v>-2.1164285704358146E-2</v>
      </c>
      <c r="O70" s="13"/>
      <c r="P70" s="1">
        <f>SUM(OSRRefP22_1x_0)</f>
        <v>39094.380000000005</v>
      </c>
      <c r="Q70" s="1"/>
      <c r="R70" s="5">
        <f t="shared" ref="R70:R80" si="24">IF(P$12=0,0,P70/P$12)</f>
        <v>2.9209683049552734E-2</v>
      </c>
      <c r="S70" s="1"/>
      <c r="T70" s="1">
        <f>SUM(OSRRefT22_1x_0)</f>
        <v>42692.646258461536</v>
      </c>
      <c r="U70" s="1"/>
      <c r="V70" s="5">
        <f t="shared" ref="V70:V80" si="25">IF(T$12=0,0,T70/T$12)</f>
        <v>3.7595454532892036E-2</v>
      </c>
      <c r="W70" s="1"/>
      <c r="X70" s="1">
        <f t="shared" ref="X70:X80" si="26">+P70-T70</f>
        <v>-3598.2662584615318</v>
      </c>
      <c r="Y70" s="1"/>
      <c r="Z70" s="5">
        <f t="shared" ref="Z70:Z80" si="27">IF(T70=0,0,X70/T70)</f>
        <v>-8.4283045765718212E-2</v>
      </c>
    </row>
    <row r="71" spans="1:26" s="24" customFormat="1" hidden="1" outlineLevel="2" x14ac:dyDescent="0.25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0"/>
        <v>0</v>
      </c>
      <c r="G71" s="2"/>
      <c r="H71" s="6">
        <v>3931.7017384615406</v>
      </c>
      <c r="I71" s="2"/>
      <c r="J71" s="7">
        <f t="shared" si="21"/>
        <v>2.9117677359225793E-2</v>
      </c>
      <c r="K71" s="2"/>
      <c r="L71" s="6">
        <f t="shared" si="22"/>
        <v>-3931.7017384615406</v>
      </c>
      <c r="M71" s="2"/>
      <c r="N71" s="7">
        <f t="shared" si="23"/>
        <v>-1</v>
      </c>
      <c r="O71" s="11"/>
      <c r="P71" s="6"/>
      <c r="Q71" s="2"/>
      <c r="R71" s="7">
        <f t="shared" si="24"/>
        <v>0</v>
      </c>
      <c r="S71" s="2"/>
      <c r="T71" s="6">
        <v>14154.12625846154</v>
      </c>
      <c r="U71" s="2"/>
      <c r="V71" s="7">
        <f t="shared" si="25"/>
        <v>1.2464226437997798E-2</v>
      </c>
      <c r="W71" s="2"/>
      <c r="X71" s="6">
        <f t="shared" si="26"/>
        <v>-14154.12625846154</v>
      </c>
      <c r="Y71" s="2"/>
      <c r="Z71" s="7">
        <f t="shared" si="27"/>
        <v>-1</v>
      </c>
    </row>
    <row r="72" spans="1:26" s="24" customFormat="1" hidden="1" outlineLevel="2" x14ac:dyDescent="0.25">
      <c r="A72" s="27"/>
      <c r="B72" s="11" t="str">
        <f>CONCATENATE("          ", "6002", " - ", "STAFF SALARIES")</f>
        <v xml:space="preserve">          6002 - STAFF SALARIES</v>
      </c>
      <c r="C72" s="11"/>
      <c r="D72" s="6">
        <v>3231.38</v>
      </c>
      <c r="E72" s="2"/>
      <c r="F72" s="7">
        <f t="shared" si="20"/>
        <v>2.2098423598641885E-2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3231.38</v>
      </c>
      <c r="M72" s="2"/>
      <c r="N72" s="7">
        <f t="shared" si="23"/>
        <v>0</v>
      </c>
      <c r="O72" s="11"/>
      <c r="P72" s="6">
        <v>11863.02</v>
      </c>
      <c r="Q72" s="2"/>
      <c r="R72" s="7">
        <f t="shared" si="24"/>
        <v>8.8635515951526796E-3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11863.02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0"/>
        <v>0</v>
      </c>
      <c r="G74" s="2"/>
      <c r="H74" s="6">
        <v>1400.8</v>
      </c>
      <c r="I74" s="2"/>
      <c r="J74" s="7">
        <f t="shared" si="21"/>
        <v>1.0374144621856207E-2</v>
      </c>
      <c r="K74" s="2"/>
      <c r="L74" s="6">
        <f t="shared" si="22"/>
        <v>-1400.8</v>
      </c>
      <c r="M74" s="2"/>
      <c r="N74" s="7">
        <f t="shared" si="23"/>
        <v>-1</v>
      </c>
      <c r="O74" s="11"/>
      <c r="P74" s="6"/>
      <c r="Q74" s="2"/>
      <c r="R74" s="7">
        <f t="shared" si="24"/>
        <v>0</v>
      </c>
      <c r="S74" s="2"/>
      <c r="T74" s="6">
        <v>6266.52</v>
      </c>
      <c r="U74" s="2"/>
      <c r="V74" s="7">
        <f t="shared" si="25"/>
        <v>5.5183430493668442E-3</v>
      </c>
      <c r="W74" s="2"/>
      <c r="X74" s="6">
        <f t="shared" si="26"/>
        <v>-6266.52</v>
      </c>
      <c r="Y74" s="2"/>
      <c r="Z74" s="7">
        <f t="shared" si="27"/>
        <v>-1</v>
      </c>
    </row>
    <row r="75" spans="1:26" s="24" customFormat="1" hidden="1" outlineLevel="2" x14ac:dyDescent="0.25">
      <c r="A75" s="27"/>
      <c r="B75" s="11" t="str">
        <f>CONCATENATE("          ", "6005", " - ", "TEMPORARY WAGES-HOURLY")</f>
        <v xml:space="preserve">          6005 - TEMPORARY WAGES-HOURLY</v>
      </c>
      <c r="C75" s="11"/>
      <c r="D75" s="6">
        <v>4770.38</v>
      </c>
      <c r="E75" s="2"/>
      <c r="F75" s="7">
        <f t="shared" si="20"/>
        <v>3.2623175846384293E-2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4770.38</v>
      </c>
      <c r="M75" s="2"/>
      <c r="N75" s="7">
        <f t="shared" si="23"/>
        <v>0</v>
      </c>
      <c r="O75" s="11"/>
      <c r="P75" s="6">
        <v>14138.52</v>
      </c>
      <c r="Q75" s="2"/>
      <c r="R75" s="7">
        <f t="shared" si="24"/>
        <v>1.0563709873126579E-2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14138.52</v>
      </c>
      <c r="Y75" s="2"/>
      <c r="Z75" s="7">
        <f t="shared" si="27"/>
        <v>0</v>
      </c>
    </row>
    <row r="76" spans="1:26" s="24" customFormat="1" hidden="1" outlineLevel="2" x14ac:dyDescent="0.25">
      <c r="A76" s="27"/>
      <c r="B76" s="11" t="str">
        <f>CONCATENATE("          ", "6006", " - ", "TEMPORARY PART TIME")</f>
        <v xml:space="preserve">          6006 - TEMPORARY PART TIME</v>
      </c>
      <c r="C76" s="11"/>
      <c r="D76" s="6">
        <v>1494</v>
      </c>
      <c r="E76" s="2"/>
      <c r="F76" s="7">
        <f t="shared" si="20"/>
        <v>1.0217010953948769E-2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1494</v>
      </c>
      <c r="M76" s="2"/>
      <c r="N76" s="7">
        <f t="shared" si="23"/>
        <v>0</v>
      </c>
      <c r="O76" s="11"/>
      <c r="P76" s="6">
        <v>6548.16</v>
      </c>
      <c r="Q76" s="2"/>
      <c r="R76" s="7">
        <f t="shared" si="24"/>
        <v>4.8925108457471174E-3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6548.16</v>
      </c>
      <c r="Y76" s="2"/>
      <c r="Z76" s="7">
        <f t="shared" si="27"/>
        <v>0</v>
      </c>
    </row>
    <row r="77" spans="1:26" s="24" customFormat="1" hidden="1" outlineLevel="2" x14ac:dyDescent="0.25">
      <c r="A77" s="27"/>
      <c r="B77" s="11" t="str">
        <f>CONCATENATE("          ", "6007", " - ", "STUDENT HOURLY")</f>
        <v xml:space="preserve">          6007 - STUDENT HOURLY</v>
      </c>
      <c r="C77" s="11"/>
      <c r="D77" s="6">
        <v>2086.56</v>
      </c>
      <c r="E77" s="2"/>
      <c r="F77" s="7">
        <f t="shared" si="20"/>
        <v>1.4269348310623391E-2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2086.56</v>
      </c>
      <c r="M77" s="2"/>
      <c r="N77" s="7">
        <f t="shared" si="23"/>
        <v>0</v>
      </c>
      <c r="O77" s="11"/>
      <c r="P77" s="6">
        <v>6544.68</v>
      </c>
      <c r="Q77" s="2"/>
      <c r="R77" s="7">
        <f t="shared" si="24"/>
        <v>4.8899107355263541E-3</v>
      </c>
      <c r="S77" s="2"/>
      <c r="T77" s="6">
        <v>9378.75</v>
      </c>
      <c r="U77" s="2"/>
      <c r="V77" s="7">
        <f t="shared" si="25"/>
        <v>8.2589954032300673E-3</v>
      </c>
      <c r="W77" s="2"/>
      <c r="X77" s="6">
        <f t="shared" si="26"/>
        <v>-2834.0699999999997</v>
      </c>
      <c r="Y77" s="2"/>
      <c r="Z77" s="7">
        <f t="shared" si="27"/>
        <v>-0.30217992802878846</v>
      </c>
    </row>
    <row r="78" spans="1:26" s="24" customFormat="1" hidden="1" outlineLevel="2" x14ac:dyDescent="0.25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0"/>
        <v>0</v>
      </c>
      <c r="G78" s="2"/>
      <c r="H78" s="6">
        <v>6500.25</v>
      </c>
      <c r="I78" s="2"/>
      <c r="J78" s="7">
        <f t="shared" si="21"/>
        <v>4.8140015404212456E-2</v>
      </c>
      <c r="K78" s="2"/>
      <c r="L78" s="6">
        <f t="shared" si="22"/>
        <v>-6500.25</v>
      </c>
      <c r="M78" s="2"/>
      <c r="N78" s="7">
        <f t="shared" si="23"/>
        <v>-1</v>
      </c>
      <c r="O78" s="11"/>
      <c r="P78" s="6"/>
      <c r="Q78" s="2"/>
      <c r="R78" s="7">
        <f t="shared" si="24"/>
        <v>0</v>
      </c>
      <c r="S78" s="2"/>
      <c r="T78" s="6">
        <v>12893.25</v>
      </c>
      <c r="U78" s="2"/>
      <c r="V78" s="7">
        <f t="shared" si="25"/>
        <v>1.1353889642297329E-2</v>
      </c>
      <c r="W78" s="2"/>
      <c r="X78" s="6">
        <f t="shared" si="26"/>
        <v>-12893.25</v>
      </c>
      <c r="Y78" s="2"/>
      <c r="Z78" s="7">
        <f t="shared" si="27"/>
        <v>-1</v>
      </c>
    </row>
    <row r="79" spans="1:26" s="24" customFormat="1" hidden="1" outlineLevel="2" x14ac:dyDescent="0.25">
      <c r="A79" s="27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0"/>
        <v>0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0</v>
      </c>
      <c r="M79" s="2"/>
      <c r="N79" s="7">
        <f t="shared" si="23"/>
        <v>0</v>
      </c>
      <c r="O79" s="11"/>
      <c r="P79" s="6"/>
      <c r="Q79" s="2"/>
      <c r="R79" s="7">
        <f t="shared" si="24"/>
        <v>0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0</v>
      </c>
      <c r="Y79" s="2"/>
      <c r="Z79" s="7">
        <f t="shared" si="27"/>
        <v>0</v>
      </c>
    </row>
    <row r="80" spans="1:26" s="24" customFormat="1" hidden="1" outlineLevel="2" x14ac:dyDescent="0.25">
      <c r="A80" s="27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0"/>
        <v>0</v>
      </c>
      <c r="G80" s="2"/>
      <c r="H80" s="6">
        <v>0</v>
      </c>
      <c r="I80" s="2"/>
      <c r="J80" s="7">
        <f t="shared" si="21"/>
        <v>0</v>
      </c>
      <c r="K80" s="2"/>
      <c r="L80" s="6">
        <f t="shared" si="22"/>
        <v>0</v>
      </c>
      <c r="M80" s="2"/>
      <c r="N80" s="7">
        <f t="shared" si="23"/>
        <v>0</v>
      </c>
      <c r="O80" s="11"/>
      <c r="P80" s="6"/>
      <c r="Q80" s="2"/>
      <c r="R80" s="7">
        <f t="shared" si="24"/>
        <v>0</v>
      </c>
      <c r="S80" s="2"/>
      <c r="T80" s="6">
        <v>0</v>
      </c>
      <c r="U80" s="2"/>
      <c r="V80" s="7">
        <f t="shared" si="25"/>
        <v>0</v>
      </c>
      <c r="W80" s="2"/>
      <c r="X80" s="6">
        <f t="shared" si="26"/>
        <v>0</v>
      </c>
      <c r="Y80" s="2"/>
      <c r="Z80" s="7">
        <f t="shared" si="27"/>
        <v>0</v>
      </c>
    </row>
    <row r="81" spans="1:26" s="26" customFormat="1" outlineLevel="1" collapsed="1" x14ac:dyDescent="0.25">
      <c r="A81" s="25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419.39</v>
      </c>
      <c r="E81" s="1"/>
      <c r="F81" s="5">
        <f t="shared" ref="F81:F95" si="28">IF(D$12=0,0,D81/D$12)</f>
        <v>2.8680804712025265E-3</v>
      </c>
      <c r="G81" s="1"/>
      <c r="H81" s="1">
        <f>SUM(OSRRefH22_2x_0)</f>
        <v>250</v>
      </c>
      <c r="I81" s="1"/>
      <c r="J81" s="5">
        <f t="shared" ref="J81:J95" si="29">IF(H$12=0,0,H81/H$12)</f>
        <v>1.8514678437064906E-3</v>
      </c>
      <c r="K81" s="1"/>
      <c r="L81" s="1">
        <f t="shared" ref="L81:L95" si="30">+D81-H81</f>
        <v>169.39</v>
      </c>
      <c r="M81" s="1"/>
      <c r="N81" s="5">
        <f t="shared" ref="N81:N95" si="31">IF(H81=0,0,L81/H81)</f>
        <v>0.67755999999999994</v>
      </c>
      <c r="O81" s="13"/>
      <c r="P81" s="1">
        <f>SUM(OSRRefP22_2x_0)</f>
        <v>1219.79</v>
      </c>
      <c r="Q81" s="1"/>
      <c r="R81" s="5">
        <f t="shared" ref="R81:R95" si="32">IF(P$12=0,0,P81/P$12)</f>
        <v>9.1137599028335843E-4</v>
      </c>
      <c r="S81" s="1"/>
      <c r="T81" s="1">
        <f>SUM(OSRRefT22_2x_0)</f>
        <v>1000</v>
      </c>
      <c r="U81" s="1"/>
      <c r="V81" s="5">
        <f t="shared" ref="V81:V95" si="33">IF(T$12=0,0,T81/T$12)</f>
        <v>8.8060726677116543E-4</v>
      </c>
      <c r="W81" s="1"/>
      <c r="X81" s="1">
        <f t="shared" ref="X81:X95" si="34">+P81-T81</f>
        <v>219.78999999999996</v>
      </c>
      <c r="Y81" s="1"/>
      <c r="Z81" s="5">
        <f t="shared" ref="Z81:Z95" si="35">IF(T81=0,0,X81/T81)</f>
        <v>0.21978999999999996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6">
        <v>419.39</v>
      </c>
      <c r="E82" s="2"/>
      <c r="F82" s="7">
        <f t="shared" si="28"/>
        <v>2.8680804712025265E-3</v>
      </c>
      <c r="G82" s="2"/>
      <c r="H82" s="6">
        <v>250</v>
      </c>
      <c r="I82" s="2"/>
      <c r="J82" s="7">
        <f t="shared" si="29"/>
        <v>1.8514678437064906E-3</v>
      </c>
      <c r="K82" s="2"/>
      <c r="L82" s="6">
        <f t="shared" si="30"/>
        <v>169.39</v>
      </c>
      <c r="M82" s="2"/>
      <c r="N82" s="7">
        <f t="shared" si="31"/>
        <v>0.67755999999999994</v>
      </c>
      <c r="O82" s="11"/>
      <c r="P82" s="6">
        <v>1219.79</v>
      </c>
      <c r="Q82" s="2"/>
      <c r="R82" s="7">
        <f t="shared" si="32"/>
        <v>9.1137599028335843E-4</v>
      </c>
      <c r="S82" s="2"/>
      <c r="T82" s="6">
        <v>1000</v>
      </c>
      <c r="U82" s="2"/>
      <c r="V82" s="7">
        <f t="shared" si="33"/>
        <v>8.8060726677116543E-4</v>
      </c>
      <c r="W82" s="2"/>
      <c r="X82" s="6">
        <f t="shared" si="34"/>
        <v>219.78999999999996</v>
      </c>
      <c r="Y82" s="2"/>
      <c r="Z82" s="7">
        <f t="shared" si="35"/>
        <v>0.21978999999999996</v>
      </c>
    </row>
    <row r="83" spans="1:26" s="26" customFormat="1" outlineLevel="1" collapsed="1" x14ac:dyDescent="0.25">
      <c r="A83" s="25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28"/>
        <v>1.9178437429219499E-3</v>
      </c>
      <c r="G83" s="1"/>
      <c r="H83" s="1">
        <f>SUM(OSRRefH22_3x_0)</f>
        <v>0</v>
      </c>
      <c r="I83" s="1"/>
      <c r="J83" s="5">
        <f t="shared" si="29"/>
        <v>0</v>
      </c>
      <c r="K83" s="1"/>
      <c r="L83" s="1">
        <f t="shared" si="30"/>
        <v>280.44</v>
      </c>
      <c r="M83" s="1"/>
      <c r="N83" s="5">
        <f t="shared" si="31"/>
        <v>0</v>
      </c>
      <c r="O83" s="13"/>
      <c r="P83" s="1">
        <f>SUM(OSRRefP22_3x_0)</f>
        <v>1121.76</v>
      </c>
      <c r="Q83" s="1"/>
      <c r="R83" s="5">
        <f t="shared" si="32"/>
        <v>8.3813208081740323E-4</v>
      </c>
      <c r="S83" s="1"/>
      <c r="T83" s="1">
        <f>SUM(OSRRefT22_3x_0)</f>
        <v>0</v>
      </c>
      <c r="U83" s="1"/>
      <c r="V83" s="5">
        <f t="shared" si="33"/>
        <v>0</v>
      </c>
      <c r="W83" s="1"/>
      <c r="X83" s="1">
        <f t="shared" si="34"/>
        <v>1121.76</v>
      </c>
      <c r="Y83" s="1"/>
      <c r="Z83" s="5">
        <f t="shared" si="35"/>
        <v>0</v>
      </c>
    </row>
    <row r="84" spans="1:26" s="24" customFormat="1" hidden="1" outlineLevel="2" x14ac:dyDescent="0.25">
      <c r="A84" s="27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28"/>
        <v>1.9178437429219499E-3</v>
      </c>
      <c r="G84" s="2"/>
      <c r="H84" s="6"/>
      <c r="I84" s="2"/>
      <c r="J84" s="7">
        <f t="shared" si="29"/>
        <v>0</v>
      </c>
      <c r="K84" s="2"/>
      <c r="L84" s="6">
        <f t="shared" si="30"/>
        <v>280.44</v>
      </c>
      <c r="M84" s="2"/>
      <c r="N84" s="7">
        <f t="shared" si="31"/>
        <v>0</v>
      </c>
      <c r="O84" s="11"/>
      <c r="P84" s="6">
        <v>1121.76</v>
      </c>
      <c r="Q84" s="2"/>
      <c r="R84" s="7">
        <f t="shared" si="32"/>
        <v>8.3813208081740323E-4</v>
      </c>
      <c r="S84" s="2"/>
      <c r="T84" s="6"/>
      <c r="U84" s="2"/>
      <c r="V84" s="7">
        <f t="shared" si="33"/>
        <v>0</v>
      </c>
      <c r="W84" s="2"/>
      <c r="X84" s="6">
        <f t="shared" si="34"/>
        <v>1121.76</v>
      </c>
      <c r="Y84" s="2"/>
      <c r="Z84" s="7">
        <f t="shared" si="35"/>
        <v>0</v>
      </c>
    </row>
    <row r="85" spans="1:26" s="26" customFormat="1" outlineLevel="1" collapsed="1" x14ac:dyDescent="0.25">
      <c r="A85" s="25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1378.62</v>
      </c>
      <c r="E85" s="1"/>
      <c r="F85" s="5">
        <f t="shared" si="28"/>
        <v>9.4279622766618824E-3</v>
      </c>
      <c r="G85" s="1"/>
      <c r="H85" s="1">
        <f>SUM(OSRRefH22_4x_0)</f>
        <v>2500</v>
      </c>
      <c r="I85" s="1"/>
      <c r="J85" s="5">
        <f t="shared" si="29"/>
        <v>1.8514678437064905E-2</v>
      </c>
      <c r="K85" s="1"/>
      <c r="L85" s="1">
        <f t="shared" si="30"/>
        <v>-1121.3800000000001</v>
      </c>
      <c r="M85" s="1"/>
      <c r="N85" s="5">
        <f t="shared" si="31"/>
        <v>-0.44855200000000006</v>
      </c>
      <c r="O85" s="13"/>
      <c r="P85" s="1">
        <f>SUM(OSRRefP22_4x_0)</f>
        <v>68378.13</v>
      </c>
      <c r="Q85" s="1"/>
      <c r="R85" s="5">
        <f t="shared" si="32"/>
        <v>5.1089274336135096E-2</v>
      </c>
      <c r="S85" s="1"/>
      <c r="T85" s="1">
        <f>SUM(OSRRefT22_4x_0)</f>
        <v>10000</v>
      </c>
      <c r="U85" s="1"/>
      <c r="V85" s="5">
        <f t="shared" si="33"/>
        <v>8.8060726677116532E-3</v>
      </c>
      <c r="W85" s="1"/>
      <c r="X85" s="1">
        <f t="shared" si="34"/>
        <v>58378.130000000005</v>
      </c>
      <c r="Y85" s="1"/>
      <c r="Z85" s="5">
        <f t="shared" si="35"/>
        <v>5.8378130000000006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>
        <v>1378.62</v>
      </c>
      <c r="E86" s="2"/>
      <c r="F86" s="7">
        <f t="shared" si="28"/>
        <v>9.4279622766618824E-3</v>
      </c>
      <c r="G86" s="2"/>
      <c r="H86" s="6">
        <v>2500</v>
      </c>
      <c r="I86" s="2"/>
      <c r="J86" s="7">
        <f t="shared" si="29"/>
        <v>1.8514678437064905E-2</v>
      </c>
      <c r="K86" s="2"/>
      <c r="L86" s="6">
        <f t="shared" si="30"/>
        <v>-1121.3800000000001</v>
      </c>
      <c r="M86" s="2"/>
      <c r="N86" s="7">
        <f t="shared" si="31"/>
        <v>-0.44855200000000006</v>
      </c>
      <c r="O86" s="11"/>
      <c r="P86" s="6">
        <v>68378.13</v>
      </c>
      <c r="Q86" s="2"/>
      <c r="R86" s="7">
        <f t="shared" si="32"/>
        <v>5.1089274336135096E-2</v>
      </c>
      <c r="S86" s="2"/>
      <c r="T86" s="6">
        <v>10000</v>
      </c>
      <c r="U86" s="2"/>
      <c r="V86" s="7">
        <f t="shared" si="33"/>
        <v>8.8060726677116532E-3</v>
      </c>
      <c r="W86" s="2"/>
      <c r="X86" s="6">
        <f t="shared" si="34"/>
        <v>58378.130000000005</v>
      </c>
      <c r="Y86" s="2"/>
      <c r="Z86" s="7">
        <f t="shared" si="35"/>
        <v>5.8378130000000006</v>
      </c>
    </row>
    <row r="87" spans="1:26" s="26" customFormat="1" outlineLevel="1" collapsed="1" x14ac:dyDescent="0.25">
      <c r="A87" s="25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28"/>
        <v>0</v>
      </c>
      <c r="G87" s="1"/>
      <c r="H87" s="1">
        <f>SUM(OSRRefH22_5x_0)</f>
        <v>40</v>
      </c>
      <c r="I87" s="1"/>
      <c r="J87" s="5">
        <f t="shared" si="29"/>
        <v>2.9623485499303848E-4</v>
      </c>
      <c r="K87" s="1"/>
      <c r="L87" s="1">
        <f t="shared" si="30"/>
        <v>-40</v>
      </c>
      <c r="M87" s="1"/>
      <c r="N87" s="5">
        <f t="shared" si="31"/>
        <v>-1</v>
      </c>
      <c r="O87" s="13"/>
      <c r="P87" s="1">
        <f>SUM(OSRRefP22_5x_0)</f>
        <v>0</v>
      </c>
      <c r="Q87" s="1"/>
      <c r="R87" s="5">
        <f t="shared" si="32"/>
        <v>0</v>
      </c>
      <c r="S87" s="1"/>
      <c r="T87" s="1">
        <f>SUM(OSRRefT22_5x_0)</f>
        <v>160</v>
      </c>
      <c r="U87" s="1"/>
      <c r="V87" s="5">
        <f t="shared" si="33"/>
        <v>1.4089716268338647E-4</v>
      </c>
      <c r="W87" s="1"/>
      <c r="X87" s="1">
        <f t="shared" si="34"/>
        <v>-160</v>
      </c>
      <c r="Y87" s="1"/>
      <c r="Z87" s="5">
        <f t="shared" si="35"/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28"/>
        <v>0</v>
      </c>
      <c r="G88" s="2"/>
      <c r="H88" s="6">
        <v>40</v>
      </c>
      <c r="I88" s="2"/>
      <c r="J88" s="7">
        <f t="shared" si="29"/>
        <v>2.9623485499303848E-4</v>
      </c>
      <c r="K88" s="2"/>
      <c r="L88" s="6">
        <f t="shared" si="30"/>
        <v>-40</v>
      </c>
      <c r="M88" s="2"/>
      <c r="N88" s="7">
        <f t="shared" si="31"/>
        <v>-1</v>
      </c>
      <c r="O88" s="11"/>
      <c r="P88" s="6"/>
      <c r="Q88" s="2"/>
      <c r="R88" s="7">
        <f t="shared" si="32"/>
        <v>0</v>
      </c>
      <c r="S88" s="2"/>
      <c r="T88" s="6">
        <v>160</v>
      </c>
      <c r="U88" s="2"/>
      <c r="V88" s="7">
        <f t="shared" si="33"/>
        <v>1.4089716268338647E-4</v>
      </c>
      <c r="W88" s="2"/>
      <c r="X88" s="6">
        <f t="shared" si="34"/>
        <v>-160</v>
      </c>
      <c r="Y88" s="2"/>
      <c r="Z88" s="7">
        <f t="shared" si="35"/>
        <v>-1</v>
      </c>
    </row>
    <row r="89" spans="1:26" s="26" customFormat="1" outlineLevel="1" collapsed="1" x14ac:dyDescent="0.25">
      <c r="A89" s="25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5.27</v>
      </c>
      <c r="E89" s="1"/>
      <c r="F89" s="5">
        <f t="shared" si="28"/>
        <v>3.6039924850943786E-5</v>
      </c>
      <c r="G89" s="1"/>
      <c r="H89" s="1">
        <f>SUM(OSRRefH22_6x_0)</f>
        <v>25</v>
      </c>
      <c r="I89" s="1"/>
      <c r="J89" s="5">
        <f t="shared" si="29"/>
        <v>1.8514678437064904E-4</v>
      </c>
      <c r="K89" s="1"/>
      <c r="L89" s="1">
        <f t="shared" si="30"/>
        <v>-19.73</v>
      </c>
      <c r="M89" s="1"/>
      <c r="N89" s="5">
        <f t="shared" si="31"/>
        <v>-0.78920000000000001</v>
      </c>
      <c r="O89" s="13"/>
      <c r="P89" s="1">
        <f>SUM(OSRRefP22_6x_0)</f>
        <v>10.76</v>
      </c>
      <c r="Q89" s="1"/>
      <c r="R89" s="5">
        <f t="shared" si="32"/>
        <v>8.0394212573057145E-6</v>
      </c>
      <c r="S89" s="1"/>
      <c r="T89" s="1">
        <f>SUM(OSRRefT22_6x_0)</f>
        <v>100</v>
      </c>
      <c r="U89" s="1"/>
      <c r="V89" s="5">
        <f t="shared" si="33"/>
        <v>8.8060726677116545E-5</v>
      </c>
      <c r="W89" s="1"/>
      <c r="X89" s="1">
        <f t="shared" si="34"/>
        <v>-89.24</v>
      </c>
      <c r="Y89" s="1"/>
      <c r="Z89" s="5">
        <f t="shared" si="35"/>
        <v>-0.89239999999999997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6">
        <v>5.27</v>
      </c>
      <c r="E90" s="2"/>
      <c r="F90" s="7">
        <f t="shared" si="28"/>
        <v>3.6039924850943786E-5</v>
      </c>
      <c r="G90" s="2"/>
      <c r="H90" s="6">
        <v>25</v>
      </c>
      <c r="I90" s="2"/>
      <c r="J90" s="7">
        <f t="shared" si="29"/>
        <v>1.8514678437064904E-4</v>
      </c>
      <c r="K90" s="2"/>
      <c r="L90" s="6">
        <f t="shared" si="30"/>
        <v>-19.73</v>
      </c>
      <c r="M90" s="2"/>
      <c r="N90" s="7">
        <f t="shared" si="31"/>
        <v>-0.78920000000000001</v>
      </c>
      <c r="O90" s="11"/>
      <c r="P90" s="6">
        <v>10.76</v>
      </c>
      <c r="Q90" s="2"/>
      <c r="R90" s="7">
        <f t="shared" si="32"/>
        <v>8.0394212573057145E-6</v>
      </c>
      <c r="S90" s="2"/>
      <c r="T90" s="6">
        <v>100</v>
      </c>
      <c r="U90" s="2"/>
      <c r="V90" s="7">
        <f t="shared" si="33"/>
        <v>8.8060726677116545E-5</v>
      </c>
      <c r="W90" s="2"/>
      <c r="X90" s="6">
        <f t="shared" si="34"/>
        <v>-89.24</v>
      </c>
      <c r="Y90" s="2"/>
      <c r="Z90" s="7">
        <f t="shared" si="35"/>
        <v>-0.89239999999999997</v>
      </c>
    </row>
    <row r="91" spans="1:26" s="26" customFormat="1" outlineLevel="1" collapsed="1" x14ac:dyDescent="0.25">
      <c r="A91" s="25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SUM(OSRRefD22_7x_0)</f>
        <v>0</v>
      </c>
      <c r="E91" s="1"/>
      <c r="F91" s="5">
        <f t="shared" si="28"/>
        <v>0</v>
      </c>
      <c r="G91" s="1"/>
      <c r="H91" s="1">
        <f>SUM(OSRRefH22_7x_0)</f>
        <v>0</v>
      </c>
      <c r="I91" s="1"/>
      <c r="J91" s="5">
        <f t="shared" si="29"/>
        <v>0</v>
      </c>
      <c r="K91" s="1"/>
      <c r="L91" s="1">
        <f t="shared" si="30"/>
        <v>0</v>
      </c>
      <c r="M91" s="1"/>
      <c r="N91" s="5">
        <f t="shared" si="31"/>
        <v>0</v>
      </c>
      <c r="O91" s="13"/>
      <c r="P91" s="1">
        <f>SUM(OSRRefP22_7x_0)</f>
        <v>-5000</v>
      </c>
      <c r="Q91" s="1"/>
      <c r="R91" s="5">
        <f t="shared" si="32"/>
        <v>-3.7357905470751462E-3</v>
      </c>
      <c r="S91" s="1"/>
      <c r="T91" s="1">
        <f>SUM(OSRRefT22_7x_0)</f>
        <v>0</v>
      </c>
      <c r="U91" s="1"/>
      <c r="V91" s="5">
        <f t="shared" si="33"/>
        <v>0</v>
      </c>
      <c r="W91" s="1"/>
      <c r="X91" s="1">
        <f t="shared" si="34"/>
        <v>-5000</v>
      </c>
      <c r="Y91" s="1"/>
      <c r="Z91" s="5">
        <f t="shared" si="35"/>
        <v>0</v>
      </c>
    </row>
    <row r="92" spans="1:26" s="24" customFormat="1" hidden="1" outlineLevel="2" x14ac:dyDescent="0.25">
      <c r="A92" s="27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28"/>
        <v>0</v>
      </c>
      <c r="G92" s="2"/>
      <c r="H92" s="6"/>
      <c r="I92" s="2"/>
      <c r="J92" s="7">
        <f t="shared" si="29"/>
        <v>0</v>
      </c>
      <c r="K92" s="2"/>
      <c r="L92" s="6">
        <f t="shared" si="30"/>
        <v>0</v>
      </c>
      <c r="M92" s="2"/>
      <c r="N92" s="7">
        <f t="shared" si="31"/>
        <v>0</v>
      </c>
      <c r="O92" s="11"/>
      <c r="P92" s="6">
        <v>-5000</v>
      </c>
      <c r="Q92" s="2"/>
      <c r="R92" s="7">
        <f t="shared" si="32"/>
        <v>-3.7357905470751462E-3</v>
      </c>
      <c r="S92" s="2"/>
      <c r="T92" s="6"/>
      <c r="U92" s="2"/>
      <c r="V92" s="7">
        <f t="shared" si="33"/>
        <v>0</v>
      </c>
      <c r="W92" s="2"/>
      <c r="X92" s="6">
        <f t="shared" si="34"/>
        <v>-5000</v>
      </c>
      <c r="Y92" s="2"/>
      <c r="Z92" s="7">
        <f t="shared" si="35"/>
        <v>0</v>
      </c>
    </row>
    <row r="93" spans="1:26" s="26" customFormat="1" outlineLevel="1" collapsed="1" x14ac:dyDescent="0.25">
      <c r="A93" s="25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SUM(OSRRefD22_8x_0)</f>
        <v>192.76</v>
      </c>
      <c r="E93" s="1"/>
      <c r="F93" s="5">
        <f t="shared" si="28"/>
        <v>1.3182269287035908E-3</v>
      </c>
      <c r="G93" s="1"/>
      <c r="H93" s="1">
        <f>SUM(OSRRefH22_8x_0)</f>
        <v>275</v>
      </c>
      <c r="I93" s="1"/>
      <c r="J93" s="5">
        <f t="shared" si="29"/>
        <v>2.0366146280771397E-3</v>
      </c>
      <c r="K93" s="1"/>
      <c r="L93" s="1">
        <f t="shared" si="30"/>
        <v>-82.240000000000009</v>
      </c>
      <c r="M93" s="1"/>
      <c r="N93" s="5">
        <f t="shared" si="31"/>
        <v>-0.29905454545454546</v>
      </c>
      <c r="O93" s="13"/>
      <c r="P93" s="1">
        <f>SUM(OSRRefP22_8x_0)</f>
        <v>1556.9499999999998</v>
      </c>
      <c r="Q93" s="1"/>
      <c r="R93" s="5">
        <f t="shared" si="32"/>
        <v>1.1632878184537295E-3</v>
      </c>
      <c r="S93" s="1"/>
      <c r="T93" s="1">
        <f>SUM(OSRRefT22_8x_0)</f>
        <v>1100</v>
      </c>
      <c r="U93" s="1"/>
      <c r="V93" s="5">
        <f t="shared" si="33"/>
        <v>9.6866799344828196E-4</v>
      </c>
      <c r="W93" s="1"/>
      <c r="X93" s="1">
        <f t="shared" si="34"/>
        <v>456.94999999999982</v>
      </c>
      <c r="Y93" s="1"/>
      <c r="Z93" s="5">
        <f t="shared" si="35"/>
        <v>0.41540909090909073</v>
      </c>
    </row>
    <row r="94" spans="1:26" s="24" customFormat="1" hidden="1" outlineLevel="2" x14ac:dyDescent="0.25">
      <c r="A94" s="27"/>
      <c r="B94" s="11" t="str">
        <f>CONCATENATE("          ", "6241", " - ", "OFFICE EXPENSE")</f>
        <v xml:space="preserve">          6241 - OFFICE EXPENSE</v>
      </c>
      <c r="C94" s="11"/>
      <c r="D94" s="6">
        <v>192.76</v>
      </c>
      <c r="E94" s="2"/>
      <c r="F94" s="7">
        <f t="shared" si="28"/>
        <v>1.3182269287035908E-3</v>
      </c>
      <c r="G94" s="2"/>
      <c r="H94" s="6">
        <v>275</v>
      </c>
      <c r="I94" s="2"/>
      <c r="J94" s="7">
        <f t="shared" si="29"/>
        <v>2.0366146280771397E-3</v>
      </c>
      <c r="K94" s="2"/>
      <c r="L94" s="6">
        <f t="shared" si="30"/>
        <v>-82.240000000000009</v>
      </c>
      <c r="M94" s="2"/>
      <c r="N94" s="7">
        <f t="shared" si="31"/>
        <v>-0.29905454545454546</v>
      </c>
      <c r="O94" s="11"/>
      <c r="P94" s="6">
        <v>616.29999999999995</v>
      </c>
      <c r="Q94" s="2"/>
      <c r="R94" s="7">
        <f t="shared" si="32"/>
        <v>4.604735428324825E-4</v>
      </c>
      <c r="S94" s="2"/>
      <c r="T94" s="6">
        <v>1100</v>
      </c>
      <c r="U94" s="2"/>
      <c r="V94" s="7">
        <f t="shared" si="33"/>
        <v>9.6866799344828196E-4</v>
      </c>
      <c r="W94" s="2"/>
      <c r="X94" s="6">
        <f t="shared" si="34"/>
        <v>-483.70000000000005</v>
      </c>
      <c r="Y94" s="2"/>
      <c r="Z94" s="7">
        <f t="shared" si="35"/>
        <v>-0.43972727272727274</v>
      </c>
    </row>
    <row r="95" spans="1:26" s="24" customFormat="1" hidden="1" outlineLevel="2" x14ac:dyDescent="0.25">
      <c r="A95" s="27"/>
      <c r="B95" s="11" t="str">
        <f>CONCATENATE("          ", "6247", " - ", "STORE SUPPLIES")</f>
        <v xml:space="preserve">          6247 - STORE SUPPLIES</v>
      </c>
      <c r="C95" s="11"/>
      <c r="D95" s="6"/>
      <c r="E95" s="2"/>
      <c r="F95" s="7">
        <f t="shared" si="28"/>
        <v>0</v>
      </c>
      <c r="G95" s="2"/>
      <c r="H95" s="6"/>
      <c r="I95" s="2"/>
      <c r="J95" s="7">
        <f t="shared" si="29"/>
        <v>0</v>
      </c>
      <c r="K95" s="2"/>
      <c r="L95" s="6">
        <f t="shared" si="30"/>
        <v>0</v>
      </c>
      <c r="M95" s="2"/>
      <c r="N95" s="7">
        <f t="shared" si="31"/>
        <v>0</v>
      </c>
      <c r="O95" s="11"/>
      <c r="P95" s="6">
        <v>940.65</v>
      </c>
      <c r="Q95" s="2"/>
      <c r="R95" s="7">
        <f t="shared" si="32"/>
        <v>7.0281427562124724E-4</v>
      </c>
      <c r="S95" s="2"/>
      <c r="T95" s="6"/>
      <c r="U95" s="2"/>
      <c r="V95" s="7">
        <f t="shared" si="33"/>
        <v>0</v>
      </c>
      <c r="W95" s="2"/>
      <c r="X95" s="6">
        <f t="shared" si="34"/>
        <v>940.65</v>
      </c>
      <c r="Y95" s="2"/>
      <c r="Z95" s="7">
        <f t="shared" si="35"/>
        <v>0</v>
      </c>
    </row>
    <row r="96" spans="1:26" s="26" customFormat="1" outlineLevel="1" collapsed="1" x14ac:dyDescent="0.25">
      <c r="A96" s="25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SUM(OSRRefD22_9x_0)</f>
        <v>259.5</v>
      </c>
      <c r="E96" s="1"/>
      <c r="F96" s="5">
        <f t="shared" ref="F96:F98" si="36">IF(D$12=0,0,D96/D$12)</f>
        <v>1.7746414608766437E-3</v>
      </c>
      <c r="G96" s="1"/>
      <c r="H96" s="1">
        <f>SUM(OSRRefH22_9x_0)</f>
        <v>280</v>
      </c>
      <c r="I96" s="1"/>
      <c r="J96" s="5">
        <f t="shared" ref="J96:J98" si="37">IF(H$12=0,0,H96/H$12)</f>
        <v>2.0736439849512694E-3</v>
      </c>
      <c r="K96" s="1"/>
      <c r="L96" s="1">
        <f t="shared" ref="L96:L98" si="38">+D96-H96</f>
        <v>-20.5</v>
      </c>
      <c r="M96" s="1"/>
      <c r="N96" s="5">
        <f t="shared" ref="N96:N98" si="39">IF(H96=0,0,L96/H96)</f>
        <v>-7.3214285714285718E-2</v>
      </c>
      <c r="O96" s="13"/>
      <c r="P96" s="1">
        <f>SUM(OSRRefP22_9x_0)</f>
        <v>1020.8</v>
      </c>
      <c r="Q96" s="1"/>
      <c r="R96" s="5">
        <f t="shared" ref="R96:R98" si="40">IF(P$12=0,0,P96/P$12)</f>
        <v>7.6269899809086183E-4</v>
      </c>
      <c r="S96" s="1"/>
      <c r="T96" s="1">
        <f>SUM(OSRRefT22_9x_0)</f>
        <v>1120</v>
      </c>
      <c r="U96" s="1"/>
      <c r="V96" s="5">
        <f t="shared" ref="V96:V98" si="41">IF(T$12=0,0,T96/T$12)</f>
        <v>9.862801387837052E-4</v>
      </c>
      <c r="W96" s="1"/>
      <c r="X96" s="1">
        <f t="shared" ref="X96:X98" si="42">+P96-T96</f>
        <v>-99.200000000000045</v>
      </c>
      <c r="Y96" s="1"/>
      <c r="Z96" s="5">
        <f t="shared" ref="Z96:Z98" si="43">IF(T96=0,0,X96/T96)</f>
        <v>-8.8571428571428606E-2</v>
      </c>
    </row>
    <row r="97" spans="1:26" s="24" customFormat="1" hidden="1" outlineLevel="2" x14ac:dyDescent="0.25">
      <c r="A97" s="27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36"/>
        <v>0</v>
      </c>
      <c r="G97" s="2"/>
      <c r="H97" s="6">
        <v>280</v>
      </c>
      <c r="I97" s="2"/>
      <c r="J97" s="7">
        <f t="shared" si="37"/>
        <v>2.0736439849512694E-3</v>
      </c>
      <c r="K97" s="2"/>
      <c r="L97" s="6">
        <f t="shared" si="38"/>
        <v>-280</v>
      </c>
      <c r="M97" s="2"/>
      <c r="N97" s="7">
        <f t="shared" si="39"/>
        <v>-1</v>
      </c>
      <c r="O97" s="11"/>
      <c r="P97" s="6"/>
      <c r="Q97" s="2"/>
      <c r="R97" s="7">
        <f t="shared" si="40"/>
        <v>0</v>
      </c>
      <c r="S97" s="2"/>
      <c r="T97" s="6">
        <v>1120</v>
      </c>
      <c r="U97" s="2"/>
      <c r="V97" s="7">
        <f t="shared" si="41"/>
        <v>9.862801387837052E-4</v>
      </c>
      <c r="W97" s="2"/>
      <c r="X97" s="6">
        <f t="shared" si="42"/>
        <v>-1120</v>
      </c>
      <c r="Y97" s="2"/>
      <c r="Z97" s="7">
        <f t="shared" si="43"/>
        <v>-1</v>
      </c>
    </row>
    <row r="98" spans="1:26" s="24" customFormat="1" hidden="1" outlineLevel="2" x14ac:dyDescent="0.25">
      <c r="A98" s="27"/>
      <c r="B98" s="11" t="str">
        <f>CONCATENATE("          ", "6309", " - ", "TELEPHONE")</f>
        <v xml:space="preserve">          6309 - TELEPHONE</v>
      </c>
      <c r="C98" s="11"/>
      <c r="D98" s="6">
        <v>259.5</v>
      </c>
      <c r="E98" s="2"/>
      <c r="F98" s="7">
        <f t="shared" si="36"/>
        <v>1.7746414608766437E-3</v>
      </c>
      <c r="G98" s="2"/>
      <c r="H98" s="6"/>
      <c r="I98" s="2"/>
      <c r="J98" s="7">
        <f t="shared" si="37"/>
        <v>0</v>
      </c>
      <c r="K98" s="2"/>
      <c r="L98" s="6">
        <f t="shared" si="38"/>
        <v>259.5</v>
      </c>
      <c r="M98" s="2"/>
      <c r="N98" s="7">
        <f t="shared" si="39"/>
        <v>0</v>
      </c>
      <c r="O98" s="11"/>
      <c r="P98" s="6">
        <v>1020.8</v>
      </c>
      <c r="Q98" s="2"/>
      <c r="R98" s="7">
        <f t="shared" si="40"/>
        <v>7.6269899809086183E-4</v>
      </c>
      <c r="S98" s="2"/>
      <c r="T98" s="6"/>
      <c r="U98" s="2"/>
      <c r="V98" s="7">
        <f t="shared" si="41"/>
        <v>0</v>
      </c>
      <c r="W98" s="2"/>
      <c r="X98" s="6">
        <f t="shared" si="42"/>
        <v>1020.8</v>
      </c>
      <c r="Y98" s="2"/>
      <c r="Z98" s="7">
        <f t="shared" si="43"/>
        <v>0</v>
      </c>
    </row>
    <row r="99" spans="1:26" s="26" customFormat="1" outlineLevel="1" collapsed="1" x14ac:dyDescent="0.25">
      <c r="A99" s="25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SUM(OSRRefD22_10x_0)</f>
        <v>40</v>
      </c>
      <c r="E99" s="1"/>
      <c r="F99" s="5">
        <f t="shared" ref="F99:F100" si="44">IF(D$12=0,0,D99/D$12)</f>
        <v>2.7354781670545567E-4</v>
      </c>
      <c r="G99" s="1"/>
      <c r="H99" s="1">
        <f>SUM(OSRRefH22_10x_0)</f>
        <v>375</v>
      </c>
      <c r="I99" s="1"/>
      <c r="J99" s="5">
        <f t="shared" ref="J99:J100" si="45">IF(H$12=0,0,H99/H$12)</f>
        <v>2.7772017655597358E-3</v>
      </c>
      <c r="K99" s="1"/>
      <c r="L99" s="1">
        <f t="shared" ref="L99:L100" si="46">+D99-H99</f>
        <v>-335</v>
      </c>
      <c r="M99" s="1"/>
      <c r="N99" s="5">
        <f t="shared" ref="N99:N100" si="47">IF(H99=0,0,L99/H99)</f>
        <v>-0.89333333333333331</v>
      </c>
      <c r="O99" s="13"/>
      <c r="P99" s="1">
        <f>SUM(OSRRefP22_10x_0)</f>
        <v>40</v>
      </c>
      <c r="Q99" s="1"/>
      <c r="R99" s="5">
        <f t="shared" ref="R99:R100" si="48">IF(P$12=0,0,P99/P$12)</f>
        <v>2.988632437660117E-5</v>
      </c>
      <c r="S99" s="1"/>
      <c r="T99" s="1">
        <f>SUM(OSRRefT22_10x_0)</f>
        <v>1500</v>
      </c>
      <c r="U99" s="1"/>
      <c r="V99" s="5">
        <f t="shared" ref="V99:V100" si="49">IF(T$12=0,0,T99/T$12)</f>
        <v>1.3209109001567482E-3</v>
      </c>
      <c r="W99" s="1"/>
      <c r="X99" s="1">
        <f t="shared" ref="X99:X100" si="50">+P99-T99</f>
        <v>-1460</v>
      </c>
      <c r="Y99" s="1"/>
      <c r="Z99" s="5">
        <f t="shared" ref="Z99:Z100" si="51">IF(T99=0,0,X99/T99)</f>
        <v>-0.97333333333333338</v>
      </c>
    </row>
    <row r="100" spans="1:26" s="24" customFormat="1" hidden="1" outlineLevel="2" x14ac:dyDescent="0.25">
      <c r="A100" s="27"/>
      <c r="B100" s="11" t="str">
        <f>CONCATENATE("          ", "6376", " - ", "TRAINING")</f>
        <v xml:space="preserve">          6376 - TRAINING</v>
      </c>
      <c r="C100" s="11"/>
      <c r="D100" s="6">
        <v>40</v>
      </c>
      <c r="E100" s="2"/>
      <c r="F100" s="7">
        <f t="shared" si="44"/>
        <v>2.7354781670545567E-4</v>
      </c>
      <c r="G100" s="2"/>
      <c r="H100" s="6">
        <v>375</v>
      </c>
      <c r="I100" s="2"/>
      <c r="J100" s="7">
        <f t="shared" si="45"/>
        <v>2.7772017655597358E-3</v>
      </c>
      <c r="K100" s="2"/>
      <c r="L100" s="6">
        <f t="shared" si="46"/>
        <v>-335</v>
      </c>
      <c r="M100" s="2"/>
      <c r="N100" s="7">
        <f t="shared" si="47"/>
        <v>-0.89333333333333331</v>
      </c>
      <c r="O100" s="11"/>
      <c r="P100" s="6">
        <v>40</v>
      </c>
      <c r="Q100" s="2"/>
      <c r="R100" s="7">
        <f t="shared" si="48"/>
        <v>2.988632437660117E-5</v>
      </c>
      <c r="S100" s="2"/>
      <c r="T100" s="6">
        <v>1500</v>
      </c>
      <c r="U100" s="2"/>
      <c r="V100" s="7">
        <f t="shared" si="49"/>
        <v>1.3209109001567482E-3</v>
      </c>
      <c r="W100" s="2"/>
      <c r="X100" s="6">
        <f t="shared" si="50"/>
        <v>-1460</v>
      </c>
      <c r="Y100" s="2"/>
      <c r="Z100" s="7">
        <f t="shared" si="51"/>
        <v>-0.97333333333333338</v>
      </c>
    </row>
    <row r="101" spans="1:26" s="61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9" t="s">
        <v>0</v>
      </c>
      <c r="C102" s="10"/>
      <c r="D102" s="4">
        <f>SUM(OSRRefD25x_0)</f>
        <v>4142.82</v>
      </c>
      <c r="E102" s="4"/>
      <c r="F102" s="12">
        <f t="shared" ref="F102:F105" si="52">IF(D$12=0,0,D102/D$12)</f>
        <v>2.8331484150092397E-2</v>
      </c>
      <c r="G102" s="4"/>
      <c r="H102" s="4">
        <f>SUM(OSRRefH25x_0)</f>
        <v>2025</v>
      </c>
      <c r="I102" s="4"/>
      <c r="J102" s="12">
        <f t="shared" ref="J102:J105" si="53">IF(H$12=0,0,H102/H$12)</f>
        <v>1.4996889534022574E-2</v>
      </c>
      <c r="K102" s="4"/>
      <c r="L102" s="4">
        <f t="shared" ref="L102:L105" si="54">+D102-H102</f>
        <v>2117.8199999999997</v>
      </c>
      <c r="M102" s="4"/>
      <c r="N102" s="12">
        <f t="shared" ref="N102:N105" si="55">IF(H102=0,0,L102/H102)</f>
        <v>1.0458370370370369</v>
      </c>
      <c r="O102" s="10"/>
      <c r="P102" s="4">
        <f>SUM(OSRRefP25x_0)</f>
        <v>6288.93</v>
      </c>
      <c r="Q102" s="4"/>
      <c r="R102" s="12">
        <f t="shared" ref="R102:R105" si="56">IF(P$12=0,0,P102/P$12)</f>
        <v>4.6988250490434596E-3</v>
      </c>
      <c r="S102" s="4"/>
      <c r="T102" s="4">
        <f>SUM(OSRRefT25x_0)</f>
        <v>7425</v>
      </c>
      <c r="U102" s="4"/>
      <c r="V102" s="12">
        <f t="shared" ref="V102:V105" si="57">IF(T$12=0,0,T102/T$12)</f>
        <v>6.538508955775903E-3</v>
      </c>
      <c r="W102" s="4"/>
      <c r="X102" s="4">
        <f t="shared" ref="X102:X105" si="58">+P102-T102</f>
        <v>-1136.0699999999997</v>
      </c>
      <c r="Y102" s="4"/>
      <c r="Z102" s="12">
        <f t="shared" ref="Z102:Z105" si="59">IF(T102=0,0,X102/T102)</f>
        <v>-0.15300606060606056</v>
      </c>
    </row>
    <row r="103" spans="1:26" s="24" customFormat="1" hidden="1" outlineLevel="1" x14ac:dyDescent="0.25">
      <c r="A103" s="44"/>
      <c r="B103" s="11" t="str">
        <f>CONCATENATE("          ", "4187", " - ", "NON-TAXABLE SALES-COMPUTER REP")</f>
        <v xml:space="preserve">          4187 - NON-TAXABLE SALES-COMPUTER REP</v>
      </c>
      <c r="C103" s="11"/>
      <c r="D103" s="2">
        <f>--4407.89</f>
        <v>4407.8900000000003</v>
      </c>
      <c r="E103" s="2"/>
      <c r="F103" s="19">
        <f t="shared" si="52"/>
        <v>3.014421714444528E-2</v>
      </c>
      <c r="G103" s="2"/>
      <c r="H103" s="2"/>
      <c r="I103" s="2"/>
      <c r="J103" s="19">
        <f t="shared" si="53"/>
        <v>0</v>
      </c>
      <c r="K103" s="2"/>
      <c r="L103" s="2">
        <f t="shared" si="54"/>
        <v>4407.8900000000003</v>
      </c>
      <c r="M103" s="2"/>
      <c r="N103" s="19">
        <f t="shared" si="55"/>
        <v>0</v>
      </c>
      <c r="O103" s="11"/>
      <c r="P103" s="2">
        <f>--11782.69</f>
        <v>11782.69</v>
      </c>
      <c r="Q103" s="2"/>
      <c r="R103" s="19">
        <f t="shared" si="56"/>
        <v>8.8035323842233712E-3</v>
      </c>
      <c r="S103" s="2"/>
      <c r="T103" s="2"/>
      <c r="U103" s="2"/>
      <c r="V103" s="19">
        <f t="shared" si="57"/>
        <v>0</v>
      </c>
      <c r="W103" s="2"/>
      <c r="X103" s="2">
        <f t="shared" si="58"/>
        <v>11782.69</v>
      </c>
      <c r="Y103" s="2"/>
      <c r="Z103" s="19">
        <f t="shared" si="59"/>
        <v>0</v>
      </c>
    </row>
    <row r="104" spans="1:26" s="24" customFormat="1" hidden="1" outlineLevel="1" x14ac:dyDescent="0.25">
      <c r="A104" s="44"/>
      <c r="B104" s="11" t="str">
        <f>CONCATENATE("          ", "4387", " - ", "SALES RETURN NON TAXABLE-COMPU")</f>
        <v xml:space="preserve">          4387 - SALES RETURN NON TAXABLE-COMPU</v>
      </c>
      <c r="C104" s="11"/>
      <c r="D104" s="2">
        <f>-350.05</f>
        <v>-350.05</v>
      </c>
      <c r="E104" s="2"/>
      <c r="F104" s="19">
        <f t="shared" si="52"/>
        <v>-2.393885330943619E-3</v>
      </c>
      <c r="G104" s="2"/>
      <c r="H104" s="2"/>
      <c r="I104" s="2"/>
      <c r="J104" s="19">
        <f t="shared" si="53"/>
        <v>0</v>
      </c>
      <c r="K104" s="2"/>
      <c r="L104" s="2">
        <f t="shared" si="54"/>
        <v>-350.05</v>
      </c>
      <c r="M104" s="2"/>
      <c r="N104" s="19">
        <f t="shared" si="55"/>
        <v>0</v>
      </c>
      <c r="O104" s="11"/>
      <c r="P104" s="2">
        <f>-6790.75</f>
        <v>-6790.75</v>
      </c>
      <c r="Q104" s="2"/>
      <c r="R104" s="19">
        <f t="shared" si="56"/>
        <v>-5.0737639315101097E-3</v>
      </c>
      <c r="S104" s="2"/>
      <c r="T104" s="2"/>
      <c r="U104" s="2"/>
      <c r="V104" s="19">
        <f t="shared" si="57"/>
        <v>0</v>
      </c>
      <c r="W104" s="2"/>
      <c r="X104" s="2">
        <f t="shared" si="58"/>
        <v>-6790.75</v>
      </c>
      <c r="Y104" s="2"/>
      <c r="Z104" s="19">
        <f t="shared" si="59"/>
        <v>0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--84.98</f>
        <v>84.98</v>
      </c>
      <c r="E105" s="2"/>
      <c r="F105" s="19">
        <f t="shared" si="52"/>
        <v>5.8115233659074067E-4</v>
      </c>
      <c r="G105" s="2"/>
      <c r="H105" s="2">
        <v>2025</v>
      </c>
      <c r="I105" s="2"/>
      <c r="J105" s="19">
        <f t="shared" si="53"/>
        <v>1.4996889534022574E-2</v>
      </c>
      <c r="K105" s="2"/>
      <c r="L105" s="2">
        <f t="shared" si="54"/>
        <v>-1940.02</v>
      </c>
      <c r="M105" s="2"/>
      <c r="N105" s="19">
        <f t="shared" si="55"/>
        <v>-0.95803456790123454</v>
      </c>
      <c r="O105" s="11"/>
      <c r="P105" s="2">
        <f>--1296.99</f>
        <v>1296.99</v>
      </c>
      <c r="Q105" s="2"/>
      <c r="R105" s="19">
        <f t="shared" si="56"/>
        <v>9.690565963301988E-4</v>
      </c>
      <c r="S105" s="2"/>
      <c r="T105" s="2">
        <v>7425</v>
      </c>
      <c r="U105" s="2"/>
      <c r="V105" s="19">
        <f t="shared" si="57"/>
        <v>6.538508955775903E-3</v>
      </c>
      <c r="W105" s="2"/>
      <c r="X105" s="2">
        <f t="shared" si="58"/>
        <v>-6128.01</v>
      </c>
      <c r="Y105" s="2"/>
      <c r="Z105" s="19">
        <f t="shared" si="59"/>
        <v>-0.82532121212121212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2">
        <f>+D56-D58+D102</f>
        <v>8923.0600000000413</v>
      </c>
      <c r="E107" s="14"/>
      <c r="F107" s="20">
        <f>IF(D$12=0,0,D107/D$12)</f>
        <v>6.1022089533294868E-2</v>
      </c>
      <c r="G107" s="14"/>
      <c r="H107" s="22">
        <f>+H56-H58+H102</f>
        <v>13345.384835603843</v>
      </c>
      <c r="I107" s="14"/>
      <c r="J107" s="20">
        <f>IF(H$12=0,0,H107/H$12)</f>
        <v>9.8834203540034984E-2</v>
      </c>
      <c r="K107" s="16"/>
      <c r="L107" s="22">
        <f>+D107-H107</f>
        <v>-4422.3248356038021</v>
      </c>
      <c r="M107" s="16"/>
      <c r="N107" s="20">
        <f>IF(H107=0,0,L107/H107)</f>
        <v>-0.33137484531772993</v>
      </c>
      <c r="O107" s="29"/>
      <c r="P107" s="22">
        <f>+P56-P58+P102</f>
        <v>24893.87999999959</v>
      </c>
      <c r="Q107" s="14"/>
      <c r="R107" s="20">
        <f>IF(P$12=0,0,P107/P$12)</f>
        <v>1.85996643168043E-2</v>
      </c>
      <c r="S107" s="14"/>
      <c r="T107" s="22">
        <f>+T56-T58+T102</f>
        <v>187547.45251747384</v>
      </c>
      <c r="U107" s="14"/>
      <c r="V107" s="20">
        <f>IF(T$12=0,0,T107/T$12)</f>
        <v>0.16515564955130757</v>
      </c>
      <c r="W107" s="16"/>
      <c r="X107" s="22">
        <f>+P107-T107</f>
        <v>-162653.57251747424</v>
      </c>
      <c r="Y107" s="16"/>
      <c r="Z107" s="20">
        <f>IF(T107=0,0,X107/T107)</f>
        <v>-0.8672662322743081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6671.52</v>
      </c>
      <c r="E109" s="4"/>
      <c r="F109" s="12">
        <f>IF(D$12=0,0,D109/D$12)</f>
        <v>4.5624493252669547E-2</v>
      </c>
      <c r="G109" s="4"/>
      <c r="H109" s="4">
        <v>10196</v>
      </c>
      <c r="I109" s="4"/>
      <c r="J109" s="12">
        <f>IF(H$12=0,0,H109/H$12)</f>
        <v>7.5510264537725511E-2</v>
      </c>
      <c r="K109" s="4"/>
      <c r="L109" s="4">
        <f>+D109-H109</f>
        <v>-3524.4799999999996</v>
      </c>
      <c r="M109" s="4"/>
      <c r="N109" s="12">
        <f>IF(H109=0,0,L109/H109)</f>
        <v>-0.34567281286779122</v>
      </c>
      <c r="O109" s="10"/>
      <c r="P109" s="4">
        <v>134727.24</v>
      </c>
      <c r="Q109" s="4"/>
      <c r="R109" s="12">
        <f>IF(P$12=0,0,P109/P$12)</f>
        <v>0.1006625499251049</v>
      </c>
      <c r="S109" s="4"/>
      <c r="T109" s="4">
        <v>136750</v>
      </c>
      <c r="U109" s="4"/>
      <c r="V109" s="12">
        <f>IF(T$12=0,0,T109/T$12)</f>
        <v>0.12042304373095687</v>
      </c>
      <c r="W109" s="4"/>
      <c r="X109" s="4">
        <f>+P109-T109</f>
        <v>-2022.7600000000093</v>
      </c>
      <c r="Y109" s="4"/>
      <c r="Z109" s="12">
        <f>IF(T109=0,0,X109/T109)</f>
        <v>-1.4791663619744126E-2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1">
        <f>+D107-D109</f>
        <v>2251.5400000000409</v>
      </c>
      <c r="E111" s="14"/>
      <c r="F111" s="33">
        <f>IF(D$12=0,0,D111/D$12)</f>
        <v>1.5397596280625323E-2</v>
      </c>
      <c r="G111" s="14"/>
      <c r="H111" s="31">
        <f>+H107-H109</f>
        <v>3149.3848356038434</v>
      </c>
      <c r="I111" s="14"/>
      <c r="J111" s="33">
        <f>IF(H$12=0,0,H111/H$12)</f>
        <v>2.332393900230947E-2</v>
      </c>
      <c r="K111" s="16"/>
      <c r="L111" s="31">
        <f>D111-H111</f>
        <v>-897.84483560380249</v>
      </c>
      <c r="M111" s="16"/>
      <c r="N111" s="33">
        <f>IF(H111=0,0,L111/H111)</f>
        <v>-0.28508578102417115</v>
      </c>
      <c r="O111" s="29"/>
      <c r="P111" s="31">
        <f>+P107-P109</f>
        <v>-109833.36000000039</v>
      </c>
      <c r="Q111" s="14"/>
      <c r="R111" s="33">
        <f>IF(P$12=0,0,P111/P$12)</f>
        <v>-8.2062885608300593E-2</v>
      </c>
      <c r="S111" s="14"/>
      <c r="T111" s="31">
        <f>+T107-T109</f>
        <v>50797.452517473837</v>
      </c>
      <c r="U111" s="14"/>
      <c r="V111" s="33">
        <f>IF(T$12=0,0,T111/T$12)</f>
        <v>4.4732605820350692E-2</v>
      </c>
      <c r="W111" s="16"/>
      <c r="X111" s="31">
        <f>P111-T111</f>
        <v>-160630.81251747423</v>
      </c>
      <c r="Y111" s="16"/>
      <c r="Z111" s="33">
        <f>IF(T111=0,0,X111/T111)</f>
        <v>-3.1621824433463228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2">
        <f>SUM(D111:D113)</f>
        <v>2251.5400000000409</v>
      </c>
      <c r="E114" s="14"/>
      <c r="F114" s="34">
        <f>IF(D$12=0,0,D114/D$12)</f>
        <v>1.5397596280625323E-2</v>
      </c>
      <c r="G114" s="14"/>
      <c r="H114" s="32">
        <f>SUM(H111:H113)</f>
        <v>3149.3848356038434</v>
      </c>
      <c r="I114" s="14"/>
      <c r="J114" s="34">
        <f>IF(H$12=0,0,H114/H$12)</f>
        <v>2.332393900230947E-2</v>
      </c>
      <c r="K114" s="16"/>
      <c r="L114" s="32">
        <f>+D114-H114</f>
        <v>-897.84483560380249</v>
      </c>
      <c r="M114" s="16"/>
      <c r="N114" s="34">
        <f>IF(H114=0,0,L114/H114)</f>
        <v>-0.28508578102417115</v>
      </c>
      <c r="O114" s="29"/>
      <c r="P114" s="32">
        <f>SUM(P111:P113)</f>
        <v>-109833.36000000039</v>
      </c>
      <c r="Q114" s="14"/>
      <c r="R114" s="34">
        <f>IF(P$12=0,0,P114/P$12)</f>
        <v>-8.2062885608300593E-2</v>
      </c>
      <c r="S114" s="14"/>
      <c r="T114" s="32">
        <f>SUM(T111:T113)</f>
        <v>50797.452517473837</v>
      </c>
      <c r="U114" s="14"/>
      <c r="V114" s="34">
        <f>IF(T$12=0,0,T114/T$12)</f>
        <v>4.4732605820350692E-2</v>
      </c>
      <c r="W114" s="16"/>
      <c r="X114" s="32">
        <f>+P114-T114</f>
        <v>-160630.81251747423</v>
      </c>
      <c r="Y114" s="16"/>
      <c r="Z114" s="34">
        <f>IF(T114=0,0,X114/T114)</f>
        <v>-3.1621824433463228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60">
        <v>43791.348242789354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4" t="s">
        <v>314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5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307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529586.6</v>
      </c>
      <c r="E12" s="4"/>
      <c r="F12" s="12"/>
      <c r="G12" s="4"/>
      <c r="H12" s="4">
        <f>SUM(OSRRefH13x_0)</f>
        <v>515034</v>
      </c>
      <c r="I12" s="4"/>
      <c r="J12" s="12"/>
      <c r="K12" s="4"/>
      <c r="L12" s="4">
        <f t="shared" ref="L12:L22" si="0">+D12-H12</f>
        <v>14552.599999999977</v>
      </c>
      <c r="M12" s="4"/>
      <c r="N12" s="12">
        <f t="shared" ref="N12:N22" si="1">IF(H12=0,0,L12/H12)</f>
        <v>2.8255610309222259E-2</v>
      </c>
      <c r="O12" s="10"/>
      <c r="P12" s="4">
        <f>SUM(OSRRefP13x_0)</f>
        <v>1118072.44</v>
      </c>
      <c r="Q12" s="4"/>
      <c r="R12" s="12"/>
      <c r="S12" s="4"/>
      <c r="T12" s="4">
        <f>SUM(OSRRefT13x_0)</f>
        <v>1118765.2</v>
      </c>
      <c r="U12" s="4"/>
      <c r="V12" s="12"/>
      <c r="W12" s="4"/>
      <c r="X12" s="4">
        <f t="shared" ref="X12:X22" si="2">+P12-T12</f>
        <v>-692.76000000000931</v>
      </c>
      <c r="Y12" s="4"/>
      <c r="Z12" s="12">
        <f t="shared" ref="Z12:Z22" si="3">IF(T12=0,0,X12/T12)</f>
        <v>-6.1921840257456108E-4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123192</v>
      </c>
      <c r="I13" s="2"/>
      <c r="J13" s="19"/>
      <c r="K13" s="2"/>
      <c r="L13" s="2">
        <f t="shared" si="0"/>
        <v>-123192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264164.2</v>
      </c>
      <c r="U13" s="2"/>
      <c r="V13" s="19"/>
      <c r="W13" s="2"/>
      <c r="X13" s="2">
        <f t="shared" si="2"/>
        <v>-264164.2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--59158.53</f>
        <v>59158.53</v>
      </c>
      <c r="E14" s="2"/>
      <c r="F14" s="19"/>
      <c r="G14" s="2"/>
      <c r="H14" s="2"/>
      <c r="I14" s="2"/>
      <c r="J14" s="19"/>
      <c r="K14" s="2"/>
      <c r="L14" s="2">
        <f t="shared" si="0"/>
        <v>59158.53</v>
      </c>
      <c r="M14" s="2"/>
      <c r="N14" s="19">
        <f t="shared" si="1"/>
        <v>0</v>
      </c>
      <c r="O14" s="11"/>
      <c r="P14" s="2">
        <f>--131814.87</f>
        <v>131814.87</v>
      </c>
      <c r="Q14" s="2"/>
      <c r="R14" s="19"/>
      <c r="S14" s="2"/>
      <c r="T14" s="2"/>
      <c r="U14" s="2"/>
      <c r="V14" s="19"/>
      <c r="W14" s="2"/>
      <c r="X14" s="2">
        <f t="shared" si="2"/>
        <v>131814.87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--531.75</f>
        <v>531.75</v>
      </c>
      <c r="E15" s="2"/>
      <c r="F15" s="19"/>
      <c r="G15" s="2"/>
      <c r="H15" s="2"/>
      <c r="I15" s="2"/>
      <c r="J15" s="19"/>
      <c r="K15" s="2"/>
      <c r="L15" s="2">
        <f t="shared" si="0"/>
        <v>531.75</v>
      </c>
      <c r="M15" s="2"/>
      <c r="N15" s="19">
        <f t="shared" si="1"/>
        <v>0</v>
      </c>
      <c r="O15" s="11"/>
      <c r="P15" s="2">
        <f>--1682.08</f>
        <v>1682.08</v>
      </c>
      <c r="Q15" s="2"/>
      <c r="R15" s="19"/>
      <c r="S15" s="2"/>
      <c r="T15" s="2"/>
      <c r="U15" s="2"/>
      <c r="V15" s="19"/>
      <c r="W15" s="2"/>
      <c r="X15" s="2">
        <f t="shared" si="2"/>
        <v>1682.08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--35500.4</f>
        <v>35500.400000000001</v>
      </c>
      <c r="E16" s="2"/>
      <c r="F16" s="19"/>
      <c r="G16" s="2"/>
      <c r="H16" s="2"/>
      <c r="I16" s="2"/>
      <c r="J16" s="19"/>
      <c r="K16" s="2"/>
      <c r="L16" s="2">
        <f t="shared" si="0"/>
        <v>35500.400000000001</v>
      </c>
      <c r="M16" s="2"/>
      <c r="N16" s="19">
        <f t="shared" si="1"/>
        <v>0</v>
      </c>
      <c r="O16" s="11"/>
      <c r="P16" s="2">
        <f>--74419.27</f>
        <v>74419.27</v>
      </c>
      <c r="Q16" s="2"/>
      <c r="R16" s="19"/>
      <c r="S16" s="2"/>
      <c r="T16" s="2"/>
      <c r="U16" s="2"/>
      <c r="V16" s="19"/>
      <c r="W16" s="2"/>
      <c r="X16" s="2">
        <f t="shared" si="2"/>
        <v>74419.27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391842</v>
      </c>
      <c r="I17" s="2"/>
      <c r="J17" s="19"/>
      <c r="K17" s="2"/>
      <c r="L17" s="2">
        <f t="shared" si="0"/>
        <v>-391842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854601</v>
      </c>
      <c r="U17" s="2"/>
      <c r="V17" s="19"/>
      <c r="W17" s="2"/>
      <c r="X17" s="2">
        <f t="shared" si="2"/>
        <v>-854601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--239161.66</f>
        <v>239161.66</v>
      </c>
      <c r="E18" s="2"/>
      <c r="F18" s="19"/>
      <c r="G18" s="2"/>
      <c r="H18" s="2"/>
      <c r="I18" s="2"/>
      <c r="J18" s="19"/>
      <c r="K18" s="2"/>
      <c r="L18" s="2">
        <f t="shared" si="0"/>
        <v>239161.66</v>
      </c>
      <c r="M18" s="2"/>
      <c r="N18" s="19">
        <f t="shared" si="1"/>
        <v>0</v>
      </c>
      <c r="O18" s="11"/>
      <c r="P18" s="2">
        <f>--515103.65</f>
        <v>515103.65</v>
      </c>
      <c r="Q18" s="2"/>
      <c r="R18" s="19"/>
      <c r="S18" s="2"/>
      <c r="T18" s="2"/>
      <c r="U18" s="2"/>
      <c r="V18" s="19"/>
      <c r="W18" s="2"/>
      <c r="X18" s="2">
        <f t="shared" si="2"/>
        <v>515103.65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--0.39</f>
        <v>0.39</v>
      </c>
      <c r="Q19" s="2"/>
      <c r="R19" s="19"/>
      <c r="S19" s="2"/>
      <c r="T19" s="2"/>
      <c r="U19" s="2"/>
      <c r="V19" s="19"/>
      <c r="W19" s="2"/>
      <c r="X19" s="2">
        <f t="shared" si="2"/>
        <v>0.39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--227.76</f>
        <v>227.76</v>
      </c>
      <c r="E20" s="2"/>
      <c r="F20" s="19"/>
      <c r="G20" s="2"/>
      <c r="H20" s="2"/>
      <c r="I20" s="2"/>
      <c r="J20" s="19"/>
      <c r="K20" s="2"/>
      <c r="L20" s="2">
        <f t="shared" si="0"/>
        <v>227.76</v>
      </c>
      <c r="M20" s="2"/>
      <c r="N20" s="19">
        <f t="shared" si="1"/>
        <v>0</v>
      </c>
      <c r="O20" s="11"/>
      <c r="P20" s="2">
        <f>--848.85</f>
        <v>848.85</v>
      </c>
      <c r="Q20" s="2"/>
      <c r="R20" s="19"/>
      <c r="S20" s="2"/>
      <c r="T20" s="2"/>
      <c r="U20" s="2"/>
      <c r="V20" s="19"/>
      <c r="W20" s="2"/>
      <c r="X20" s="2">
        <f t="shared" si="2"/>
        <v>848.85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--192132.5</f>
        <v>192132.5</v>
      </c>
      <c r="E21" s="2"/>
      <c r="F21" s="19"/>
      <c r="G21" s="2"/>
      <c r="H21" s="2"/>
      <c r="I21" s="2"/>
      <c r="J21" s="19"/>
      <c r="K21" s="2"/>
      <c r="L21" s="2">
        <f t="shared" si="0"/>
        <v>192132.5</v>
      </c>
      <c r="M21" s="2"/>
      <c r="N21" s="19">
        <f t="shared" si="1"/>
        <v>0</v>
      </c>
      <c r="O21" s="11"/>
      <c r="P21" s="2">
        <f>--388922.83</f>
        <v>388922.83</v>
      </c>
      <c r="Q21" s="2"/>
      <c r="R21" s="19"/>
      <c r="S21" s="2"/>
      <c r="T21" s="2"/>
      <c r="U21" s="2"/>
      <c r="V21" s="19"/>
      <c r="W21" s="2"/>
      <c r="X21" s="2">
        <f t="shared" si="2"/>
        <v>388922.83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--2874</f>
        <v>2874</v>
      </c>
      <c r="E22" s="2"/>
      <c r="F22" s="19"/>
      <c r="G22" s="2"/>
      <c r="H22" s="2"/>
      <c r="I22" s="2"/>
      <c r="J22" s="19"/>
      <c r="K22" s="2"/>
      <c r="L22" s="2">
        <f t="shared" si="0"/>
        <v>2874</v>
      </c>
      <c r="M22" s="2"/>
      <c r="N22" s="19">
        <f t="shared" si="1"/>
        <v>0</v>
      </c>
      <c r="O22" s="11"/>
      <c r="P22" s="2">
        <f>--5280.5</f>
        <v>5280.5</v>
      </c>
      <c r="Q22" s="2"/>
      <c r="R22" s="19"/>
      <c r="S22" s="2"/>
      <c r="T22" s="2"/>
      <c r="U22" s="2"/>
      <c r="V22" s="19"/>
      <c r="W22" s="2"/>
      <c r="X22" s="2">
        <f t="shared" si="2"/>
        <v>5280.5</v>
      </c>
      <c r="Y22" s="2"/>
      <c r="Z22" s="19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259501.11</v>
      </c>
      <c r="E24" s="4"/>
      <c r="F24" s="12">
        <f t="shared" ref="F24:F27" si="4">IF(D$12=0,0,D24/D$12)</f>
        <v>0.4900069412632419</v>
      </c>
      <c r="G24" s="4"/>
      <c r="H24" s="4">
        <f>SUM(OSRRefH16x_0)</f>
        <v>248218</v>
      </c>
      <c r="I24" s="4"/>
      <c r="J24" s="12">
        <f t="shared" ref="J24:J27" si="5">IF(H$12=0,0,H24/H$12)</f>
        <v>0.48194488130880681</v>
      </c>
      <c r="K24" s="4"/>
      <c r="L24" s="4">
        <f t="shared" ref="L24:L27" si="6">+D24-H24</f>
        <v>11283.109999999986</v>
      </c>
      <c r="M24" s="4"/>
      <c r="N24" s="12">
        <f t="shared" ref="N24:N27" si="7">IF(H24=0,0,L24/H24)</f>
        <v>4.5456453601269799E-2</v>
      </c>
      <c r="O24" s="10"/>
      <c r="P24" s="4">
        <f>SUM(OSRRefP16x_0)</f>
        <v>533538.60000000009</v>
      </c>
      <c r="Q24" s="4"/>
      <c r="R24" s="12">
        <f t="shared" ref="R24:R27" si="8">IF(P$12=0,0,P24/P$12)</f>
        <v>0.4771950196715341</v>
      </c>
      <c r="S24" s="4"/>
      <c r="T24" s="4">
        <f>SUM(OSRRefT16x_0)</f>
        <v>539060</v>
      </c>
      <c r="U24" s="4"/>
      <c r="V24" s="12">
        <f t="shared" ref="V24:V27" si="9">IF(T$12=0,0,T24/T$12)</f>
        <v>0.48183479428927539</v>
      </c>
      <c r="W24" s="4"/>
      <c r="X24" s="4">
        <f t="shared" ref="X24:X27" si="10">+P24-T24</f>
        <v>-5521.3999999999069</v>
      </c>
      <c r="Y24" s="4"/>
      <c r="Z24" s="12">
        <f t="shared" ref="Z24:Z27" si="11">IF(T24=0,0,X24/T24)</f>
        <v>-1.0242644603569002E-2</v>
      </c>
    </row>
    <row r="25" spans="1:26" s="24" customFormat="1" hidden="1" outlineLevel="1" x14ac:dyDescent="0.25">
      <c r="A25" s="44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19">
        <f t="shared" si="4"/>
        <v>0</v>
      </c>
      <c r="G25" s="2"/>
      <c r="H25" s="2">
        <v>248218</v>
      </c>
      <c r="I25" s="2"/>
      <c r="J25" s="19">
        <f t="shared" si="5"/>
        <v>0.48194488130880681</v>
      </c>
      <c r="K25" s="2"/>
      <c r="L25" s="2">
        <f t="shared" si="6"/>
        <v>-248218</v>
      </c>
      <c r="M25" s="2"/>
      <c r="N25" s="19">
        <f t="shared" si="7"/>
        <v>-1</v>
      </c>
      <c r="O25" s="11"/>
      <c r="P25" s="2"/>
      <c r="Q25" s="2"/>
      <c r="R25" s="19">
        <f t="shared" si="8"/>
        <v>0</v>
      </c>
      <c r="S25" s="2"/>
      <c r="T25" s="2">
        <v>539060</v>
      </c>
      <c r="U25" s="2"/>
      <c r="V25" s="19">
        <f t="shared" si="9"/>
        <v>0.48183479428927539</v>
      </c>
      <c r="W25" s="2"/>
      <c r="X25" s="2">
        <f t="shared" si="10"/>
        <v>-539060</v>
      </c>
      <c r="Y25" s="2"/>
      <c r="Z25" s="19">
        <f t="shared" si="11"/>
        <v>-1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244395.69999999998</v>
      </c>
      <c r="E26" s="2"/>
      <c r="F26" s="19">
        <f t="shared" si="4"/>
        <v>0.46148391972153374</v>
      </c>
      <c r="G26" s="2"/>
      <c r="H26" s="2"/>
      <c r="I26" s="2"/>
      <c r="J26" s="19">
        <f t="shared" si="5"/>
        <v>0</v>
      </c>
      <c r="K26" s="2"/>
      <c r="L26" s="2">
        <f t="shared" si="6"/>
        <v>244395.69999999998</v>
      </c>
      <c r="M26" s="2"/>
      <c r="N26" s="19">
        <f t="shared" si="7"/>
        <v>0</v>
      </c>
      <c r="O26" s="11"/>
      <c r="P26" s="2">
        <v>577184.57000000007</v>
      </c>
      <c r="Q26" s="2"/>
      <c r="R26" s="19">
        <f t="shared" si="8"/>
        <v>0.51623181946958652</v>
      </c>
      <c r="S26" s="2"/>
      <c r="T26" s="2"/>
      <c r="U26" s="2"/>
      <c r="V26" s="19">
        <f t="shared" si="9"/>
        <v>0</v>
      </c>
      <c r="W26" s="2"/>
      <c r="X26" s="2">
        <f t="shared" si="10"/>
        <v>577184.57000000007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15105.409999999998</v>
      </c>
      <c r="E27" s="2"/>
      <c r="F27" s="19">
        <f t="shared" si="4"/>
        <v>2.8523021541708191E-2</v>
      </c>
      <c r="G27" s="2"/>
      <c r="H27" s="2"/>
      <c r="I27" s="2"/>
      <c r="J27" s="19">
        <f t="shared" si="5"/>
        <v>0</v>
      </c>
      <c r="K27" s="2"/>
      <c r="L27" s="2">
        <f t="shared" si="6"/>
        <v>15105.409999999998</v>
      </c>
      <c r="M27" s="2"/>
      <c r="N27" s="19">
        <f t="shared" si="7"/>
        <v>0</v>
      </c>
      <c r="O27" s="11"/>
      <c r="P27" s="2">
        <v>-43645.97</v>
      </c>
      <c r="Q27" s="2"/>
      <c r="R27" s="19">
        <f t="shared" si="8"/>
        <v>-3.9036799798052441E-2</v>
      </c>
      <c r="S27" s="2"/>
      <c r="T27" s="2"/>
      <c r="U27" s="2"/>
      <c r="V27" s="19">
        <f t="shared" si="9"/>
        <v>0</v>
      </c>
      <c r="W27" s="2"/>
      <c r="X27" s="2">
        <f t="shared" si="10"/>
        <v>-43645.97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2">
        <f>D12-D24</f>
        <v>270085.49</v>
      </c>
      <c r="E29" s="14"/>
      <c r="F29" s="20">
        <f>IF(D$12=0,0,D29/D$12)</f>
        <v>0.50999305873675804</v>
      </c>
      <c r="G29" s="14"/>
      <c r="H29" s="22">
        <f>H12-H24</f>
        <v>266816</v>
      </c>
      <c r="I29" s="14"/>
      <c r="J29" s="20">
        <f>IF(H$12=0,0,H29/H$12)</f>
        <v>0.51805511869119325</v>
      </c>
      <c r="K29" s="16"/>
      <c r="L29" s="22">
        <f>+D29-H29</f>
        <v>3269.4899999999907</v>
      </c>
      <c r="M29" s="16"/>
      <c r="N29" s="20">
        <f>IF(H29=0,0,L29/H29)</f>
        <v>1.2253725413768254E-2</v>
      </c>
      <c r="O29" s="29"/>
      <c r="P29" s="22">
        <f>P12-P24</f>
        <v>584533.83999999985</v>
      </c>
      <c r="Q29" s="14"/>
      <c r="R29" s="20">
        <f>IF(P$12=0,0,P29/P$12)</f>
        <v>0.5228049803284659</v>
      </c>
      <c r="S29" s="14"/>
      <c r="T29" s="22">
        <f>T12-T24</f>
        <v>579705.19999999995</v>
      </c>
      <c r="U29" s="14"/>
      <c r="V29" s="20">
        <f>IF(T$12=0,0,T29/T$12)</f>
        <v>0.51816520571072466</v>
      </c>
      <c r="W29" s="16"/>
      <c r="X29" s="22">
        <f>+P29-T29</f>
        <v>4828.6399999998976</v>
      </c>
      <c r="Y29" s="16"/>
      <c r="Z29" s="20">
        <f>IF(T29=0,0,X29/T29)</f>
        <v>8.3294750504220045E-3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139552.00999999998</v>
      </c>
      <c r="E31" s="21"/>
      <c r="F31" s="35">
        <f t="shared" ref="F31:F41" si="12">IF(D$12=0,0,D31/D$12)</f>
        <v>0.26351121799531935</v>
      </c>
      <c r="G31" s="21"/>
      <c r="H31" s="21">
        <f>SUM(OSRRefH22x_0)</f>
        <v>146280.48547392309</v>
      </c>
      <c r="I31" s="21"/>
      <c r="J31" s="35">
        <f t="shared" ref="J31:J41" si="13">IF(H$12=0,0,H31/H$12)</f>
        <v>0.28402102671653345</v>
      </c>
      <c r="K31" s="4"/>
      <c r="L31" s="21">
        <f t="shared" ref="L31:L41" si="14">+D31-H31</f>
        <v>-6728.4754739231139</v>
      </c>
      <c r="M31" s="4"/>
      <c r="N31" s="35">
        <f t="shared" ref="N31:N41" si="15">IF(H31=0,0,L31/H31)</f>
        <v>-4.5997081921925774E-2</v>
      </c>
      <c r="O31" s="10"/>
      <c r="P31" s="21">
        <f>SUM(OSRRefP22x_0)</f>
        <v>437176.1399999999</v>
      </c>
      <c r="Q31" s="21"/>
      <c r="R31" s="35">
        <f t="shared" ref="R31:R41" si="16">IF(P$12=0,0,P31/P$12)</f>
        <v>0.39100877935959133</v>
      </c>
      <c r="S31" s="21"/>
      <c r="T31" s="21">
        <f>SUM(OSRRefT22x_0)</f>
        <v>419186.11311287311</v>
      </c>
      <c r="U31" s="21"/>
      <c r="V31" s="35">
        <f t="shared" ref="V31:V41" si="17">IF(T$12=0,0,T31/T$12)</f>
        <v>0.37468640704311607</v>
      </c>
      <c r="W31" s="4"/>
      <c r="X31" s="21">
        <f t="shared" ref="X31:X41" si="18">+P31-T31</f>
        <v>17990.026887126791</v>
      </c>
      <c r="Y31" s="4"/>
      <c r="Z31" s="35">
        <f t="shared" ref="Z31:Z41" si="19">IF(T31=0,0,X31/T31)</f>
        <v>4.2916562176959966E-2</v>
      </c>
    </row>
    <row r="32" spans="1:26" s="26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16641.18</v>
      </c>
      <c r="E32" s="1"/>
      <c r="F32" s="5">
        <f t="shared" si="12"/>
        <v>3.1422962741126763E-2</v>
      </c>
      <c r="G32" s="1"/>
      <c r="H32" s="1">
        <f>SUM(OSRRefH22_0x_0)</f>
        <v>14725.369897000002</v>
      </c>
      <c r="I32" s="1"/>
      <c r="J32" s="5">
        <f t="shared" si="13"/>
        <v>2.8591063690940798E-2</v>
      </c>
      <c r="K32" s="1"/>
      <c r="L32" s="1">
        <f t="shared" si="14"/>
        <v>1915.810102999998</v>
      </c>
      <c r="M32" s="1"/>
      <c r="N32" s="5">
        <f t="shared" si="15"/>
        <v>0.13010268104642353</v>
      </c>
      <c r="O32" s="13"/>
      <c r="P32" s="1">
        <f>SUM(OSRRefP22_0x_0)</f>
        <v>58576.37</v>
      </c>
      <c r="Q32" s="1"/>
      <c r="R32" s="5">
        <f t="shared" si="16"/>
        <v>5.2390496272316671E-2</v>
      </c>
      <c r="S32" s="1"/>
      <c r="T32" s="1">
        <f>SUM(OSRRefT22_0x_0)</f>
        <v>52807.873285950009</v>
      </c>
      <c r="U32" s="1"/>
      <c r="V32" s="5">
        <f t="shared" si="17"/>
        <v>4.7201926986958485E-2</v>
      </c>
      <c r="W32" s="1"/>
      <c r="X32" s="1">
        <f t="shared" si="18"/>
        <v>5768.4967140499939</v>
      </c>
      <c r="Y32" s="1"/>
      <c r="Z32" s="5">
        <f t="shared" si="19"/>
        <v>0.10923554301863454</v>
      </c>
    </row>
    <row r="33" spans="1:26" s="24" customFormat="1" hidden="1" outlineLevel="2" x14ac:dyDescent="0.25">
      <c r="A33" s="27"/>
      <c r="B33" s="11" t="str">
        <f>CONCATENATE("          ", "6111", " - ", "F.I.C.A.")</f>
        <v xml:space="preserve">          6111 - F.I.C.A.</v>
      </c>
      <c r="C33" s="11"/>
      <c r="D33" s="6">
        <v>4094.42</v>
      </c>
      <c r="E33" s="2"/>
      <c r="F33" s="7">
        <f t="shared" si="12"/>
        <v>7.7313512086597362E-3</v>
      </c>
      <c r="G33" s="2"/>
      <c r="H33" s="6">
        <v>1839.014133923077</v>
      </c>
      <c r="I33" s="2"/>
      <c r="J33" s="7">
        <f t="shared" si="13"/>
        <v>3.5706654976624397E-3</v>
      </c>
      <c r="K33" s="2"/>
      <c r="L33" s="6">
        <f t="shared" si="14"/>
        <v>2255.4058660769233</v>
      </c>
      <c r="M33" s="2"/>
      <c r="N33" s="7">
        <f t="shared" si="15"/>
        <v>1.2264211701655487</v>
      </c>
      <c r="O33" s="11"/>
      <c r="P33" s="6">
        <v>10841.96</v>
      </c>
      <c r="Q33" s="2"/>
      <c r="R33" s="7">
        <f t="shared" si="16"/>
        <v>9.6970103296705884E-3</v>
      </c>
      <c r="S33" s="2"/>
      <c r="T33" s="6">
        <v>7693.3995688730756</v>
      </c>
      <c r="U33" s="2"/>
      <c r="V33" s="7">
        <f t="shared" si="17"/>
        <v>6.8766883067806145E-3</v>
      </c>
      <c r="W33" s="2"/>
      <c r="X33" s="6">
        <f t="shared" si="18"/>
        <v>3148.5604311269235</v>
      </c>
      <c r="Y33" s="2"/>
      <c r="Z33" s="7">
        <f t="shared" si="19"/>
        <v>0.40925476480719469</v>
      </c>
    </row>
    <row r="34" spans="1:26" s="24" customFormat="1" hidden="1" outlineLevel="2" x14ac:dyDescent="0.25">
      <c r="A34" s="27"/>
      <c r="B34" s="11" t="str">
        <f>CONCATENATE("          ", "6112", " - ", "COMPENSATION INSURANCE")</f>
        <v xml:space="preserve">          6112 - COMPENSATION INSURANCE</v>
      </c>
      <c r="C34" s="11"/>
      <c r="D34" s="6">
        <v>207.49</v>
      </c>
      <c r="E34" s="2"/>
      <c r="F34" s="7">
        <f t="shared" si="12"/>
        <v>3.9179616704803337E-4</v>
      </c>
      <c r="G34" s="2"/>
      <c r="H34" s="6">
        <v>1594.9118115384611</v>
      </c>
      <c r="I34" s="2"/>
      <c r="J34" s="7">
        <f t="shared" si="13"/>
        <v>3.0967116958073855E-3</v>
      </c>
      <c r="K34" s="2"/>
      <c r="L34" s="6">
        <f t="shared" si="14"/>
        <v>-1387.421811538461</v>
      </c>
      <c r="M34" s="2"/>
      <c r="N34" s="7">
        <f t="shared" si="15"/>
        <v>-0.869905032680237</v>
      </c>
      <c r="O34" s="11"/>
      <c r="P34" s="6">
        <v>2867.76</v>
      </c>
      <c r="Q34" s="2"/>
      <c r="R34" s="7">
        <f t="shared" si="16"/>
        <v>2.5649143091300958E-3</v>
      </c>
      <c r="S34" s="2"/>
      <c r="T34" s="6">
        <v>4342.2341965384612</v>
      </c>
      <c r="U34" s="2"/>
      <c r="V34" s="7">
        <f t="shared" si="17"/>
        <v>3.8812739228378406E-3</v>
      </c>
      <c r="W34" s="2"/>
      <c r="X34" s="6">
        <f t="shared" si="18"/>
        <v>-1474.474196538461</v>
      </c>
      <c r="Y34" s="2"/>
      <c r="Z34" s="7">
        <f t="shared" si="19"/>
        <v>-0.33956579258527353</v>
      </c>
    </row>
    <row r="35" spans="1:26" s="24" customFormat="1" hidden="1" outlineLevel="2" x14ac:dyDescent="0.25">
      <c r="A35" s="27"/>
      <c r="B35" s="11" t="str">
        <f>CONCATENATE("          ", "6113", " - ", "GROUP INSURANCE")</f>
        <v xml:space="preserve">          6113 - GROUP INSURANCE</v>
      </c>
      <c r="C35" s="11"/>
      <c r="D35" s="6">
        <v>6378.17</v>
      </c>
      <c r="E35" s="2"/>
      <c r="F35" s="7">
        <f t="shared" si="12"/>
        <v>1.2043677086995781E-2</v>
      </c>
      <c r="G35" s="2"/>
      <c r="H35" s="6">
        <v>5998</v>
      </c>
      <c r="I35" s="2"/>
      <c r="J35" s="7">
        <f t="shared" si="13"/>
        <v>1.164583309063091E-2</v>
      </c>
      <c r="K35" s="2"/>
      <c r="L35" s="6">
        <f t="shared" si="14"/>
        <v>380.17000000000007</v>
      </c>
      <c r="M35" s="2"/>
      <c r="N35" s="7">
        <f t="shared" si="15"/>
        <v>6.3382794264754933E-2</v>
      </c>
      <c r="O35" s="11"/>
      <c r="P35" s="6">
        <v>25980.329999999998</v>
      </c>
      <c r="Q35" s="2"/>
      <c r="R35" s="7">
        <f t="shared" si="16"/>
        <v>2.3236714429701887E-2</v>
      </c>
      <c r="S35" s="2"/>
      <c r="T35" s="6">
        <v>23992</v>
      </c>
      <c r="U35" s="2"/>
      <c r="V35" s="7">
        <f t="shared" si="17"/>
        <v>2.1445071763047333E-2</v>
      </c>
      <c r="W35" s="2"/>
      <c r="X35" s="6">
        <f t="shared" si="18"/>
        <v>1988.3299999999981</v>
      </c>
      <c r="Y35" s="2"/>
      <c r="Z35" s="7">
        <f t="shared" si="19"/>
        <v>8.287470823607862E-2</v>
      </c>
    </row>
    <row r="36" spans="1:26" s="24" customFormat="1" hidden="1" outlineLevel="2" x14ac:dyDescent="0.25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>
        <v>204.24</v>
      </c>
      <c r="E36" s="2"/>
      <c r="F36" s="7">
        <f t="shared" si="12"/>
        <v>3.8565930482380032E-4</v>
      </c>
      <c r="G36" s="2"/>
      <c r="H36" s="6">
        <v>218.25109</v>
      </c>
      <c r="I36" s="2"/>
      <c r="J36" s="7">
        <f t="shared" si="13"/>
        <v>4.2376054784732661E-4</v>
      </c>
      <c r="K36" s="2"/>
      <c r="L36" s="6">
        <f t="shared" si="14"/>
        <v>-14.011089999999996</v>
      </c>
      <c r="M36" s="2"/>
      <c r="N36" s="7">
        <f t="shared" si="15"/>
        <v>-6.4197113517279553E-2</v>
      </c>
      <c r="O36" s="11"/>
      <c r="P36" s="6">
        <v>530.89</v>
      </c>
      <c r="Q36" s="2"/>
      <c r="R36" s="7">
        <f t="shared" si="16"/>
        <v>4.7482612128423452E-4</v>
      </c>
      <c r="S36" s="2"/>
      <c r="T36" s="6">
        <v>594.200469</v>
      </c>
      <c r="U36" s="2"/>
      <c r="V36" s="7">
        <f t="shared" si="17"/>
        <v>5.3112169470412556E-4</v>
      </c>
      <c r="W36" s="2"/>
      <c r="X36" s="6">
        <f t="shared" si="18"/>
        <v>-63.310469000000012</v>
      </c>
      <c r="Y36" s="2"/>
      <c r="Z36" s="7">
        <f t="shared" si="19"/>
        <v>-0.10654732249967311</v>
      </c>
    </row>
    <row r="37" spans="1:26" s="24" customFormat="1" hidden="1" outlineLevel="2" x14ac:dyDescent="0.25">
      <c r="A37" s="27"/>
      <c r="B37" s="11" t="str">
        <f>CONCATENATE("          ", "6115", " - ", "P.E.R.S.")</f>
        <v xml:space="preserve">          6115 - P.E.R.S.</v>
      </c>
      <c r="C37" s="11"/>
      <c r="D37" s="6">
        <v>2296.2800000000002</v>
      </c>
      <c r="E37" s="2"/>
      <c r="F37" s="7">
        <f t="shared" si="12"/>
        <v>4.3359858425420887E-3</v>
      </c>
      <c r="G37" s="2"/>
      <c r="H37" s="6">
        <v>1873.9165153846161</v>
      </c>
      <c r="I37" s="2"/>
      <c r="J37" s="7">
        <f t="shared" si="13"/>
        <v>3.6384326382037225E-3</v>
      </c>
      <c r="K37" s="2"/>
      <c r="L37" s="6">
        <f t="shared" si="14"/>
        <v>422.3634846153841</v>
      </c>
      <c r="M37" s="2"/>
      <c r="N37" s="7">
        <f t="shared" si="15"/>
        <v>0.22539076909127681</v>
      </c>
      <c r="O37" s="11"/>
      <c r="P37" s="6">
        <v>6789.98</v>
      </c>
      <c r="Q37" s="2"/>
      <c r="R37" s="7">
        <f t="shared" si="16"/>
        <v>6.0729338789533172E-3</v>
      </c>
      <c r="S37" s="2"/>
      <c r="T37" s="6">
        <v>6746.0994553846158</v>
      </c>
      <c r="U37" s="2"/>
      <c r="V37" s="7">
        <f t="shared" si="17"/>
        <v>6.0299511062594869E-3</v>
      </c>
      <c r="W37" s="2"/>
      <c r="X37" s="6">
        <f t="shared" si="18"/>
        <v>43.880544615383769</v>
      </c>
      <c r="Y37" s="2"/>
      <c r="Z37" s="7">
        <f t="shared" si="19"/>
        <v>6.5045801511804131E-3</v>
      </c>
    </row>
    <row r="38" spans="1:26" s="24" customFormat="1" hidden="1" outlineLevel="2" x14ac:dyDescent="0.25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"6118", " - ", "VACATION")</f>
        <v xml:space="preserve">          6118 - VACATION</v>
      </c>
      <c r="C39" s="11"/>
      <c r="D39" s="6">
        <v>1585.47</v>
      </c>
      <c r="E39" s="2"/>
      <c r="F39" s="7">
        <f t="shared" si="12"/>
        <v>2.9937879848168365E-3</v>
      </c>
      <c r="G39" s="2"/>
      <c r="H39" s="6">
        <v>795.05911538461555</v>
      </c>
      <c r="I39" s="2"/>
      <c r="J39" s="7">
        <f t="shared" si="13"/>
        <v>1.5437021932233903E-3</v>
      </c>
      <c r="K39" s="2"/>
      <c r="L39" s="6">
        <f t="shared" si="14"/>
        <v>790.41088461538448</v>
      </c>
      <c r="M39" s="2"/>
      <c r="N39" s="7">
        <f t="shared" si="15"/>
        <v>0.99415360357577631</v>
      </c>
      <c r="O39" s="11"/>
      <c r="P39" s="6">
        <v>5065.3</v>
      </c>
      <c r="Q39" s="2"/>
      <c r="R39" s="7">
        <f t="shared" si="16"/>
        <v>4.5303862422366838E-3</v>
      </c>
      <c r="S39" s="2"/>
      <c r="T39" s="6">
        <v>2847.3808153846153</v>
      </c>
      <c r="U39" s="2"/>
      <c r="V39" s="7">
        <f t="shared" si="17"/>
        <v>2.5451102835381502E-3</v>
      </c>
      <c r="W39" s="2"/>
      <c r="X39" s="6">
        <f t="shared" si="18"/>
        <v>2217.9191846153849</v>
      </c>
      <c r="Y39" s="2"/>
      <c r="Z39" s="7">
        <f t="shared" si="19"/>
        <v>0.77893310674560945</v>
      </c>
    </row>
    <row r="40" spans="1:26" s="24" customFormat="1" hidden="1" outlineLevel="2" x14ac:dyDescent="0.25">
      <c r="A40" s="27"/>
      <c r="B40" s="11" t="str">
        <f>CONCATENATE("          ", "6119", " - ", "SICK LEAVE")</f>
        <v xml:space="preserve">          6119 - SICK LEAVE</v>
      </c>
      <c r="C40" s="11"/>
      <c r="D40" s="6">
        <v>1182.18</v>
      </c>
      <c r="E40" s="2"/>
      <c r="F40" s="7">
        <f t="shared" si="12"/>
        <v>2.2322694720750113E-3</v>
      </c>
      <c r="G40" s="2"/>
      <c r="H40" s="6">
        <v>2406.2172307692313</v>
      </c>
      <c r="I40" s="2"/>
      <c r="J40" s="7">
        <f t="shared" si="13"/>
        <v>4.6719580275656194E-3</v>
      </c>
      <c r="K40" s="2"/>
      <c r="L40" s="6">
        <f t="shared" si="14"/>
        <v>-1224.0372307692312</v>
      </c>
      <c r="M40" s="2"/>
      <c r="N40" s="7">
        <f t="shared" si="15"/>
        <v>-0.50869772484254261</v>
      </c>
      <c r="O40" s="11"/>
      <c r="P40" s="6">
        <v>3950.96</v>
      </c>
      <c r="Q40" s="2"/>
      <c r="R40" s="7">
        <f t="shared" si="16"/>
        <v>3.533724523251821E-3</v>
      </c>
      <c r="S40" s="2"/>
      <c r="T40" s="6">
        <v>6467.5587807692327</v>
      </c>
      <c r="U40" s="2"/>
      <c r="V40" s="7">
        <f t="shared" si="17"/>
        <v>5.7809795842498788E-3</v>
      </c>
      <c r="W40" s="2"/>
      <c r="X40" s="6">
        <f t="shared" si="18"/>
        <v>-2516.5987807692327</v>
      </c>
      <c r="Y40" s="2"/>
      <c r="Z40" s="7">
        <f t="shared" si="19"/>
        <v>-0.38911107978672532</v>
      </c>
    </row>
    <row r="41" spans="1:26" s="24" customFormat="1" hidden="1" outlineLevel="2" x14ac:dyDescent="0.25">
      <c r="A41" s="27"/>
      <c r="B41" s="11" t="str">
        <f>CONCATENATE("          ", "6156", " - ", "EMPLOYEE MEALS")</f>
        <v xml:space="preserve">          6156 - EMPLOYEE MEALS</v>
      </c>
      <c r="C41" s="11"/>
      <c r="D41" s="6">
        <v>692.93</v>
      </c>
      <c r="E41" s="2"/>
      <c r="F41" s="7">
        <f t="shared" si="12"/>
        <v>1.3084356741654716E-3</v>
      </c>
      <c r="G41" s="2"/>
      <c r="H41" s="6"/>
      <c r="I41" s="2"/>
      <c r="J41" s="7">
        <f t="shared" si="13"/>
        <v>0</v>
      </c>
      <c r="K41" s="2"/>
      <c r="L41" s="6">
        <f t="shared" si="14"/>
        <v>692.93</v>
      </c>
      <c r="M41" s="2"/>
      <c r="N41" s="7">
        <f t="shared" si="15"/>
        <v>0</v>
      </c>
      <c r="O41" s="11"/>
      <c r="P41" s="6">
        <v>2549.19</v>
      </c>
      <c r="Q41" s="2"/>
      <c r="R41" s="7">
        <f t="shared" si="16"/>
        <v>2.2799864380880367E-3</v>
      </c>
      <c r="S41" s="2"/>
      <c r="T41" s="6">
        <v>125</v>
      </c>
      <c r="U41" s="2"/>
      <c r="V41" s="7">
        <f t="shared" si="17"/>
        <v>1.1173032554105187E-4</v>
      </c>
      <c r="W41" s="2"/>
      <c r="X41" s="6">
        <f t="shared" si="18"/>
        <v>2424.19</v>
      </c>
      <c r="Y41" s="2"/>
      <c r="Z41" s="7">
        <f t="shared" si="19"/>
        <v>19.393519999999999</v>
      </c>
    </row>
    <row r="42" spans="1:26" s="26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79026.5</v>
      </c>
      <c r="E42" s="1"/>
      <c r="F42" s="5">
        <f t="shared" ref="F42:F52" si="20">IF(D$12=0,0,D42/D$12)</f>
        <v>0.14922299771180011</v>
      </c>
      <c r="G42" s="1"/>
      <c r="H42" s="1">
        <f>SUM(OSRRefH22_1x_0)</f>
        <v>82237.115576923083</v>
      </c>
      <c r="I42" s="1"/>
      <c r="J42" s="5">
        <f t="shared" ref="J42:J52" si="21">IF(H$12=0,0,H42/H$12)</f>
        <v>0.15967317803664047</v>
      </c>
      <c r="K42" s="1"/>
      <c r="L42" s="1">
        <f t="shared" ref="L42:L52" si="22">+D42-H42</f>
        <v>-3210.6155769230827</v>
      </c>
      <c r="M42" s="1"/>
      <c r="N42" s="5">
        <f t="shared" ref="N42:N52" si="23">IF(H42=0,0,L42/H42)</f>
        <v>-3.9040955587990339E-2</v>
      </c>
      <c r="O42" s="13"/>
      <c r="P42" s="1">
        <f>SUM(OSRRefP22_1x_0)</f>
        <v>220271.55000000002</v>
      </c>
      <c r="Q42" s="1"/>
      <c r="R42" s="5">
        <f t="shared" ref="R42:R52" si="24">IF(P$12=0,0,P42/P$12)</f>
        <v>0.19701008818355278</v>
      </c>
      <c r="S42" s="1"/>
      <c r="T42" s="1">
        <f>SUM(OSRRefT22_1x_0)</f>
        <v>222912.23982692312</v>
      </c>
      <c r="U42" s="1"/>
      <c r="V42" s="5">
        <f t="shared" ref="V42:V52" si="25">IF(T$12=0,0,T42/T$12)</f>
        <v>0.19924845698357718</v>
      </c>
      <c r="W42" s="1"/>
      <c r="X42" s="1">
        <f t="shared" ref="X42:X52" si="26">+P42-T42</f>
        <v>-2640.6898269231024</v>
      </c>
      <c r="Y42" s="1"/>
      <c r="Z42" s="5">
        <f t="shared" ref="Z42:Z52" si="27">IF(T42=0,0,X42/T42)</f>
        <v>-1.1846320457653768E-2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16003.440576923082</v>
      </c>
      <c r="I43" s="2"/>
      <c r="J43" s="7">
        <f t="shared" si="21"/>
        <v>3.107259050261358E-2</v>
      </c>
      <c r="K43" s="2"/>
      <c r="L43" s="6">
        <f t="shared" si="22"/>
        <v>-16003.440576923082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57612.386076923103</v>
      </c>
      <c r="U43" s="2"/>
      <c r="V43" s="7">
        <f t="shared" si="25"/>
        <v>5.149640521257106E-2</v>
      </c>
      <c r="W43" s="2"/>
      <c r="X43" s="6">
        <f t="shared" si="26"/>
        <v>-57612.386076923103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6">
        <v>19893.990000000002</v>
      </c>
      <c r="E44" s="2"/>
      <c r="F44" s="7">
        <f t="shared" si="20"/>
        <v>3.7565130990852118E-2</v>
      </c>
      <c r="G44" s="2"/>
      <c r="H44" s="6">
        <v>4449.6000000000004</v>
      </c>
      <c r="I44" s="2"/>
      <c r="J44" s="7">
        <f t="shared" si="21"/>
        <v>8.6394296298885134E-3</v>
      </c>
      <c r="K44" s="2"/>
      <c r="L44" s="6">
        <f t="shared" si="22"/>
        <v>15444.390000000001</v>
      </c>
      <c r="M44" s="2"/>
      <c r="N44" s="7">
        <f t="shared" si="23"/>
        <v>3.4709614347357065</v>
      </c>
      <c r="O44" s="11"/>
      <c r="P44" s="6">
        <v>71066.680000000008</v>
      </c>
      <c r="Q44" s="2"/>
      <c r="R44" s="7">
        <f t="shared" si="24"/>
        <v>6.3561784959121265E-2</v>
      </c>
      <c r="S44" s="2"/>
      <c r="T44" s="6">
        <v>16018.56</v>
      </c>
      <c r="U44" s="2"/>
      <c r="V44" s="7">
        <f t="shared" si="25"/>
        <v>1.4318071387990974E-2</v>
      </c>
      <c r="W44" s="2"/>
      <c r="X44" s="6">
        <f t="shared" si="26"/>
        <v>55048.12000000001</v>
      </c>
      <c r="Y44" s="2"/>
      <c r="Z44" s="7">
        <f t="shared" si="27"/>
        <v>3.4365211354828404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20"/>
        <v>0</v>
      </c>
      <c r="G46" s="2"/>
      <c r="H46" s="6">
        <v>2240.25</v>
      </c>
      <c r="I46" s="2"/>
      <c r="J46" s="7">
        <f t="shared" si="21"/>
        <v>4.3497128344924798E-3</v>
      </c>
      <c r="K46" s="2"/>
      <c r="L46" s="6">
        <f t="shared" si="22"/>
        <v>-2240.25</v>
      </c>
      <c r="M46" s="2"/>
      <c r="N46" s="7">
        <f t="shared" si="23"/>
        <v>-1</v>
      </c>
      <c r="O46" s="11"/>
      <c r="P46" s="6">
        <v>254.64</v>
      </c>
      <c r="Q46" s="2"/>
      <c r="R46" s="7">
        <f t="shared" si="24"/>
        <v>2.2774910720453856E-4</v>
      </c>
      <c r="S46" s="2"/>
      <c r="T46" s="6">
        <v>7570.5</v>
      </c>
      <c r="U46" s="2"/>
      <c r="V46" s="7">
        <f t="shared" si="25"/>
        <v>6.7668354360682654E-3</v>
      </c>
      <c r="W46" s="2"/>
      <c r="X46" s="6">
        <f t="shared" si="26"/>
        <v>-7315.86</v>
      </c>
      <c r="Y46" s="2"/>
      <c r="Z46" s="7">
        <f t="shared" si="27"/>
        <v>-0.9663641767386566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10771.75</v>
      </c>
      <c r="E47" s="2"/>
      <c r="F47" s="7">
        <f t="shared" si="20"/>
        <v>2.0339921742732917E-2</v>
      </c>
      <c r="G47" s="2"/>
      <c r="H47" s="6">
        <v>1969.1</v>
      </c>
      <c r="I47" s="2"/>
      <c r="J47" s="7">
        <f t="shared" si="21"/>
        <v>3.8232427373726782E-3</v>
      </c>
      <c r="K47" s="2"/>
      <c r="L47" s="6">
        <f t="shared" si="22"/>
        <v>8802.65</v>
      </c>
      <c r="M47" s="2"/>
      <c r="N47" s="7">
        <f t="shared" si="23"/>
        <v>4.4703925651312781</v>
      </c>
      <c r="O47" s="11"/>
      <c r="P47" s="6">
        <v>27163.06</v>
      </c>
      <c r="Q47" s="2"/>
      <c r="R47" s="7">
        <f t="shared" si="24"/>
        <v>2.4294543920606794E-2</v>
      </c>
      <c r="S47" s="2"/>
      <c r="T47" s="6">
        <v>4236.96</v>
      </c>
      <c r="U47" s="2"/>
      <c r="V47" s="7">
        <f t="shared" si="25"/>
        <v>3.7871753608353211E-3</v>
      </c>
      <c r="W47" s="2"/>
      <c r="X47" s="6">
        <f t="shared" si="26"/>
        <v>22926.100000000002</v>
      </c>
      <c r="Y47" s="2"/>
      <c r="Z47" s="7">
        <f t="shared" si="27"/>
        <v>5.4109786261848125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6">
        <v>3345.47</v>
      </c>
      <c r="E48" s="2"/>
      <c r="F48" s="7">
        <f t="shared" si="20"/>
        <v>6.3171349124014845E-3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3345.47</v>
      </c>
      <c r="M48" s="2"/>
      <c r="N48" s="7">
        <f t="shared" si="23"/>
        <v>0</v>
      </c>
      <c r="O48" s="11"/>
      <c r="P48" s="6">
        <v>6689.07</v>
      </c>
      <c r="Q48" s="2"/>
      <c r="R48" s="7">
        <f t="shared" si="24"/>
        <v>5.982680335095282E-3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6689.07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6">
        <v>43455.29</v>
      </c>
      <c r="E49" s="2"/>
      <c r="F49" s="7">
        <f t="shared" si="20"/>
        <v>8.205511619818176E-2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43455.29</v>
      </c>
      <c r="M49" s="2"/>
      <c r="N49" s="7">
        <f t="shared" si="23"/>
        <v>0</v>
      </c>
      <c r="O49" s="11"/>
      <c r="P49" s="6">
        <v>108250.31</v>
      </c>
      <c r="Q49" s="2"/>
      <c r="R49" s="7">
        <f t="shared" si="24"/>
        <v>9.6818690924892134E-2</v>
      </c>
      <c r="S49" s="2"/>
      <c r="T49" s="6">
        <v>14410.143749999999</v>
      </c>
      <c r="U49" s="2"/>
      <c r="V49" s="7">
        <f t="shared" si="25"/>
        <v>1.2880400418246831E-2</v>
      </c>
      <c r="W49" s="2"/>
      <c r="X49" s="6">
        <f t="shared" si="26"/>
        <v>93840.166249999995</v>
      </c>
      <c r="Y49" s="2"/>
      <c r="Z49" s="7">
        <f t="shared" si="27"/>
        <v>6.5120909185933691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>
        <v>1560</v>
      </c>
      <c r="E50" s="2"/>
      <c r="F50" s="7">
        <f t="shared" si="20"/>
        <v>2.9456938676318471E-3</v>
      </c>
      <c r="G50" s="2"/>
      <c r="H50" s="6">
        <v>57574.724999999999</v>
      </c>
      <c r="I50" s="2"/>
      <c r="J50" s="7">
        <f t="shared" si="21"/>
        <v>0.11178820233227321</v>
      </c>
      <c r="K50" s="2"/>
      <c r="L50" s="6">
        <f t="shared" si="22"/>
        <v>-56014.724999999999</v>
      </c>
      <c r="M50" s="2"/>
      <c r="N50" s="7">
        <f t="shared" si="23"/>
        <v>-0.97290477722646529</v>
      </c>
      <c r="O50" s="11"/>
      <c r="P50" s="6">
        <v>6847.79</v>
      </c>
      <c r="Q50" s="2"/>
      <c r="R50" s="7">
        <f t="shared" si="24"/>
        <v>6.1246389366327644E-3</v>
      </c>
      <c r="S50" s="2"/>
      <c r="T50" s="6">
        <v>123063.69000000002</v>
      </c>
      <c r="U50" s="2"/>
      <c r="V50" s="7">
        <f t="shared" si="25"/>
        <v>0.10999956916786473</v>
      </c>
      <c r="W50" s="2"/>
      <c r="X50" s="6">
        <f t="shared" si="26"/>
        <v>-116215.90000000002</v>
      </c>
      <c r="Y50" s="2"/>
      <c r="Z50" s="7">
        <f t="shared" si="27"/>
        <v>-0.94435572344694041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6" customFormat="1" outlineLevel="1" collapsed="1" x14ac:dyDescent="0.25">
      <c r="A53" s="25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434.42</v>
      </c>
      <c r="E53" s="1"/>
      <c r="F53" s="5">
        <f t="shared" ref="F53:F62" si="28">IF(D$12=0,0,D53/D$12)</f>
        <v>8.203002115234789E-4</v>
      </c>
      <c r="G53" s="1"/>
      <c r="H53" s="1">
        <f>SUM(OSRRefH22_2x_0)</f>
        <v>150</v>
      </c>
      <c r="I53" s="1"/>
      <c r="J53" s="5">
        <f t="shared" ref="J53:J62" si="29">IF(H$12=0,0,H53/H$12)</f>
        <v>2.9124290823518448E-4</v>
      </c>
      <c r="K53" s="1"/>
      <c r="L53" s="1">
        <f t="shared" ref="L53:L62" si="30">+D53-H53</f>
        <v>284.42</v>
      </c>
      <c r="M53" s="1"/>
      <c r="N53" s="5">
        <f t="shared" ref="N53:N62" si="31">IF(H53=0,0,L53/H53)</f>
        <v>1.8961333333333334</v>
      </c>
      <c r="O53" s="13"/>
      <c r="P53" s="1">
        <f>SUM(OSRRefP22_2x_0)</f>
        <v>1052.94</v>
      </c>
      <c r="Q53" s="1"/>
      <c r="R53" s="5">
        <f t="shared" ref="R53:R62" si="32">IF(P$12=0,0,P53/P$12)</f>
        <v>9.4174577811791886E-4</v>
      </c>
      <c r="S53" s="1"/>
      <c r="T53" s="1">
        <f>SUM(OSRRefT22_2x_0)</f>
        <v>450</v>
      </c>
      <c r="U53" s="1"/>
      <c r="V53" s="5">
        <f t="shared" ref="V53:V62" si="33">IF(T$12=0,0,T53/T$12)</f>
        <v>4.0222917194778673E-4</v>
      </c>
      <c r="W53" s="1"/>
      <c r="X53" s="1">
        <f t="shared" ref="X53:X62" si="34">+P53-T53</f>
        <v>602.94000000000005</v>
      </c>
      <c r="Y53" s="1"/>
      <c r="Z53" s="5">
        <f t="shared" ref="Z53:Z62" si="35">IF(T53=0,0,X53/T53)</f>
        <v>1.3398666666666668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6">
        <v>434.42</v>
      </c>
      <c r="E54" s="2"/>
      <c r="F54" s="7">
        <f t="shared" si="28"/>
        <v>8.203002115234789E-4</v>
      </c>
      <c r="G54" s="2"/>
      <c r="H54" s="6">
        <v>150</v>
      </c>
      <c r="I54" s="2"/>
      <c r="J54" s="7">
        <f t="shared" si="29"/>
        <v>2.9124290823518448E-4</v>
      </c>
      <c r="K54" s="2"/>
      <c r="L54" s="6">
        <f t="shared" si="30"/>
        <v>284.42</v>
      </c>
      <c r="M54" s="2"/>
      <c r="N54" s="7">
        <f t="shared" si="31"/>
        <v>1.8961333333333334</v>
      </c>
      <c r="O54" s="11"/>
      <c r="P54" s="6">
        <v>1052.94</v>
      </c>
      <c r="Q54" s="2"/>
      <c r="R54" s="7">
        <f t="shared" si="32"/>
        <v>9.4174577811791886E-4</v>
      </c>
      <c r="S54" s="2"/>
      <c r="T54" s="6">
        <v>450</v>
      </c>
      <c r="U54" s="2"/>
      <c r="V54" s="7">
        <f t="shared" si="33"/>
        <v>4.0222917194778673E-4</v>
      </c>
      <c r="W54" s="2"/>
      <c r="X54" s="6">
        <f t="shared" si="34"/>
        <v>602.94000000000005</v>
      </c>
      <c r="Y54" s="2"/>
      <c r="Z54" s="7">
        <f t="shared" si="35"/>
        <v>1.3398666666666668</v>
      </c>
    </row>
    <row r="55" spans="1:26" s="26" customFormat="1" outlineLevel="1" collapsed="1" x14ac:dyDescent="0.25">
      <c r="A55" s="25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-54.11</v>
      </c>
      <c r="E55" s="1"/>
      <c r="F55" s="5">
        <f t="shared" si="28"/>
        <v>-1.0217403537023029E-4</v>
      </c>
      <c r="G55" s="1"/>
      <c r="H55" s="1">
        <f>SUM(OSRRefH22_3x_0)</f>
        <v>10</v>
      </c>
      <c r="I55" s="1"/>
      <c r="J55" s="5">
        <f t="shared" si="29"/>
        <v>1.9416193882345632E-5</v>
      </c>
      <c r="K55" s="1"/>
      <c r="L55" s="1">
        <f t="shared" si="30"/>
        <v>-64.11</v>
      </c>
      <c r="M55" s="1"/>
      <c r="N55" s="5">
        <f t="shared" si="31"/>
        <v>-6.4109999999999996</v>
      </c>
      <c r="O55" s="13"/>
      <c r="P55" s="1">
        <f>SUM(OSRRefP22_3x_0)</f>
        <v>-190.95</v>
      </c>
      <c r="Q55" s="1"/>
      <c r="R55" s="5">
        <f t="shared" si="32"/>
        <v>-1.7078499851047219E-4</v>
      </c>
      <c r="S55" s="1"/>
      <c r="T55" s="1">
        <f>SUM(OSRRefT22_3x_0)</f>
        <v>40</v>
      </c>
      <c r="U55" s="1"/>
      <c r="V55" s="5">
        <f t="shared" si="33"/>
        <v>3.5753704173136598E-5</v>
      </c>
      <c r="W55" s="1"/>
      <c r="X55" s="1">
        <f t="shared" si="34"/>
        <v>-230.95</v>
      </c>
      <c r="Y55" s="1"/>
      <c r="Z55" s="5">
        <f t="shared" si="35"/>
        <v>-5.7737499999999997</v>
      </c>
    </row>
    <row r="56" spans="1:26" s="24" customFormat="1" hidden="1" outlineLevel="2" x14ac:dyDescent="0.25">
      <c r="A56" s="27"/>
      <c r="B56" s="11" t="str">
        <f>CONCATENATE("          ", "6272", " - ", "CASH (OVER/SHORT)")</f>
        <v xml:space="preserve">          6272 - CASH (OVER/SHORT)</v>
      </c>
      <c r="C56" s="11"/>
      <c r="D56" s="6">
        <v>-54.11</v>
      </c>
      <c r="E56" s="2"/>
      <c r="F56" s="7">
        <f t="shared" si="28"/>
        <v>-1.0217403537023029E-4</v>
      </c>
      <c r="G56" s="2"/>
      <c r="H56" s="6">
        <v>10</v>
      </c>
      <c r="I56" s="2"/>
      <c r="J56" s="7">
        <f t="shared" si="29"/>
        <v>1.9416193882345632E-5</v>
      </c>
      <c r="K56" s="2"/>
      <c r="L56" s="6">
        <f t="shared" si="30"/>
        <v>-64.11</v>
      </c>
      <c r="M56" s="2"/>
      <c r="N56" s="7">
        <f t="shared" si="31"/>
        <v>-6.4109999999999996</v>
      </c>
      <c r="O56" s="11"/>
      <c r="P56" s="6">
        <v>-190.95</v>
      </c>
      <c r="Q56" s="2"/>
      <c r="R56" s="7">
        <f t="shared" si="32"/>
        <v>-1.7078499851047219E-4</v>
      </c>
      <c r="S56" s="2"/>
      <c r="T56" s="6">
        <v>40</v>
      </c>
      <c r="U56" s="2"/>
      <c r="V56" s="7">
        <f t="shared" si="33"/>
        <v>3.5753704173136598E-5</v>
      </c>
      <c r="W56" s="2"/>
      <c r="X56" s="6">
        <f t="shared" si="34"/>
        <v>-230.95</v>
      </c>
      <c r="Y56" s="2"/>
      <c r="Z56" s="7">
        <f t="shared" si="35"/>
        <v>-5.7737499999999997</v>
      </c>
    </row>
    <row r="57" spans="1:26" s="26" customFormat="1" outlineLevel="1" collapsed="1" x14ac:dyDescent="0.25">
      <c r="A57" s="25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17899.3</v>
      </c>
      <c r="E57" s="1"/>
      <c r="F57" s="5">
        <f t="shared" si="28"/>
        <v>3.3798627080065848E-2</v>
      </c>
      <c r="G57" s="1"/>
      <c r="H57" s="1">
        <f>SUM(OSRRefH22_4x_0)</f>
        <v>16225</v>
      </c>
      <c r="I57" s="1"/>
      <c r="J57" s="5">
        <f t="shared" si="29"/>
        <v>3.1502774574105788E-2</v>
      </c>
      <c r="K57" s="1"/>
      <c r="L57" s="1">
        <f t="shared" si="30"/>
        <v>1674.2999999999993</v>
      </c>
      <c r="M57" s="1"/>
      <c r="N57" s="5">
        <f t="shared" si="31"/>
        <v>0.10319260400616329</v>
      </c>
      <c r="O57" s="13"/>
      <c r="P57" s="1">
        <f>SUM(OSRRefP22_4x_0)</f>
        <v>37759.35</v>
      </c>
      <c r="Q57" s="1"/>
      <c r="R57" s="5">
        <f t="shared" si="32"/>
        <v>3.3771827879059427E-2</v>
      </c>
      <c r="S57" s="1"/>
      <c r="T57" s="1">
        <f>SUM(OSRRefT22_4x_0)</f>
        <v>35472</v>
      </c>
      <c r="U57" s="1"/>
      <c r="V57" s="5">
        <f t="shared" si="33"/>
        <v>3.1706384860737534E-2</v>
      </c>
      <c r="W57" s="1"/>
      <c r="X57" s="1">
        <f t="shared" si="34"/>
        <v>2287.3499999999985</v>
      </c>
      <c r="Y57" s="1"/>
      <c r="Z57" s="5">
        <f t="shared" si="35"/>
        <v>6.4483254397834866E-2</v>
      </c>
    </row>
    <row r="58" spans="1:26" s="24" customFormat="1" hidden="1" outlineLevel="2" x14ac:dyDescent="0.25">
      <c r="A58" s="27"/>
      <c r="B58" s="11" t="str">
        <f>CONCATENATE("          ", "6381", " - ", "BANK/CREDIT CARD FEES")</f>
        <v xml:space="preserve">          6381 - BANK/CREDIT CARD FEES</v>
      </c>
      <c r="C58" s="11"/>
      <c r="D58" s="6">
        <v>17899.3</v>
      </c>
      <c r="E58" s="2"/>
      <c r="F58" s="7">
        <f t="shared" si="28"/>
        <v>3.3798627080065848E-2</v>
      </c>
      <c r="G58" s="2"/>
      <c r="H58" s="6">
        <v>16225</v>
      </c>
      <c r="I58" s="2"/>
      <c r="J58" s="7">
        <f t="shared" si="29"/>
        <v>3.1502774574105788E-2</v>
      </c>
      <c r="K58" s="2"/>
      <c r="L58" s="6">
        <f t="shared" si="30"/>
        <v>1674.2999999999993</v>
      </c>
      <c r="M58" s="2"/>
      <c r="N58" s="7">
        <f t="shared" si="31"/>
        <v>0.10319260400616329</v>
      </c>
      <c r="O58" s="11"/>
      <c r="P58" s="6">
        <v>37759.35</v>
      </c>
      <c r="Q58" s="2"/>
      <c r="R58" s="7">
        <f t="shared" si="32"/>
        <v>3.3771827879059427E-2</v>
      </c>
      <c r="S58" s="2"/>
      <c r="T58" s="6">
        <v>35472</v>
      </c>
      <c r="U58" s="2"/>
      <c r="V58" s="7">
        <f t="shared" si="33"/>
        <v>3.1706384860737534E-2</v>
      </c>
      <c r="W58" s="2"/>
      <c r="X58" s="6">
        <f t="shared" si="34"/>
        <v>2287.3499999999985</v>
      </c>
      <c r="Y58" s="2"/>
      <c r="Z58" s="7">
        <f t="shared" si="35"/>
        <v>6.4483254397834866E-2</v>
      </c>
    </row>
    <row r="59" spans="1:26" s="26" customFormat="1" outlineLevel="1" collapsed="1" x14ac:dyDescent="0.25">
      <c r="A59" s="25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8403.48</v>
      </c>
      <c r="E59" s="1"/>
      <c r="F59" s="5">
        <f t="shared" si="28"/>
        <v>1.5867999681260816E-2</v>
      </c>
      <c r="G59" s="1"/>
      <c r="H59" s="1">
        <f>SUM(OSRRefH22_5x_0)</f>
        <v>9234</v>
      </c>
      <c r="I59" s="1"/>
      <c r="J59" s="5">
        <f t="shared" si="29"/>
        <v>1.7928913430957955E-2</v>
      </c>
      <c r="K59" s="1"/>
      <c r="L59" s="1">
        <f t="shared" si="30"/>
        <v>-830.52000000000044</v>
      </c>
      <c r="M59" s="1"/>
      <c r="N59" s="5">
        <f t="shared" si="31"/>
        <v>-8.9941520467836308E-2</v>
      </c>
      <c r="O59" s="13"/>
      <c r="P59" s="1">
        <f>SUM(OSRRefP22_5x_0)</f>
        <v>33613.919999999998</v>
      </c>
      <c r="Q59" s="1"/>
      <c r="R59" s="5">
        <f t="shared" si="32"/>
        <v>3.0064170081859812E-2</v>
      </c>
      <c r="S59" s="1"/>
      <c r="T59" s="1">
        <f>SUM(OSRRefT22_5x_0)</f>
        <v>34182</v>
      </c>
      <c r="U59" s="1"/>
      <c r="V59" s="5">
        <f t="shared" si="33"/>
        <v>3.0553327901153879E-2</v>
      </c>
      <c r="W59" s="1"/>
      <c r="X59" s="1">
        <f t="shared" si="34"/>
        <v>-568.08000000000175</v>
      </c>
      <c r="Y59" s="1"/>
      <c r="Z59" s="5">
        <f t="shared" si="35"/>
        <v>-1.6619273301737809E-2</v>
      </c>
    </row>
    <row r="60" spans="1:26" s="24" customFormat="1" hidden="1" outlineLevel="2" x14ac:dyDescent="0.25">
      <c r="A60" s="27"/>
      <c r="B60" s="11" t="str">
        <f>CONCATENATE("          ", "6321", " - ", "BUILDING DEPRECIATION")</f>
        <v xml:space="preserve">          6321 - BUILDING DEPRECIATION</v>
      </c>
      <c r="C60" s="11"/>
      <c r="D60" s="6">
        <v>5080.51</v>
      </c>
      <c r="E60" s="2"/>
      <c r="F60" s="7">
        <f t="shared" si="28"/>
        <v>9.5933507381040246E-3</v>
      </c>
      <c r="G60" s="2"/>
      <c r="H60" s="6">
        <v>5081</v>
      </c>
      <c r="I60" s="2"/>
      <c r="J60" s="7">
        <f t="shared" si="29"/>
        <v>9.8653681116198152E-3</v>
      </c>
      <c r="K60" s="2"/>
      <c r="L60" s="6">
        <f t="shared" si="30"/>
        <v>-0.48999999999978172</v>
      </c>
      <c r="M60" s="2"/>
      <c r="N60" s="7">
        <f t="shared" si="31"/>
        <v>-9.6437709112336489E-5</v>
      </c>
      <c r="O60" s="11"/>
      <c r="P60" s="6">
        <v>20322.04</v>
      </c>
      <c r="Q60" s="2"/>
      <c r="R60" s="7">
        <f t="shared" si="32"/>
        <v>1.8175960047812287E-2</v>
      </c>
      <c r="S60" s="2"/>
      <c r="T60" s="6">
        <v>20324</v>
      </c>
      <c r="U60" s="2"/>
      <c r="V60" s="7">
        <f t="shared" si="33"/>
        <v>1.8166457090370704E-2</v>
      </c>
      <c r="W60" s="2"/>
      <c r="X60" s="6">
        <f t="shared" si="34"/>
        <v>-1.9599999999991269</v>
      </c>
      <c r="Y60" s="2"/>
      <c r="Z60" s="7">
        <f t="shared" si="35"/>
        <v>-9.6437709112336489E-5</v>
      </c>
    </row>
    <row r="61" spans="1:26" s="24" customFormat="1" hidden="1" outlineLevel="2" x14ac:dyDescent="0.25">
      <c r="A61" s="27"/>
      <c r="B61" s="11" t="str">
        <f>CONCATENATE("          ", "6322", " - ", "EQUIPMENT DEPRECIATION EXPENSE")</f>
        <v xml:space="preserve">          6322 - EQUIPMENT DEPRECIATION EXPENSE</v>
      </c>
      <c r="C61" s="11"/>
      <c r="D61" s="6">
        <v>3322.97</v>
      </c>
      <c r="E61" s="2"/>
      <c r="F61" s="7">
        <f t="shared" si="28"/>
        <v>6.2746489431567938E-3</v>
      </c>
      <c r="G61" s="2"/>
      <c r="H61" s="6">
        <v>3175</v>
      </c>
      <c r="I61" s="2"/>
      <c r="J61" s="7">
        <f t="shared" si="29"/>
        <v>6.1646415576447379E-3</v>
      </c>
      <c r="K61" s="2"/>
      <c r="L61" s="6">
        <f t="shared" si="30"/>
        <v>147.9699999999998</v>
      </c>
      <c r="M61" s="2"/>
      <c r="N61" s="7">
        <f t="shared" si="31"/>
        <v>4.6604724409448753E-2</v>
      </c>
      <c r="O61" s="11"/>
      <c r="P61" s="6">
        <v>13291.88</v>
      </c>
      <c r="Q61" s="2"/>
      <c r="R61" s="7">
        <f t="shared" si="32"/>
        <v>1.1888210034047525E-2</v>
      </c>
      <c r="S61" s="2"/>
      <c r="T61" s="6">
        <v>12700</v>
      </c>
      <c r="U61" s="2"/>
      <c r="V61" s="7">
        <f t="shared" si="33"/>
        <v>1.135180107497087E-2</v>
      </c>
      <c r="W61" s="2"/>
      <c r="X61" s="6">
        <f t="shared" si="34"/>
        <v>591.8799999999992</v>
      </c>
      <c r="Y61" s="2"/>
      <c r="Z61" s="7">
        <f t="shared" si="35"/>
        <v>4.6604724409448753E-2</v>
      </c>
    </row>
    <row r="62" spans="1:26" s="24" customFormat="1" hidden="1" outlineLevel="2" x14ac:dyDescent="0.25">
      <c r="A62" s="27"/>
      <c r="B62" s="11" t="str">
        <f>CONCATENATE("          ", "6324", " - ", "FURNITURE + FIXT DEPRECIATION")</f>
        <v xml:space="preserve">          6324 - FURNITURE + FIXT DEPRECIATION</v>
      </c>
      <c r="C62" s="11"/>
      <c r="D62" s="6"/>
      <c r="E62" s="2"/>
      <c r="F62" s="7">
        <f t="shared" si="28"/>
        <v>0</v>
      </c>
      <c r="G62" s="2"/>
      <c r="H62" s="6">
        <v>978</v>
      </c>
      <c r="I62" s="2"/>
      <c r="J62" s="7">
        <f t="shared" si="29"/>
        <v>1.8989037616934028E-3</v>
      </c>
      <c r="K62" s="2"/>
      <c r="L62" s="6">
        <f t="shared" si="30"/>
        <v>-978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1158</v>
      </c>
      <c r="U62" s="2"/>
      <c r="V62" s="7">
        <f t="shared" si="33"/>
        <v>1.0350697358123045E-3</v>
      </c>
      <c r="W62" s="2"/>
      <c r="X62" s="6">
        <f t="shared" si="34"/>
        <v>-1158</v>
      </c>
      <c r="Y62" s="2"/>
      <c r="Z62" s="7">
        <f t="shared" si="35"/>
        <v>-1</v>
      </c>
    </row>
    <row r="63" spans="1:26" s="26" customFormat="1" outlineLevel="1" collapsed="1" x14ac:dyDescent="0.25">
      <c r="A63" s="25"/>
      <c r="B63" s="13" t="str">
        <f>CONCATENATE("     ","Discounts and Markdowns                           ")</f>
        <v xml:space="preserve">     Discounts and Markdowns                           </v>
      </c>
      <c r="C63" s="13"/>
      <c r="D63" s="1">
        <f>SUM(OSRRefD22_6x_0)</f>
        <v>17.260000000000002</v>
      </c>
      <c r="E63" s="1"/>
      <c r="F63" s="5">
        <f t="shared" ref="F63:F84" si="36">IF(D$12=0,0,D63/D$12)</f>
        <v>3.2591459073926721E-5</v>
      </c>
      <c r="G63" s="1"/>
      <c r="H63" s="1">
        <f>SUM(OSRRefH22_6x_0)</f>
        <v>0</v>
      </c>
      <c r="I63" s="1"/>
      <c r="J63" s="5">
        <f t="shared" ref="J63:J84" si="37">IF(H$12=0,0,H63/H$12)</f>
        <v>0</v>
      </c>
      <c r="K63" s="1"/>
      <c r="L63" s="1">
        <f t="shared" ref="L63:L84" si="38">+D63-H63</f>
        <v>17.260000000000002</v>
      </c>
      <c r="M63" s="1"/>
      <c r="N63" s="5">
        <f t="shared" ref="N63:N84" si="39">IF(H63=0,0,L63/H63)</f>
        <v>0</v>
      </c>
      <c r="O63" s="13"/>
      <c r="P63" s="1">
        <f>SUM(OSRRefP22_6x_0)</f>
        <v>49.16</v>
      </c>
      <c r="Q63" s="1"/>
      <c r="R63" s="5">
        <f t="shared" ref="R63:R84" si="40">IF(P$12=0,0,P63/P$12)</f>
        <v>4.3968528550797656E-5</v>
      </c>
      <c r="S63" s="1"/>
      <c r="T63" s="1">
        <f>SUM(OSRRefT22_6x_0)</f>
        <v>0</v>
      </c>
      <c r="U63" s="1"/>
      <c r="V63" s="5">
        <f t="shared" ref="V63:V84" si="41">IF(T$12=0,0,T63/T$12)</f>
        <v>0</v>
      </c>
      <c r="W63" s="1"/>
      <c r="X63" s="1">
        <f t="shared" ref="X63:X84" si="42">+P63-T63</f>
        <v>49.16</v>
      </c>
      <c r="Y63" s="1"/>
      <c r="Z63" s="5">
        <f t="shared" ref="Z63:Z84" si="43">IF(T63=0,0,X63/T63)</f>
        <v>0</v>
      </c>
    </row>
    <row r="64" spans="1:26" s="24" customFormat="1" hidden="1" outlineLevel="2" x14ac:dyDescent="0.25">
      <c r="A64" s="27"/>
      <c r="B64" s="11" t="str">
        <f>CONCATENATE("          ", "6382", " - ", "DISCOUNTS/MARK DOWNS")</f>
        <v xml:space="preserve">          6382 - DISCOUNTS/MARK DOWNS</v>
      </c>
      <c r="C64" s="11"/>
      <c r="D64" s="6">
        <v>17.260000000000002</v>
      </c>
      <c r="E64" s="2"/>
      <c r="F64" s="7">
        <f t="shared" si="36"/>
        <v>3.2591459073926721E-5</v>
      </c>
      <c r="G64" s="2"/>
      <c r="H64" s="6"/>
      <c r="I64" s="2"/>
      <c r="J64" s="7">
        <f t="shared" si="37"/>
        <v>0</v>
      </c>
      <c r="K64" s="2"/>
      <c r="L64" s="6">
        <f t="shared" si="38"/>
        <v>17.260000000000002</v>
      </c>
      <c r="M64" s="2"/>
      <c r="N64" s="7">
        <f t="shared" si="39"/>
        <v>0</v>
      </c>
      <c r="O64" s="11"/>
      <c r="P64" s="6">
        <v>49.16</v>
      </c>
      <c r="Q64" s="2"/>
      <c r="R64" s="7">
        <f t="shared" si="40"/>
        <v>4.3968528550797656E-5</v>
      </c>
      <c r="S64" s="2"/>
      <c r="T64" s="6"/>
      <c r="U64" s="2"/>
      <c r="V64" s="7">
        <f t="shared" si="41"/>
        <v>0</v>
      </c>
      <c r="W64" s="2"/>
      <c r="X64" s="6">
        <f t="shared" si="42"/>
        <v>49.16</v>
      </c>
      <c r="Y64" s="2"/>
      <c r="Z64" s="7">
        <f t="shared" si="43"/>
        <v>0</v>
      </c>
    </row>
    <row r="65" spans="1:26" s="26" customFormat="1" outlineLevel="1" collapsed="1" x14ac:dyDescent="0.25">
      <c r="A65" s="25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33.28</v>
      </c>
      <c r="E65" s="1"/>
      <c r="F65" s="5">
        <f t="shared" si="36"/>
        <v>6.2841469176146085E-5</v>
      </c>
      <c r="G65" s="1"/>
      <c r="H65" s="1">
        <f>SUM(OSRRefH22_7x_0)</f>
        <v>25</v>
      </c>
      <c r="I65" s="1"/>
      <c r="J65" s="5">
        <f t="shared" si="37"/>
        <v>4.8540484705864082E-5</v>
      </c>
      <c r="K65" s="1"/>
      <c r="L65" s="1">
        <f t="shared" si="38"/>
        <v>8.2800000000000011</v>
      </c>
      <c r="M65" s="1"/>
      <c r="N65" s="5">
        <f t="shared" si="39"/>
        <v>0.33120000000000005</v>
      </c>
      <c r="O65" s="13"/>
      <c r="P65" s="1">
        <f>SUM(OSRRefP22_7x_0)</f>
        <v>33.28</v>
      </c>
      <c r="Q65" s="1"/>
      <c r="R65" s="5">
        <f t="shared" si="40"/>
        <v>2.9765513225601019E-5</v>
      </c>
      <c r="S65" s="1"/>
      <c r="T65" s="1">
        <f>SUM(OSRRefT22_7x_0)</f>
        <v>100</v>
      </c>
      <c r="U65" s="1"/>
      <c r="V65" s="5">
        <f t="shared" si="41"/>
        <v>8.9384260432841495E-5</v>
      </c>
      <c r="W65" s="1"/>
      <c r="X65" s="1">
        <f t="shared" si="42"/>
        <v>-66.72</v>
      </c>
      <c r="Y65" s="1"/>
      <c r="Z65" s="5">
        <f t="shared" si="43"/>
        <v>-0.66720000000000002</v>
      </c>
    </row>
    <row r="66" spans="1:26" s="24" customFormat="1" hidden="1" outlineLevel="2" x14ac:dyDescent="0.25">
      <c r="A66" s="27"/>
      <c r="B66" s="11" t="str">
        <f>CONCATENATE("          ", "6277", " - ", "EMPLOYEE APPRECIATION")</f>
        <v xml:space="preserve">          6277 - EMPLOYEE APPRECIATION</v>
      </c>
      <c r="C66" s="11"/>
      <c r="D66" s="6">
        <v>33.28</v>
      </c>
      <c r="E66" s="2"/>
      <c r="F66" s="7">
        <f t="shared" si="36"/>
        <v>6.2841469176146085E-5</v>
      </c>
      <c r="G66" s="2"/>
      <c r="H66" s="6">
        <v>25</v>
      </c>
      <c r="I66" s="2"/>
      <c r="J66" s="7">
        <f t="shared" si="37"/>
        <v>4.8540484705864082E-5</v>
      </c>
      <c r="K66" s="2"/>
      <c r="L66" s="6">
        <f t="shared" si="38"/>
        <v>8.2800000000000011</v>
      </c>
      <c r="M66" s="2"/>
      <c r="N66" s="7">
        <f t="shared" si="39"/>
        <v>0.33120000000000005</v>
      </c>
      <c r="O66" s="11"/>
      <c r="P66" s="6">
        <v>33.28</v>
      </c>
      <c r="Q66" s="2"/>
      <c r="R66" s="7">
        <f t="shared" si="40"/>
        <v>2.9765513225601019E-5</v>
      </c>
      <c r="S66" s="2"/>
      <c r="T66" s="6">
        <v>100</v>
      </c>
      <c r="U66" s="2"/>
      <c r="V66" s="7">
        <f t="shared" si="41"/>
        <v>8.9384260432841495E-5</v>
      </c>
      <c r="W66" s="2"/>
      <c r="X66" s="6">
        <f t="shared" si="42"/>
        <v>-66.72</v>
      </c>
      <c r="Y66" s="2"/>
      <c r="Z66" s="7">
        <f t="shared" si="43"/>
        <v>-0.66720000000000002</v>
      </c>
    </row>
    <row r="67" spans="1:26" s="26" customFormat="1" outlineLevel="1" collapsed="1" x14ac:dyDescent="0.25">
      <c r="A67" s="25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123.73</v>
      </c>
      <c r="E67" s="1"/>
      <c r="F67" s="5">
        <f t="shared" si="36"/>
        <v>2.3363506553980031E-4</v>
      </c>
      <c r="G67" s="1"/>
      <c r="H67" s="1">
        <f>SUM(OSRRefH22_8x_0)</f>
        <v>80</v>
      </c>
      <c r="I67" s="1"/>
      <c r="J67" s="5">
        <f t="shared" si="37"/>
        <v>1.5532955105876506E-4</v>
      </c>
      <c r="K67" s="1"/>
      <c r="L67" s="1">
        <f t="shared" si="38"/>
        <v>43.730000000000004</v>
      </c>
      <c r="M67" s="1"/>
      <c r="N67" s="5">
        <f t="shared" si="39"/>
        <v>0.54662500000000003</v>
      </c>
      <c r="O67" s="13"/>
      <c r="P67" s="1">
        <f>SUM(OSRRefP22_8x_0)</f>
        <v>472.94</v>
      </c>
      <c r="Q67" s="1"/>
      <c r="R67" s="5">
        <f t="shared" si="40"/>
        <v>4.229958481044395E-4</v>
      </c>
      <c r="S67" s="1"/>
      <c r="T67" s="1">
        <f>SUM(OSRRefT22_8x_0)</f>
        <v>320</v>
      </c>
      <c r="U67" s="1"/>
      <c r="V67" s="5">
        <f t="shared" si="41"/>
        <v>2.8602963338509278E-4</v>
      </c>
      <c r="W67" s="1"/>
      <c r="X67" s="1">
        <f t="shared" si="42"/>
        <v>152.94</v>
      </c>
      <c r="Y67" s="1"/>
      <c r="Z67" s="5">
        <f t="shared" si="43"/>
        <v>0.47793750000000002</v>
      </c>
    </row>
    <row r="68" spans="1:26" s="24" customFormat="1" hidden="1" outlineLevel="2" x14ac:dyDescent="0.25">
      <c r="A68" s="27"/>
      <c r="B68" s="11" t="str">
        <f>CONCATENATE("          ", "6351", " - ", "EQUIPMENT RENTAL")</f>
        <v xml:space="preserve">          6351 - EQUIPMENT RENTAL</v>
      </c>
      <c r="C68" s="11"/>
      <c r="D68" s="6">
        <v>123.73</v>
      </c>
      <c r="E68" s="2"/>
      <c r="F68" s="7">
        <f t="shared" si="36"/>
        <v>2.3363506553980031E-4</v>
      </c>
      <c r="G68" s="2"/>
      <c r="H68" s="6">
        <v>80</v>
      </c>
      <c r="I68" s="2"/>
      <c r="J68" s="7">
        <f t="shared" si="37"/>
        <v>1.5532955105876506E-4</v>
      </c>
      <c r="K68" s="2"/>
      <c r="L68" s="6">
        <f t="shared" si="38"/>
        <v>43.730000000000004</v>
      </c>
      <c r="M68" s="2"/>
      <c r="N68" s="7">
        <f t="shared" si="39"/>
        <v>0.54662500000000003</v>
      </c>
      <c r="O68" s="11"/>
      <c r="P68" s="6">
        <v>472.94</v>
      </c>
      <c r="Q68" s="2"/>
      <c r="R68" s="7">
        <f t="shared" si="40"/>
        <v>4.229958481044395E-4</v>
      </c>
      <c r="S68" s="2"/>
      <c r="T68" s="6">
        <v>320</v>
      </c>
      <c r="U68" s="2"/>
      <c r="V68" s="7">
        <f t="shared" si="41"/>
        <v>2.8602963338509278E-4</v>
      </c>
      <c r="W68" s="2"/>
      <c r="X68" s="6">
        <f t="shared" si="42"/>
        <v>152.94</v>
      </c>
      <c r="Y68" s="2"/>
      <c r="Z68" s="7">
        <f t="shared" si="43"/>
        <v>0.47793750000000002</v>
      </c>
    </row>
    <row r="69" spans="1:26" s="26" customFormat="1" outlineLevel="1" collapsed="1" x14ac:dyDescent="0.25">
      <c r="A69" s="25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25.76</v>
      </c>
      <c r="E69" s="1"/>
      <c r="F69" s="5">
        <f t="shared" si="36"/>
        <v>4.8641714121920761E-5</v>
      </c>
      <c r="G69" s="1"/>
      <c r="H69" s="1">
        <f>SUM(OSRRefH22_9x_0)</f>
        <v>0</v>
      </c>
      <c r="I69" s="1"/>
      <c r="J69" s="5">
        <f t="shared" si="37"/>
        <v>0</v>
      </c>
      <c r="K69" s="1"/>
      <c r="L69" s="1">
        <f t="shared" si="38"/>
        <v>25.76</v>
      </c>
      <c r="M69" s="1"/>
      <c r="N69" s="5">
        <f t="shared" si="39"/>
        <v>0</v>
      </c>
      <c r="O69" s="13"/>
      <c r="P69" s="1">
        <f>SUM(OSRRefP22_9x_0)</f>
        <v>171.28</v>
      </c>
      <c r="Q69" s="1"/>
      <c r="R69" s="5">
        <f t="shared" si="40"/>
        <v>1.5319222071156677E-4</v>
      </c>
      <c r="S69" s="1"/>
      <c r="T69" s="1">
        <f>SUM(OSRRefT22_9x_0)</f>
        <v>0</v>
      </c>
      <c r="U69" s="1"/>
      <c r="V69" s="5">
        <f t="shared" si="41"/>
        <v>0</v>
      </c>
      <c r="W69" s="1"/>
      <c r="X69" s="1">
        <f t="shared" si="42"/>
        <v>171.28</v>
      </c>
      <c r="Y69" s="1"/>
      <c r="Z69" s="5">
        <f t="shared" si="43"/>
        <v>0</v>
      </c>
    </row>
    <row r="70" spans="1:26" s="24" customFormat="1" hidden="1" outlineLevel="2" x14ac:dyDescent="0.25">
      <c r="A70" s="27"/>
      <c r="B70" s="11" t="str">
        <f>CONCATENATE("          ", "6305", " - ", "FREIGHT OUT")</f>
        <v xml:space="preserve">          6305 - FREIGHT OUT</v>
      </c>
      <c r="C70" s="11"/>
      <c r="D70" s="6">
        <v>25.76</v>
      </c>
      <c r="E70" s="2"/>
      <c r="F70" s="7">
        <f t="shared" si="36"/>
        <v>4.8641714121920761E-5</v>
      </c>
      <c r="G70" s="2"/>
      <c r="H70" s="6"/>
      <c r="I70" s="2"/>
      <c r="J70" s="7">
        <f t="shared" si="37"/>
        <v>0</v>
      </c>
      <c r="K70" s="2"/>
      <c r="L70" s="6">
        <f t="shared" si="38"/>
        <v>25.76</v>
      </c>
      <c r="M70" s="2"/>
      <c r="N70" s="7">
        <f t="shared" si="39"/>
        <v>0</v>
      </c>
      <c r="O70" s="11"/>
      <c r="P70" s="6">
        <v>171.28</v>
      </c>
      <c r="Q70" s="2"/>
      <c r="R70" s="7">
        <f t="shared" si="40"/>
        <v>1.5319222071156677E-4</v>
      </c>
      <c r="S70" s="2"/>
      <c r="T70" s="6"/>
      <c r="U70" s="2"/>
      <c r="V70" s="7">
        <f t="shared" si="41"/>
        <v>0</v>
      </c>
      <c r="W70" s="2"/>
      <c r="X70" s="6">
        <f t="shared" si="42"/>
        <v>171.28</v>
      </c>
      <c r="Y70" s="2"/>
      <c r="Z70" s="7">
        <f t="shared" si="43"/>
        <v>0</v>
      </c>
    </row>
    <row r="71" spans="1:26" s="26" customFormat="1" outlineLevel="1" collapsed="1" x14ac:dyDescent="0.25">
      <c r="A71" s="25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649.34</v>
      </c>
      <c r="E71" s="1"/>
      <c r="F71" s="5">
        <f t="shared" si="36"/>
        <v>1.2261261897487589E-3</v>
      </c>
      <c r="G71" s="1"/>
      <c r="H71" s="1">
        <f>SUM(OSRRefH22_10x_0)</f>
        <v>1888</v>
      </c>
      <c r="I71" s="1"/>
      <c r="J71" s="5">
        <f t="shared" si="37"/>
        <v>3.6657774049868551E-3</v>
      </c>
      <c r="K71" s="1"/>
      <c r="L71" s="1">
        <f t="shared" si="38"/>
        <v>-1238.6599999999999</v>
      </c>
      <c r="M71" s="1"/>
      <c r="N71" s="5">
        <f t="shared" si="39"/>
        <v>-0.65606991525423719</v>
      </c>
      <c r="O71" s="13"/>
      <c r="P71" s="1">
        <f>SUM(OSRRefP22_10x_0)</f>
        <v>5413.86</v>
      </c>
      <c r="Q71" s="1"/>
      <c r="R71" s="5">
        <f t="shared" si="40"/>
        <v>4.8421370622461638E-3</v>
      </c>
      <c r="S71" s="1"/>
      <c r="T71" s="1">
        <f>SUM(OSRRefT22_10x_0)</f>
        <v>4504</v>
      </c>
      <c r="U71" s="1"/>
      <c r="V71" s="5">
        <f t="shared" si="41"/>
        <v>4.0258670898951814E-3</v>
      </c>
      <c r="W71" s="1"/>
      <c r="X71" s="1">
        <f t="shared" si="42"/>
        <v>909.85999999999967</v>
      </c>
      <c r="Y71" s="1"/>
      <c r="Z71" s="5">
        <f t="shared" si="43"/>
        <v>0.20201154529307275</v>
      </c>
    </row>
    <row r="72" spans="1:26" s="24" customFormat="1" hidden="1" outlineLevel="2" x14ac:dyDescent="0.25">
      <c r="A72" s="27"/>
      <c r="B72" s="11" t="str">
        <f>CONCATENATE("          ", "6279", " - ", "GENERAL EXPENSE")</f>
        <v xml:space="preserve">          6279 - GENERAL EXPENSE</v>
      </c>
      <c r="C72" s="11"/>
      <c r="D72" s="6">
        <v>649.34</v>
      </c>
      <c r="E72" s="2"/>
      <c r="F72" s="7">
        <f t="shared" si="36"/>
        <v>1.2261261897487589E-3</v>
      </c>
      <c r="G72" s="2"/>
      <c r="H72" s="6">
        <v>1888</v>
      </c>
      <c r="I72" s="2"/>
      <c r="J72" s="7">
        <f t="shared" si="37"/>
        <v>3.6657774049868551E-3</v>
      </c>
      <c r="K72" s="2"/>
      <c r="L72" s="6">
        <f t="shared" si="38"/>
        <v>-1238.6599999999999</v>
      </c>
      <c r="M72" s="2"/>
      <c r="N72" s="7">
        <f t="shared" si="39"/>
        <v>-0.65606991525423719</v>
      </c>
      <c r="O72" s="11"/>
      <c r="P72" s="6">
        <v>5413.86</v>
      </c>
      <c r="Q72" s="2"/>
      <c r="R72" s="7">
        <f t="shared" si="40"/>
        <v>4.8421370622461638E-3</v>
      </c>
      <c r="S72" s="2"/>
      <c r="T72" s="6">
        <v>4504</v>
      </c>
      <c r="U72" s="2"/>
      <c r="V72" s="7">
        <f t="shared" si="41"/>
        <v>4.0258670898951814E-3</v>
      </c>
      <c r="W72" s="2"/>
      <c r="X72" s="6">
        <f t="shared" si="42"/>
        <v>909.85999999999967</v>
      </c>
      <c r="Y72" s="2"/>
      <c r="Z72" s="7">
        <f t="shared" si="43"/>
        <v>0.20201154529307275</v>
      </c>
    </row>
    <row r="73" spans="1:26" s="26" customFormat="1" outlineLevel="1" collapsed="1" x14ac:dyDescent="0.25">
      <c r="A73" s="25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243.54</v>
      </c>
      <c r="E73" s="1"/>
      <c r="F73" s="5">
        <f t="shared" si="36"/>
        <v>4.5986813110452567E-4</v>
      </c>
      <c r="G73" s="1"/>
      <c r="H73" s="1">
        <f>SUM(OSRRefH22_11x_0)</f>
        <v>230</v>
      </c>
      <c r="I73" s="1"/>
      <c r="J73" s="5">
        <f t="shared" si="37"/>
        <v>4.465724592939495E-4</v>
      </c>
      <c r="K73" s="1"/>
      <c r="L73" s="1">
        <f t="shared" si="38"/>
        <v>13.539999999999992</v>
      </c>
      <c r="M73" s="1"/>
      <c r="N73" s="5">
        <f t="shared" si="39"/>
        <v>5.886956521739127E-2</v>
      </c>
      <c r="O73" s="13"/>
      <c r="P73" s="1">
        <f>SUM(OSRRefP22_11x_0)</f>
        <v>974.16</v>
      </c>
      <c r="Q73" s="1"/>
      <c r="R73" s="5">
        <f t="shared" si="40"/>
        <v>8.7128522727919131E-4</v>
      </c>
      <c r="S73" s="1"/>
      <c r="T73" s="1">
        <f>SUM(OSRRefT22_11x_0)</f>
        <v>920</v>
      </c>
      <c r="U73" s="1"/>
      <c r="V73" s="5">
        <f t="shared" si="41"/>
        <v>8.2233519598214175E-4</v>
      </c>
      <c r="W73" s="1"/>
      <c r="X73" s="1">
        <f t="shared" si="42"/>
        <v>54.159999999999968</v>
      </c>
      <c r="Y73" s="1"/>
      <c r="Z73" s="5">
        <f t="shared" si="43"/>
        <v>5.886956521739127E-2</v>
      </c>
    </row>
    <row r="74" spans="1:26" s="24" customFormat="1" hidden="1" outlineLevel="2" x14ac:dyDescent="0.25">
      <c r="A74" s="27"/>
      <c r="B74" s="11" t="str">
        <f>CONCATENATE("          ", "6314", " - ", "LIABILITY INSURANCE")</f>
        <v xml:space="preserve">          6314 - LIABILITY INSURANCE</v>
      </c>
      <c r="C74" s="11"/>
      <c r="D74" s="6">
        <v>243.54</v>
      </c>
      <c r="E74" s="2"/>
      <c r="F74" s="7">
        <f t="shared" si="36"/>
        <v>4.5986813110452567E-4</v>
      </c>
      <c r="G74" s="2"/>
      <c r="H74" s="6">
        <v>230</v>
      </c>
      <c r="I74" s="2"/>
      <c r="J74" s="7">
        <f t="shared" si="37"/>
        <v>4.465724592939495E-4</v>
      </c>
      <c r="K74" s="2"/>
      <c r="L74" s="6">
        <f t="shared" si="38"/>
        <v>13.539999999999992</v>
      </c>
      <c r="M74" s="2"/>
      <c r="N74" s="7">
        <f t="shared" si="39"/>
        <v>5.886956521739127E-2</v>
      </c>
      <c r="O74" s="11"/>
      <c r="P74" s="6">
        <v>974.16</v>
      </c>
      <c r="Q74" s="2"/>
      <c r="R74" s="7">
        <f t="shared" si="40"/>
        <v>8.7128522727919131E-4</v>
      </c>
      <c r="S74" s="2"/>
      <c r="T74" s="6">
        <v>920</v>
      </c>
      <c r="U74" s="2"/>
      <c r="V74" s="7">
        <f t="shared" si="41"/>
        <v>8.2233519598214175E-4</v>
      </c>
      <c r="W74" s="2"/>
      <c r="X74" s="6">
        <f t="shared" si="42"/>
        <v>54.159999999999968</v>
      </c>
      <c r="Y74" s="2"/>
      <c r="Z74" s="7">
        <f t="shared" si="43"/>
        <v>5.886956521739127E-2</v>
      </c>
    </row>
    <row r="75" spans="1:26" s="26" customFormat="1" outlineLevel="1" collapsed="1" x14ac:dyDescent="0.25">
      <c r="A75" s="25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4163.95</v>
      </c>
      <c r="E75" s="1"/>
      <c r="F75" s="5">
        <f t="shared" si="36"/>
        <v>7.8626422949523277E-3</v>
      </c>
      <c r="G75" s="1"/>
      <c r="H75" s="1">
        <f>SUM(OSRRefH22_12x_0)</f>
        <v>4175</v>
      </c>
      <c r="I75" s="1"/>
      <c r="J75" s="5">
        <f t="shared" si="37"/>
        <v>8.1062609458793008E-3</v>
      </c>
      <c r="K75" s="1"/>
      <c r="L75" s="1">
        <f t="shared" si="38"/>
        <v>-11.050000000000182</v>
      </c>
      <c r="M75" s="1"/>
      <c r="N75" s="5">
        <f t="shared" si="39"/>
        <v>-2.6467065868263908E-3</v>
      </c>
      <c r="O75" s="13"/>
      <c r="P75" s="1">
        <f>SUM(OSRRefP22_12x_0)</f>
        <v>16493.95</v>
      </c>
      <c r="Q75" s="1"/>
      <c r="R75" s="5">
        <f t="shared" si="40"/>
        <v>1.475213001404453E-2</v>
      </c>
      <c r="S75" s="1"/>
      <c r="T75" s="1">
        <f>SUM(OSRRefT22_12x_0)</f>
        <v>16700</v>
      </c>
      <c r="U75" s="1"/>
      <c r="V75" s="5">
        <f t="shared" si="41"/>
        <v>1.492717149228453E-2</v>
      </c>
      <c r="W75" s="1"/>
      <c r="X75" s="1">
        <f t="shared" si="42"/>
        <v>-206.04999999999927</v>
      </c>
      <c r="Y75" s="1"/>
      <c r="Z75" s="5">
        <f t="shared" si="43"/>
        <v>-1.233832335329337E-2</v>
      </c>
    </row>
    <row r="76" spans="1:26" s="24" customFormat="1" hidden="1" outlineLevel="2" x14ac:dyDescent="0.25">
      <c r="A76" s="27"/>
      <c r="B76" s="11" t="str">
        <f>CONCATENATE("          ", "6401", " - ", "INTEREST EXPENSE")</f>
        <v xml:space="preserve">          6401 - INTEREST EXPENSE</v>
      </c>
      <c r="C76" s="11"/>
      <c r="D76" s="6">
        <v>4163.95</v>
      </c>
      <c r="E76" s="2"/>
      <c r="F76" s="7">
        <f t="shared" si="36"/>
        <v>7.8626422949523277E-3</v>
      </c>
      <c r="G76" s="2"/>
      <c r="H76" s="6">
        <v>4175</v>
      </c>
      <c r="I76" s="2"/>
      <c r="J76" s="7">
        <f t="shared" si="37"/>
        <v>8.1062609458793008E-3</v>
      </c>
      <c r="K76" s="2"/>
      <c r="L76" s="6">
        <f t="shared" si="38"/>
        <v>-11.050000000000182</v>
      </c>
      <c r="M76" s="2"/>
      <c r="N76" s="7">
        <f t="shared" si="39"/>
        <v>-2.6467065868263908E-3</v>
      </c>
      <c r="O76" s="11"/>
      <c r="P76" s="6">
        <v>16493.95</v>
      </c>
      <c r="Q76" s="2"/>
      <c r="R76" s="7">
        <f t="shared" si="40"/>
        <v>1.475213001404453E-2</v>
      </c>
      <c r="S76" s="2"/>
      <c r="T76" s="6">
        <v>16700</v>
      </c>
      <c r="U76" s="2"/>
      <c r="V76" s="7">
        <f t="shared" si="41"/>
        <v>1.492717149228453E-2</v>
      </c>
      <c r="W76" s="2"/>
      <c r="X76" s="6">
        <f t="shared" si="42"/>
        <v>-206.04999999999927</v>
      </c>
      <c r="Y76" s="2"/>
      <c r="Z76" s="7">
        <f t="shared" si="43"/>
        <v>-1.233832335329337E-2</v>
      </c>
    </row>
    <row r="77" spans="1:26" s="26" customFormat="1" outlineLevel="1" collapsed="1" x14ac:dyDescent="0.25">
      <c r="A77" s="25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0</v>
      </c>
      <c r="E77" s="1"/>
      <c r="F77" s="5">
        <f t="shared" si="36"/>
        <v>0</v>
      </c>
      <c r="G77" s="1"/>
      <c r="H77" s="1">
        <f>SUM(OSRRefH22_13x_0)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3"/>
      <c r="P77" s="1">
        <f>SUM(OSRRefP22_13x_0)</f>
        <v>0</v>
      </c>
      <c r="Q77" s="1"/>
      <c r="R77" s="5">
        <f t="shared" si="40"/>
        <v>0</v>
      </c>
      <c r="S77" s="1"/>
      <c r="T77" s="1">
        <f>SUM(OSRRefT22_13x_0)</f>
        <v>0</v>
      </c>
      <c r="U77" s="1"/>
      <c r="V77" s="5">
        <f t="shared" si="41"/>
        <v>0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25">
      <c r="A78" s="27"/>
      <c r="B78" s="11" t="str">
        <f>CONCATENATE("          ", "6387", " - ", "COMMISSION DUE HOUSING")</f>
        <v xml:space="preserve">          6387 - COMMISSION DUE HOUSING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0</v>
      </c>
      <c r="U78" s="2"/>
      <c r="V78" s="7">
        <f t="shared" si="41"/>
        <v>0</v>
      </c>
      <c r="W78" s="2"/>
      <c r="X78" s="6">
        <f t="shared" si="42"/>
        <v>0</v>
      </c>
      <c r="Y78" s="2"/>
      <c r="Z78" s="7">
        <f t="shared" si="43"/>
        <v>0</v>
      </c>
    </row>
    <row r="79" spans="1:26" s="26" customFormat="1" outlineLevel="1" collapsed="1" x14ac:dyDescent="0.25">
      <c r="A79" s="25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1150</v>
      </c>
      <c r="E79" s="1"/>
      <c r="F79" s="5">
        <f t="shared" si="36"/>
        <v>2.1715050947286054E-3</v>
      </c>
      <c r="G79" s="1"/>
      <c r="H79" s="1">
        <f>SUM(OSRRefH22_14x_0)</f>
        <v>1150</v>
      </c>
      <c r="I79" s="1"/>
      <c r="J79" s="5">
        <f t="shared" si="37"/>
        <v>2.2328622964697476E-3</v>
      </c>
      <c r="K79" s="1"/>
      <c r="L79" s="1">
        <f t="shared" si="38"/>
        <v>0</v>
      </c>
      <c r="M79" s="1"/>
      <c r="N79" s="5">
        <f t="shared" si="39"/>
        <v>0</v>
      </c>
      <c r="O79" s="13"/>
      <c r="P79" s="1">
        <f>SUM(OSRRefP22_14x_0)</f>
        <v>4600</v>
      </c>
      <c r="Q79" s="1"/>
      <c r="R79" s="5">
        <f t="shared" si="40"/>
        <v>4.1142235828655251E-3</v>
      </c>
      <c r="S79" s="1"/>
      <c r="T79" s="1">
        <f>SUM(OSRRefT22_14x_0)</f>
        <v>4600</v>
      </c>
      <c r="U79" s="1"/>
      <c r="V79" s="5">
        <f t="shared" si="41"/>
        <v>4.1116759799107085E-3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7"/>
      <c r="B80" s="11" t="str">
        <f>CONCATENATE("          ", "6273", " - ", "RENT")</f>
        <v xml:space="preserve">          6273 - RENT</v>
      </c>
      <c r="C80" s="11"/>
      <c r="D80" s="6">
        <v>1150</v>
      </c>
      <c r="E80" s="2"/>
      <c r="F80" s="7">
        <f t="shared" si="36"/>
        <v>2.1715050947286054E-3</v>
      </c>
      <c r="G80" s="2"/>
      <c r="H80" s="6">
        <v>1150</v>
      </c>
      <c r="I80" s="2"/>
      <c r="J80" s="7">
        <f t="shared" si="37"/>
        <v>2.2328622964697476E-3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4600</v>
      </c>
      <c r="Q80" s="2"/>
      <c r="R80" s="7">
        <f t="shared" si="40"/>
        <v>4.1142235828655251E-3</v>
      </c>
      <c r="S80" s="2"/>
      <c r="T80" s="6">
        <v>4600</v>
      </c>
      <c r="U80" s="2"/>
      <c r="V80" s="7">
        <f t="shared" si="41"/>
        <v>4.1116759799107085E-3</v>
      </c>
      <c r="W80" s="2"/>
      <c r="X80" s="6">
        <f t="shared" si="42"/>
        <v>0</v>
      </c>
      <c r="Y80" s="2"/>
      <c r="Z80" s="7">
        <f t="shared" si="43"/>
        <v>0</v>
      </c>
    </row>
    <row r="81" spans="1:26" s="26" customFormat="1" outlineLevel="1" collapsed="1" x14ac:dyDescent="0.25">
      <c r="A81" s="25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1341.77</v>
      </c>
      <c r="E81" s="1"/>
      <c r="F81" s="5">
        <f t="shared" si="36"/>
        <v>2.5336177312643487E-3</v>
      </c>
      <c r="G81" s="1"/>
      <c r="H81" s="1">
        <f>SUM(OSRRefH22_15x_0)</f>
        <v>1817</v>
      </c>
      <c r="I81" s="1"/>
      <c r="J81" s="5">
        <f t="shared" si="37"/>
        <v>3.5279224284222011E-3</v>
      </c>
      <c r="K81" s="1"/>
      <c r="L81" s="1">
        <f t="shared" si="38"/>
        <v>-475.23</v>
      </c>
      <c r="M81" s="1"/>
      <c r="N81" s="5">
        <f t="shared" si="39"/>
        <v>-0.26154650522839845</v>
      </c>
      <c r="O81" s="13"/>
      <c r="P81" s="1">
        <f>SUM(OSRRefP22_15x_0)</f>
        <v>9797.7999999999993</v>
      </c>
      <c r="Q81" s="1"/>
      <c r="R81" s="5">
        <f t="shared" si="40"/>
        <v>8.7631173522173568E-3</v>
      </c>
      <c r="S81" s="1"/>
      <c r="T81" s="1">
        <f>SUM(OSRRefT22_15x_0)</f>
        <v>6999</v>
      </c>
      <c r="U81" s="1"/>
      <c r="V81" s="5">
        <f t="shared" si="41"/>
        <v>6.256004387694576E-3</v>
      </c>
      <c r="W81" s="1"/>
      <c r="X81" s="1">
        <f t="shared" si="42"/>
        <v>2798.7999999999993</v>
      </c>
      <c r="Y81" s="1"/>
      <c r="Z81" s="5">
        <f t="shared" si="43"/>
        <v>0.39988569795685086</v>
      </c>
    </row>
    <row r="82" spans="1:26" s="24" customFormat="1" hidden="1" outlineLevel="2" x14ac:dyDescent="0.25">
      <c r="A82" s="27"/>
      <c r="B82" s="11" t="str">
        <f>CONCATENATE("          ", "6371", " - ", "COMPUTER SOFTWARE MAINTENANCE")</f>
        <v xml:space="preserve">          6371 - COMPUTER SOFTWARE MAINTENANCE</v>
      </c>
      <c r="C82" s="11"/>
      <c r="D82" s="6"/>
      <c r="E82" s="2"/>
      <c r="F82" s="7">
        <f t="shared" si="36"/>
        <v>0</v>
      </c>
      <c r="G82" s="2"/>
      <c r="H82" s="6"/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1311.93</v>
      </c>
      <c r="Q82" s="2"/>
      <c r="R82" s="7">
        <f t="shared" si="40"/>
        <v>1.1733855097975584E-3</v>
      </c>
      <c r="S82" s="2"/>
      <c r="T82" s="6">
        <v>0</v>
      </c>
      <c r="U82" s="2"/>
      <c r="V82" s="7">
        <f t="shared" si="41"/>
        <v>0</v>
      </c>
      <c r="W82" s="2"/>
      <c r="X82" s="6">
        <f t="shared" si="42"/>
        <v>1311.93</v>
      </c>
      <c r="Y82" s="2"/>
      <c r="Z82" s="7">
        <f t="shared" si="43"/>
        <v>0</v>
      </c>
    </row>
    <row r="83" spans="1:26" s="24" customFormat="1" hidden="1" outlineLevel="2" x14ac:dyDescent="0.25">
      <c r="A83" s="27"/>
      <c r="B83" s="11" t="str">
        <f>CONCATENATE("          ", "6373", " - ", "MAINTENANCE CONTRACTS")</f>
        <v xml:space="preserve">          6373 - MAINTENANCE CONTRACTS</v>
      </c>
      <c r="C83" s="11"/>
      <c r="D83" s="6">
        <v>285.32</v>
      </c>
      <c r="E83" s="2"/>
      <c r="F83" s="7">
        <f t="shared" si="36"/>
        <v>5.3875985532866584E-4</v>
      </c>
      <c r="G83" s="2"/>
      <c r="H83" s="6"/>
      <c r="I83" s="2"/>
      <c r="J83" s="7">
        <f t="shared" si="37"/>
        <v>0</v>
      </c>
      <c r="K83" s="2"/>
      <c r="L83" s="6">
        <f t="shared" si="38"/>
        <v>285.32</v>
      </c>
      <c r="M83" s="2"/>
      <c r="N83" s="7">
        <f t="shared" si="39"/>
        <v>0</v>
      </c>
      <c r="O83" s="11"/>
      <c r="P83" s="6">
        <v>285.32</v>
      </c>
      <c r="Q83" s="2"/>
      <c r="R83" s="7">
        <f t="shared" si="40"/>
        <v>2.5518918970938949E-4</v>
      </c>
      <c r="S83" s="2"/>
      <c r="T83" s="6"/>
      <c r="U83" s="2"/>
      <c r="V83" s="7">
        <f t="shared" si="41"/>
        <v>0</v>
      </c>
      <c r="W83" s="2"/>
      <c r="X83" s="6">
        <f t="shared" si="42"/>
        <v>285.32</v>
      </c>
      <c r="Y83" s="2"/>
      <c r="Z83" s="7">
        <f t="shared" si="43"/>
        <v>0</v>
      </c>
    </row>
    <row r="84" spans="1:26" s="24" customFormat="1" hidden="1" outlineLevel="2" x14ac:dyDescent="0.25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1056.45</v>
      </c>
      <c r="E84" s="2"/>
      <c r="F84" s="7">
        <f t="shared" si="36"/>
        <v>1.994857875935683E-3</v>
      </c>
      <c r="G84" s="2"/>
      <c r="H84" s="6">
        <v>1817</v>
      </c>
      <c r="I84" s="2"/>
      <c r="J84" s="7">
        <f t="shared" si="37"/>
        <v>3.5279224284222011E-3</v>
      </c>
      <c r="K84" s="2"/>
      <c r="L84" s="6">
        <f t="shared" si="38"/>
        <v>-760.55</v>
      </c>
      <c r="M84" s="2"/>
      <c r="N84" s="7">
        <f t="shared" si="39"/>
        <v>-0.41857457347275728</v>
      </c>
      <c r="O84" s="11"/>
      <c r="P84" s="6">
        <v>8200.5499999999993</v>
      </c>
      <c r="Q84" s="2"/>
      <c r="R84" s="7">
        <f t="shared" si="40"/>
        <v>7.3345426527104095E-3</v>
      </c>
      <c r="S84" s="2"/>
      <c r="T84" s="6">
        <v>6999</v>
      </c>
      <c r="U84" s="2"/>
      <c r="V84" s="7">
        <f t="shared" si="41"/>
        <v>6.256004387694576E-3</v>
      </c>
      <c r="W84" s="2"/>
      <c r="X84" s="6">
        <f t="shared" si="42"/>
        <v>1201.5499999999993</v>
      </c>
      <c r="Y84" s="2"/>
      <c r="Z84" s="7">
        <f t="shared" si="43"/>
        <v>0.17167452493213306</v>
      </c>
    </row>
    <row r="85" spans="1:26" s="26" customFormat="1" outlineLevel="1" collapsed="1" x14ac:dyDescent="0.25">
      <c r="A85" s="25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SUM(OSRRefD22_16x_0)</f>
        <v>0</v>
      </c>
      <c r="E85" s="1"/>
      <c r="F85" s="5">
        <f t="shared" ref="F85:F87" si="44">IF(D$12=0,0,D85/D$12)</f>
        <v>0</v>
      </c>
      <c r="G85" s="1"/>
      <c r="H85" s="1">
        <f>SUM(OSRRefH22_16x_0)</f>
        <v>4685</v>
      </c>
      <c r="I85" s="1"/>
      <c r="J85" s="5">
        <f t="shared" ref="J85:J87" si="45">IF(H$12=0,0,H85/H$12)</f>
        <v>9.0964868338789286E-3</v>
      </c>
      <c r="K85" s="1"/>
      <c r="L85" s="1">
        <f t="shared" ref="L85:L87" si="46">+D85-H85</f>
        <v>-4685</v>
      </c>
      <c r="M85" s="1"/>
      <c r="N85" s="5">
        <f t="shared" ref="N85:N87" si="47">IF(H85=0,0,L85/H85)</f>
        <v>-1</v>
      </c>
      <c r="O85" s="13"/>
      <c r="P85" s="1">
        <f>SUM(OSRRefP22_16x_0)</f>
        <v>5673.45</v>
      </c>
      <c r="Q85" s="1"/>
      <c r="R85" s="5">
        <f t="shared" ref="R85:R87" si="48">IF(P$12=0,0,P85/P$12)</f>
        <v>5.0743134317844376E-3</v>
      </c>
      <c r="S85" s="1"/>
      <c r="T85" s="1">
        <f>SUM(OSRRefT22_16x_0)</f>
        <v>10885</v>
      </c>
      <c r="U85" s="1"/>
      <c r="V85" s="5">
        <f t="shared" ref="V85:V87" si="49">IF(T$12=0,0,T85/T$12)</f>
        <v>9.7294767481147966E-3</v>
      </c>
      <c r="W85" s="1"/>
      <c r="X85" s="1">
        <f t="shared" ref="X85:X87" si="50">+P85-T85</f>
        <v>-5211.55</v>
      </c>
      <c r="Y85" s="1"/>
      <c r="Z85" s="5">
        <f t="shared" ref="Z85:Z87" si="51">IF(T85=0,0,X85/T85)</f>
        <v>-0.47878272852549381</v>
      </c>
    </row>
    <row r="86" spans="1:26" s="24" customFormat="1" hidden="1" outlineLevel="2" x14ac:dyDescent="0.25">
      <c r="A86" s="27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44"/>
        <v>0</v>
      </c>
      <c r="G86" s="2"/>
      <c r="H86" s="6"/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>
        <v>5673.45</v>
      </c>
      <c r="Q86" s="2"/>
      <c r="R86" s="7">
        <f t="shared" si="48"/>
        <v>5.0743134317844376E-3</v>
      </c>
      <c r="S86" s="2"/>
      <c r="T86" s="6"/>
      <c r="U86" s="2"/>
      <c r="V86" s="7">
        <f t="shared" si="49"/>
        <v>0</v>
      </c>
      <c r="W86" s="2"/>
      <c r="X86" s="6">
        <f t="shared" si="50"/>
        <v>5673.45</v>
      </c>
      <c r="Y86" s="2"/>
      <c r="Z86" s="7">
        <f t="shared" si="51"/>
        <v>0</v>
      </c>
    </row>
    <row r="87" spans="1:26" s="24" customFormat="1" hidden="1" outlineLevel="2" x14ac:dyDescent="0.25">
      <c r="A87" s="27"/>
      <c r="B87" s="11" t="str">
        <f>CONCATENATE("          ", "6259", " - ", "ROYALTY &amp; COMMISSIONS")</f>
        <v xml:space="preserve">          6259 - ROYALTY &amp; COMMISSIONS</v>
      </c>
      <c r="C87" s="11"/>
      <c r="D87" s="6"/>
      <c r="E87" s="2"/>
      <c r="F87" s="7">
        <f t="shared" si="44"/>
        <v>0</v>
      </c>
      <c r="G87" s="2"/>
      <c r="H87" s="6">
        <v>4685</v>
      </c>
      <c r="I87" s="2"/>
      <c r="J87" s="7">
        <f t="shared" si="45"/>
        <v>9.0964868338789286E-3</v>
      </c>
      <c r="K87" s="2"/>
      <c r="L87" s="6">
        <f t="shared" si="46"/>
        <v>-4685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10885</v>
      </c>
      <c r="U87" s="2"/>
      <c r="V87" s="7">
        <f t="shared" si="49"/>
        <v>9.7294767481147966E-3</v>
      </c>
      <c r="W87" s="2"/>
      <c r="X87" s="6">
        <f t="shared" si="50"/>
        <v>-10885</v>
      </c>
      <c r="Y87" s="2"/>
      <c r="Z87" s="7">
        <f t="shared" si="51"/>
        <v>-1</v>
      </c>
    </row>
    <row r="88" spans="1:26" s="26" customFormat="1" outlineLevel="1" collapsed="1" x14ac:dyDescent="0.25">
      <c r="A88" s="25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SUM(OSRRefD22_17x_0)</f>
        <v>1599.68</v>
      </c>
      <c r="E88" s="1"/>
      <c r="F88" s="5">
        <f t="shared" ref="F88:F93" si="52">IF(D$12=0,0,D88/D$12)</f>
        <v>3.0206202347264829E-3</v>
      </c>
      <c r="G88" s="1"/>
      <c r="H88" s="1">
        <f>SUM(OSRRefH22_17x_0)</f>
        <v>1340</v>
      </c>
      <c r="I88" s="1"/>
      <c r="J88" s="5">
        <f t="shared" ref="J88:J93" si="53">IF(H$12=0,0,H88/H$12)</f>
        <v>2.6017699802343146E-3</v>
      </c>
      <c r="K88" s="1"/>
      <c r="L88" s="1">
        <f t="shared" ref="L88:L93" si="54">+D88-H88</f>
        <v>259.68000000000006</v>
      </c>
      <c r="M88" s="1"/>
      <c r="N88" s="5">
        <f t="shared" ref="N88:N93" si="55">IF(H88=0,0,L88/H88)</f>
        <v>0.19379104477611944</v>
      </c>
      <c r="O88" s="13"/>
      <c r="P88" s="1">
        <f>SUM(OSRRefP22_17x_0)</f>
        <v>6561.45</v>
      </c>
      <c r="Q88" s="1"/>
      <c r="R88" s="5">
        <f t="shared" ref="R88:R93" si="56">IF(P$12=0,0,P88/P$12)</f>
        <v>5.8685374625636957E-3</v>
      </c>
      <c r="S88" s="1"/>
      <c r="T88" s="1">
        <f>SUM(OSRRefT22_17x_0)</f>
        <v>3548</v>
      </c>
      <c r="U88" s="1"/>
      <c r="V88" s="5">
        <f t="shared" ref="V88:V93" si="57">IF(T$12=0,0,T88/T$12)</f>
        <v>3.1713535601572162E-3</v>
      </c>
      <c r="W88" s="1"/>
      <c r="X88" s="1">
        <f t="shared" ref="X88:X93" si="58">+P88-T88</f>
        <v>3013.45</v>
      </c>
      <c r="Y88" s="1"/>
      <c r="Z88" s="5">
        <f t="shared" ref="Z88:Z93" si="59">IF(T88=0,0,X88/T88)</f>
        <v>0.84933765501691083</v>
      </c>
    </row>
    <row r="89" spans="1:26" s="24" customFormat="1" hidden="1" outlineLevel="2" x14ac:dyDescent="0.25">
      <c r="A89" s="27"/>
      <c r="B89" s="11" t="str">
        <f>CONCATENATE("          ", "6281", " - ", "STORAGE FEE")</f>
        <v xml:space="preserve">          6281 - STORAGE FEE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/>
      <c r="Q89" s="2"/>
      <c r="R89" s="7">
        <f t="shared" si="56"/>
        <v>0</v>
      </c>
      <c r="S89" s="2"/>
      <c r="T89" s="6">
        <v>0</v>
      </c>
      <c r="U89" s="2"/>
      <c r="V89" s="7">
        <f t="shared" si="57"/>
        <v>0</v>
      </c>
      <c r="W89" s="2"/>
      <c r="X89" s="6">
        <f t="shared" si="58"/>
        <v>0</v>
      </c>
      <c r="Y89" s="2"/>
      <c r="Z89" s="7">
        <f t="shared" si="59"/>
        <v>0</v>
      </c>
    </row>
    <row r="90" spans="1:26" s="24" customFormat="1" hidden="1" outlineLevel="2" x14ac:dyDescent="0.25">
      <c r="A90" s="27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444.74</v>
      </c>
      <c r="E90" s="2"/>
      <c r="F90" s="7">
        <f t="shared" si="52"/>
        <v>8.397871094170435E-4</v>
      </c>
      <c r="G90" s="2"/>
      <c r="H90" s="6">
        <v>788</v>
      </c>
      <c r="I90" s="2"/>
      <c r="J90" s="7">
        <f t="shared" si="53"/>
        <v>1.5299960779288357E-3</v>
      </c>
      <c r="K90" s="2"/>
      <c r="L90" s="6">
        <f t="shared" si="54"/>
        <v>-343.26</v>
      </c>
      <c r="M90" s="2"/>
      <c r="N90" s="7">
        <f t="shared" si="55"/>
        <v>-0.43560913705583754</v>
      </c>
      <c r="O90" s="11"/>
      <c r="P90" s="6">
        <v>2579.4</v>
      </c>
      <c r="Q90" s="2"/>
      <c r="R90" s="7">
        <f t="shared" si="56"/>
        <v>2.3070061542702905E-3</v>
      </c>
      <c r="S90" s="2"/>
      <c r="T90" s="6">
        <v>1952</v>
      </c>
      <c r="U90" s="2"/>
      <c r="V90" s="7">
        <f t="shared" si="57"/>
        <v>1.7447807636490661E-3</v>
      </c>
      <c r="W90" s="2"/>
      <c r="X90" s="6">
        <f t="shared" si="58"/>
        <v>627.40000000000009</v>
      </c>
      <c r="Y90" s="2"/>
      <c r="Z90" s="7">
        <f t="shared" si="59"/>
        <v>0.32141393442622956</v>
      </c>
    </row>
    <row r="91" spans="1:26" s="24" customFormat="1" hidden="1" outlineLevel="2" x14ac:dyDescent="0.25">
      <c r="A91" s="27"/>
      <c r="B91" s="11" t="str">
        <f>CONCATENATE("          ", "6284", " - ", "TRASH REMOVAL EXPENSE")</f>
        <v xml:space="preserve">          6284 - TRASH REMOVAL EXPENSE</v>
      </c>
      <c r="C91" s="11"/>
      <c r="D91" s="6">
        <v>237</v>
      </c>
      <c r="E91" s="2"/>
      <c r="F91" s="7">
        <f t="shared" si="52"/>
        <v>4.4751887604406909E-4</v>
      </c>
      <c r="G91" s="2"/>
      <c r="H91" s="6">
        <v>150</v>
      </c>
      <c r="I91" s="2"/>
      <c r="J91" s="7">
        <f t="shared" si="53"/>
        <v>2.9124290823518448E-4</v>
      </c>
      <c r="K91" s="2"/>
      <c r="L91" s="6">
        <f t="shared" si="54"/>
        <v>87</v>
      </c>
      <c r="M91" s="2"/>
      <c r="N91" s="7">
        <f t="shared" si="55"/>
        <v>0.57999999999999996</v>
      </c>
      <c r="O91" s="11"/>
      <c r="P91" s="6">
        <v>711</v>
      </c>
      <c r="Q91" s="2"/>
      <c r="R91" s="7">
        <f t="shared" si="56"/>
        <v>6.35915862482041E-4</v>
      </c>
      <c r="S91" s="2"/>
      <c r="T91" s="6">
        <v>600</v>
      </c>
      <c r="U91" s="2"/>
      <c r="V91" s="7">
        <f t="shared" si="57"/>
        <v>5.3630556259704897E-4</v>
      </c>
      <c r="W91" s="2"/>
      <c r="X91" s="6">
        <f t="shared" si="58"/>
        <v>111</v>
      </c>
      <c r="Y91" s="2"/>
      <c r="Z91" s="7">
        <f t="shared" si="59"/>
        <v>0.185</v>
      </c>
    </row>
    <row r="92" spans="1:26" s="24" customFormat="1" hidden="1" outlineLevel="2" x14ac:dyDescent="0.25">
      <c r="A92" s="27"/>
      <c r="B92" s="11" t="str">
        <f>CONCATENATE("          ", "6285", " - ", "JANITORIAL SERVICES")</f>
        <v xml:space="preserve">          6285 - JANITORIAL SERVICES</v>
      </c>
      <c r="C92" s="11"/>
      <c r="D92" s="6">
        <v>125.23</v>
      </c>
      <c r="E92" s="2"/>
      <c r="F92" s="7">
        <f t="shared" si="52"/>
        <v>2.3646746348944631E-4</v>
      </c>
      <c r="G92" s="2"/>
      <c r="H92" s="6">
        <v>312</v>
      </c>
      <c r="I92" s="2"/>
      <c r="J92" s="7">
        <f t="shared" si="53"/>
        <v>6.0578524912918371E-4</v>
      </c>
      <c r="K92" s="2"/>
      <c r="L92" s="6">
        <f t="shared" si="54"/>
        <v>-186.76999999999998</v>
      </c>
      <c r="M92" s="2"/>
      <c r="N92" s="7">
        <f t="shared" si="55"/>
        <v>-0.59862179487179479</v>
      </c>
      <c r="O92" s="11"/>
      <c r="P92" s="6">
        <v>298.31</v>
      </c>
      <c r="Q92" s="2"/>
      <c r="R92" s="7">
        <f t="shared" si="56"/>
        <v>2.6680739934882932E-4</v>
      </c>
      <c r="S92" s="2"/>
      <c r="T92" s="6">
        <v>726</v>
      </c>
      <c r="U92" s="2"/>
      <c r="V92" s="7">
        <f t="shared" si="57"/>
        <v>6.4892973074242926E-4</v>
      </c>
      <c r="W92" s="2"/>
      <c r="X92" s="6">
        <f t="shared" si="58"/>
        <v>-427.69</v>
      </c>
      <c r="Y92" s="2"/>
      <c r="Z92" s="7">
        <f t="shared" si="59"/>
        <v>-0.58910468319559228</v>
      </c>
    </row>
    <row r="93" spans="1:26" s="24" customFormat="1" hidden="1" outlineLevel="2" x14ac:dyDescent="0.25">
      <c r="A93" s="27"/>
      <c r="B93" s="11" t="str">
        <f>CONCATENATE("          ", "6286", " - ", "LAUNDRY EXPENSE")</f>
        <v xml:space="preserve">          6286 - LAUNDRY EXPENSE</v>
      </c>
      <c r="C93" s="11"/>
      <c r="D93" s="6">
        <v>792.71</v>
      </c>
      <c r="E93" s="2"/>
      <c r="F93" s="7">
        <f t="shared" si="52"/>
        <v>1.4968467857759242E-3</v>
      </c>
      <c r="G93" s="2"/>
      <c r="H93" s="6">
        <v>90</v>
      </c>
      <c r="I93" s="2"/>
      <c r="J93" s="7">
        <f t="shared" si="53"/>
        <v>1.7474574494111069E-4</v>
      </c>
      <c r="K93" s="2"/>
      <c r="L93" s="6">
        <f t="shared" si="54"/>
        <v>702.71</v>
      </c>
      <c r="M93" s="2"/>
      <c r="N93" s="7">
        <f t="shared" si="55"/>
        <v>7.8078888888888889</v>
      </c>
      <c r="O93" s="11"/>
      <c r="P93" s="6">
        <v>2972.74</v>
      </c>
      <c r="Q93" s="2"/>
      <c r="R93" s="7">
        <f t="shared" si="56"/>
        <v>2.6588080464625351E-3</v>
      </c>
      <c r="S93" s="2"/>
      <c r="T93" s="6">
        <v>270</v>
      </c>
      <c r="U93" s="2"/>
      <c r="V93" s="7">
        <f t="shared" si="57"/>
        <v>2.4133750316867204E-4</v>
      </c>
      <c r="W93" s="2"/>
      <c r="X93" s="6">
        <f t="shared" si="58"/>
        <v>2702.74</v>
      </c>
      <c r="Y93" s="2"/>
      <c r="Z93" s="7">
        <f t="shared" si="59"/>
        <v>10.010148148148147</v>
      </c>
    </row>
    <row r="94" spans="1:26" s="26" customFormat="1" outlineLevel="1" collapsed="1" x14ac:dyDescent="0.25">
      <c r="A94" s="25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SUM(OSRRefD22_18x_0)</f>
        <v>176.4</v>
      </c>
      <c r="E94" s="1"/>
      <c r="F94" s="5">
        <f t="shared" ref="F94:F104" si="60">IF(D$12=0,0,D94/D$12)</f>
        <v>3.3308999887837043E-4</v>
      </c>
      <c r="G94" s="1"/>
      <c r="H94" s="1">
        <f>SUM(OSRRefH22_18x_0)</f>
        <v>180</v>
      </c>
      <c r="I94" s="1"/>
      <c r="J94" s="5">
        <f t="shared" ref="J94:J104" si="61">IF(H$12=0,0,H94/H$12)</f>
        <v>3.4949148988222138E-4</v>
      </c>
      <c r="K94" s="1"/>
      <c r="L94" s="1">
        <f t="shared" ref="L94:L104" si="62">+D94-H94</f>
        <v>-3.5999999999999943</v>
      </c>
      <c r="M94" s="1"/>
      <c r="N94" s="5">
        <f t="shared" ref="N94:N104" si="63">IF(H94=0,0,L94/H94)</f>
        <v>-1.9999999999999969E-2</v>
      </c>
      <c r="O94" s="13"/>
      <c r="P94" s="1">
        <f>SUM(OSRRefP22_18x_0)</f>
        <v>705.6</v>
      </c>
      <c r="Q94" s="1"/>
      <c r="R94" s="5">
        <f t="shared" ref="R94:R104" si="64">IF(P$12=0,0,P94/P$12)</f>
        <v>6.3108612175432927E-4</v>
      </c>
      <c r="S94" s="1"/>
      <c r="T94" s="1">
        <f>SUM(OSRRefT22_18x_0)</f>
        <v>720</v>
      </c>
      <c r="U94" s="1"/>
      <c r="V94" s="5">
        <f t="shared" ref="V94:V104" si="65">IF(T$12=0,0,T94/T$12)</f>
        <v>6.4356667511645876E-4</v>
      </c>
      <c r="W94" s="1"/>
      <c r="X94" s="1">
        <f t="shared" ref="X94:X104" si="66">+P94-T94</f>
        <v>-14.399999999999977</v>
      </c>
      <c r="Y94" s="1"/>
      <c r="Z94" s="5">
        <f t="shared" ref="Z94:Z104" si="67">IF(T94=0,0,X94/T94)</f>
        <v>-1.9999999999999969E-2</v>
      </c>
    </row>
    <row r="95" spans="1:26" s="24" customFormat="1" hidden="1" outlineLevel="2" x14ac:dyDescent="0.25">
      <c r="A95" s="27"/>
      <c r="B95" s="11" t="str">
        <f>CONCATENATE("          ", "6275", " - ", "SUBSCRIPTIONS")</f>
        <v xml:space="preserve">          6275 - SUBSCRIPTIONS</v>
      </c>
      <c r="C95" s="11"/>
      <c r="D95" s="6">
        <v>176.4</v>
      </c>
      <c r="E95" s="2"/>
      <c r="F95" s="7">
        <f t="shared" si="60"/>
        <v>3.3308999887837043E-4</v>
      </c>
      <c r="G95" s="2"/>
      <c r="H95" s="6">
        <v>180</v>
      </c>
      <c r="I95" s="2"/>
      <c r="J95" s="7">
        <f t="shared" si="61"/>
        <v>3.4949148988222138E-4</v>
      </c>
      <c r="K95" s="2"/>
      <c r="L95" s="6">
        <f t="shared" si="62"/>
        <v>-3.5999999999999943</v>
      </c>
      <c r="M95" s="2"/>
      <c r="N95" s="7">
        <f t="shared" si="63"/>
        <v>-1.9999999999999969E-2</v>
      </c>
      <c r="O95" s="11"/>
      <c r="P95" s="6">
        <v>705.6</v>
      </c>
      <c r="Q95" s="2"/>
      <c r="R95" s="7">
        <f t="shared" si="64"/>
        <v>6.3108612175432927E-4</v>
      </c>
      <c r="S95" s="2"/>
      <c r="T95" s="6">
        <v>720</v>
      </c>
      <c r="U95" s="2"/>
      <c r="V95" s="7">
        <f t="shared" si="65"/>
        <v>6.4356667511645876E-4</v>
      </c>
      <c r="W95" s="2"/>
      <c r="X95" s="6">
        <f t="shared" si="66"/>
        <v>-14.399999999999977</v>
      </c>
      <c r="Y95" s="2"/>
      <c r="Z95" s="7">
        <f t="shared" si="67"/>
        <v>-1.9999999999999969E-2</v>
      </c>
    </row>
    <row r="96" spans="1:26" s="26" customFormat="1" outlineLevel="1" collapsed="1" x14ac:dyDescent="0.25">
      <c r="A96" s="25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SUM(OSRRefD22_19x_0)</f>
        <v>6329.6200000000008</v>
      </c>
      <c r="E96" s="1"/>
      <c r="F96" s="5">
        <f t="shared" si="60"/>
        <v>1.1952001806692241E-2</v>
      </c>
      <c r="G96" s="1"/>
      <c r="H96" s="1">
        <f>SUM(OSRRefH22_19x_0)</f>
        <v>5637</v>
      </c>
      <c r="I96" s="1"/>
      <c r="J96" s="5">
        <f t="shared" si="61"/>
        <v>1.0944908491478233E-2</v>
      </c>
      <c r="K96" s="1"/>
      <c r="L96" s="1">
        <f t="shared" si="62"/>
        <v>692.6200000000008</v>
      </c>
      <c r="M96" s="1"/>
      <c r="N96" s="5">
        <f t="shared" si="63"/>
        <v>0.12287032109277998</v>
      </c>
      <c r="O96" s="13"/>
      <c r="P96" s="1">
        <f>SUM(OSRRefP22_19x_0)</f>
        <v>31638.420000000002</v>
      </c>
      <c r="Q96" s="1"/>
      <c r="R96" s="5">
        <f t="shared" si="64"/>
        <v>2.8297289932305285E-2</v>
      </c>
      <c r="S96" s="1"/>
      <c r="T96" s="1">
        <f>SUM(OSRRefT22_19x_0)</f>
        <v>16045</v>
      </c>
      <c r="U96" s="1"/>
      <c r="V96" s="5">
        <f t="shared" si="65"/>
        <v>1.4341704586449419E-2</v>
      </c>
      <c r="W96" s="1"/>
      <c r="X96" s="1">
        <f t="shared" si="66"/>
        <v>15593.420000000002</v>
      </c>
      <c r="Y96" s="1"/>
      <c r="Z96" s="5">
        <f t="shared" si="67"/>
        <v>0.97185540666874426</v>
      </c>
    </row>
    <row r="97" spans="1:26" s="24" customFormat="1" hidden="1" outlineLevel="2" x14ac:dyDescent="0.25">
      <c r="A97" s="27"/>
      <c r="B97" s="11" t="str">
        <f>CONCATENATE("          ", "6234", " - ", "EXPENDABLE SUPPLIES &amp; EQUIPMEN")</f>
        <v xml:space="preserve">          6234 - EXPENDABLE SUPPLIES &amp; EQUIPMEN</v>
      </c>
      <c r="C97" s="11"/>
      <c r="D97" s="6"/>
      <c r="E97" s="2"/>
      <c r="F97" s="7">
        <f t="shared" si="60"/>
        <v>0</v>
      </c>
      <c r="G97" s="2"/>
      <c r="H97" s="6"/>
      <c r="I97" s="2"/>
      <c r="J97" s="7">
        <f t="shared" si="61"/>
        <v>0</v>
      </c>
      <c r="K97" s="2"/>
      <c r="L97" s="6">
        <f t="shared" si="62"/>
        <v>0</v>
      </c>
      <c r="M97" s="2"/>
      <c r="N97" s="7">
        <f t="shared" si="63"/>
        <v>0</v>
      </c>
      <c r="O97" s="11"/>
      <c r="P97" s="6">
        <v>1064.24</v>
      </c>
      <c r="Q97" s="2"/>
      <c r="R97" s="7">
        <f t="shared" si="64"/>
        <v>9.5185245778887104E-4</v>
      </c>
      <c r="S97" s="2"/>
      <c r="T97" s="6">
        <v>3000</v>
      </c>
      <c r="U97" s="2"/>
      <c r="V97" s="7">
        <f t="shared" si="65"/>
        <v>2.6815278129852451E-3</v>
      </c>
      <c r="W97" s="2"/>
      <c r="X97" s="6">
        <f t="shared" si="66"/>
        <v>-1935.76</v>
      </c>
      <c r="Y97" s="2"/>
      <c r="Z97" s="7">
        <f t="shared" si="67"/>
        <v>-0.64525333333333335</v>
      </c>
    </row>
    <row r="98" spans="1:26" s="24" customFormat="1" hidden="1" outlineLevel="2" x14ac:dyDescent="0.25">
      <c r="A98" s="27"/>
      <c r="B98" s="11" t="str">
        <f>CONCATENATE("          ", "6237", " - ", "JANITORIAL SUPPLIES")</f>
        <v xml:space="preserve">          6237 - JANITORIAL SUPPLIES</v>
      </c>
      <c r="C98" s="11"/>
      <c r="D98" s="6">
        <v>823.74</v>
      </c>
      <c r="E98" s="2"/>
      <c r="F98" s="7">
        <f t="shared" si="60"/>
        <v>1.5554396580276012E-3</v>
      </c>
      <c r="G98" s="2"/>
      <c r="H98" s="6">
        <v>100</v>
      </c>
      <c r="I98" s="2"/>
      <c r="J98" s="7">
        <f t="shared" si="61"/>
        <v>1.9416193882345633E-4</v>
      </c>
      <c r="K98" s="2"/>
      <c r="L98" s="6">
        <f t="shared" si="62"/>
        <v>723.74</v>
      </c>
      <c r="M98" s="2"/>
      <c r="N98" s="7">
        <f t="shared" si="63"/>
        <v>7.2374000000000001</v>
      </c>
      <c r="O98" s="11"/>
      <c r="P98" s="6">
        <v>2009.64</v>
      </c>
      <c r="Q98" s="2"/>
      <c r="R98" s="7">
        <f t="shared" si="64"/>
        <v>1.7974148437108423E-3</v>
      </c>
      <c r="S98" s="2"/>
      <c r="T98" s="6">
        <v>600</v>
      </c>
      <c r="U98" s="2"/>
      <c r="V98" s="7">
        <f t="shared" si="65"/>
        <v>5.3630556259704897E-4</v>
      </c>
      <c r="W98" s="2"/>
      <c r="X98" s="6">
        <f t="shared" si="66"/>
        <v>1409.64</v>
      </c>
      <c r="Y98" s="2"/>
      <c r="Z98" s="7">
        <f t="shared" si="67"/>
        <v>2.3494000000000002</v>
      </c>
    </row>
    <row r="99" spans="1:26" s="24" customFormat="1" hidden="1" outlineLevel="2" x14ac:dyDescent="0.25">
      <c r="A99" s="27"/>
      <c r="B99" s="11" t="str">
        <f>CONCATENATE("          ", "6241", " - ", "OFFICE EXPENSE")</f>
        <v xml:space="preserve">          6241 - OFFICE EXPENSE</v>
      </c>
      <c r="C99" s="11"/>
      <c r="D99" s="6">
        <v>504.04</v>
      </c>
      <c r="E99" s="2"/>
      <c r="F99" s="7">
        <f t="shared" si="60"/>
        <v>9.5176124169304901E-4</v>
      </c>
      <c r="G99" s="2"/>
      <c r="H99" s="6"/>
      <c r="I99" s="2"/>
      <c r="J99" s="7">
        <f t="shared" si="61"/>
        <v>0</v>
      </c>
      <c r="K99" s="2"/>
      <c r="L99" s="6">
        <f t="shared" si="62"/>
        <v>504.04</v>
      </c>
      <c r="M99" s="2"/>
      <c r="N99" s="7">
        <f t="shared" si="63"/>
        <v>0</v>
      </c>
      <c r="O99" s="11"/>
      <c r="P99" s="6">
        <v>1462.3</v>
      </c>
      <c r="Q99" s="2"/>
      <c r="R99" s="7">
        <f t="shared" si="64"/>
        <v>1.3078759011357082E-3</v>
      </c>
      <c r="S99" s="2"/>
      <c r="T99" s="6">
        <v>240</v>
      </c>
      <c r="U99" s="2"/>
      <c r="V99" s="7">
        <f t="shared" si="65"/>
        <v>2.1452222503881959E-4</v>
      </c>
      <c r="W99" s="2"/>
      <c r="X99" s="6">
        <f t="shared" si="66"/>
        <v>1222.3</v>
      </c>
      <c r="Y99" s="2"/>
      <c r="Z99" s="7">
        <f t="shared" si="67"/>
        <v>5.0929166666666665</v>
      </c>
    </row>
    <row r="100" spans="1:26" s="24" customFormat="1" hidden="1" outlineLevel="2" x14ac:dyDescent="0.25">
      <c r="A100" s="27"/>
      <c r="B100" s="11" t="str">
        <f>CONCATENATE("          ", "6243", " - ", "PAPER SUPPLIES")</f>
        <v xml:space="preserve">          6243 - PAPER SUPPLIES</v>
      </c>
      <c r="C100" s="11"/>
      <c r="D100" s="6">
        <v>1898.57</v>
      </c>
      <c r="E100" s="2"/>
      <c r="F100" s="7">
        <f t="shared" si="60"/>
        <v>3.5850038501729462E-3</v>
      </c>
      <c r="G100" s="2"/>
      <c r="H100" s="6"/>
      <c r="I100" s="2"/>
      <c r="J100" s="7">
        <f t="shared" si="61"/>
        <v>0</v>
      </c>
      <c r="K100" s="2"/>
      <c r="L100" s="6">
        <f t="shared" si="62"/>
        <v>1898.57</v>
      </c>
      <c r="M100" s="2"/>
      <c r="N100" s="7">
        <f t="shared" si="63"/>
        <v>0</v>
      </c>
      <c r="O100" s="11"/>
      <c r="P100" s="6">
        <v>2697.63</v>
      </c>
      <c r="Q100" s="2"/>
      <c r="R100" s="7">
        <f t="shared" si="64"/>
        <v>2.4127506443142452E-3</v>
      </c>
      <c r="S100" s="2"/>
      <c r="T100" s="6"/>
      <c r="U100" s="2"/>
      <c r="V100" s="7">
        <f t="shared" si="65"/>
        <v>0</v>
      </c>
      <c r="W100" s="2"/>
      <c r="X100" s="6">
        <f t="shared" si="66"/>
        <v>2697.63</v>
      </c>
      <c r="Y100" s="2"/>
      <c r="Z100" s="7">
        <f t="shared" si="67"/>
        <v>0</v>
      </c>
    </row>
    <row r="101" spans="1:26" s="24" customFormat="1" hidden="1" outlineLevel="2" x14ac:dyDescent="0.25">
      <c r="A101" s="27"/>
      <c r="B101" s="11" t="str">
        <f>CONCATENATE("          ", "6244", " - ", "SAFETY SUPPLY EXPENSE")</f>
        <v xml:space="preserve">          6244 - SAFETY SUPPLY EXPENSE</v>
      </c>
      <c r="C101" s="11"/>
      <c r="D101" s="6"/>
      <c r="E101" s="2"/>
      <c r="F101" s="7">
        <f t="shared" si="60"/>
        <v>0</v>
      </c>
      <c r="G101" s="2"/>
      <c r="H101" s="6"/>
      <c r="I101" s="2"/>
      <c r="J101" s="7">
        <f t="shared" si="61"/>
        <v>0</v>
      </c>
      <c r="K101" s="2"/>
      <c r="L101" s="6">
        <f t="shared" si="62"/>
        <v>0</v>
      </c>
      <c r="M101" s="2"/>
      <c r="N101" s="7">
        <f t="shared" si="63"/>
        <v>0</v>
      </c>
      <c r="O101" s="11"/>
      <c r="P101" s="6"/>
      <c r="Q101" s="2"/>
      <c r="R101" s="7">
        <f t="shared" si="64"/>
        <v>0</v>
      </c>
      <c r="S101" s="2"/>
      <c r="T101" s="6">
        <v>30</v>
      </c>
      <c r="U101" s="2"/>
      <c r="V101" s="7">
        <f t="shared" si="65"/>
        <v>2.6815278129852448E-5</v>
      </c>
      <c r="W101" s="2"/>
      <c r="X101" s="6">
        <f t="shared" si="66"/>
        <v>-30</v>
      </c>
      <c r="Y101" s="2"/>
      <c r="Z101" s="7">
        <f t="shared" si="67"/>
        <v>-1</v>
      </c>
    </row>
    <row r="102" spans="1:26" s="24" customFormat="1" hidden="1" outlineLevel="2" x14ac:dyDescent="0.25">
      <c r="A102" s="27"/>
      <c r="B102" s="11" t="str">
        <f>CONCATENATE("          ", "6245", " - ", "PRINTING")</f>
        <v xml:space="preserve">          6245 - PRINTING</v>
      </c>
      <c r="C102" s="11"/>
      <c r="D102" s="6">
        <v>8.76</v>
      </c>
      <c r="E102" s="2"/>
      <c r="F102" s="7">
        <f t="shared" si="60"/>
        <v>1.654120402593268E-5</v>
      </c>
      <c r="G102" s="2"/>
      <c r="H102" s="6"/>
      <c r="I102" s="2"/>
      <c r="J102" s="7">
        <f t="shared" si="61"/>
        <v>0</v>
      </c>
      <c r="K102" s="2"/>
      <c r="L102" s="6">
        <f t="shared" si="62"/>
        <v>8.76</v>
      </c>
      <c r="M102" s="2"/>
      <c r="N102" s="7">
        <f t="shared" si="63"/>
        <v>0</v>
      </c>
      <c r="O102" s="11"/>
      <c r="P102" s="6">
        <v>44.3</v>
      </c>
      <c r="Q102" s="2"/>
      <c r="R102" s="7">
        <f t="shared" si="64"/>
        <v>3.962176189585712E-5</v>
      </c>
      <c r="S102" s="2"/>
      <c r="T102" s="6"/>
      <c r="U102" s="2"/>
      <c r="V102" s="7">
        <f t="shared" si="65"/>
        <v>0</v>
      </c>
      <c r="W102" s="2"/>
      <c r="X102" s="6">
        <f t="shared" si="66"/>
        <v>44.3</v>
      </c>
      <c r="Y102" s="2"/>
      <c r="Z102" s="7">
        <f t="shared" si="67"/>
        <v>0</v>
      </c>
    </row>
    <row r="103" spans="1:26" s="24" customFormat="1" hidden="1" outlineLevel="2" x14ac:dyDescent="0.25">
      <c r="A103" s="27"/>
      <c r="B103" s="11" t="str">
        <f>CONCATENATE("          ", "6247", " - ", "STORE SUPPLIES")</f>
        <v xml:space="preserve">          6247 - STORE SUPPLIES</v>
      </c>
      <c r="C103" s="11"/>
      <c r="D103" s="6">
        <v>3094.51</v>
      </c>
      <c r="E103" s="2"/>
      <c r="F103" s="7">
        <f t="shared" si="60"/>
        <v>5.8432558527727104E-3</v>
      </c>
      <c r="G103" s="2"/>
      <c r="H103" s="6">
        <v>5537</v>
      </c>
      <c r="I103" s="2"/>
      <c r="J103" s="7">
        <f t="shared" si="61"/>
        <v>1.0750746552654776E-2</v>
      </c>
      <c r="K103" s="2"/>
      <c r="L103" s="6">
        <f t="shared" si="62"/>
        <v>-2442.4899999999998</v>
      </c>
      <c r="M103" s="2"/>
      <c r="N103" s="7">
        <f t="shared" si="63"/>
        <v>-0.4411215459635181</v>
      </c>
      <c r="O103" s="11"/>
      <c r="P103" s="6">
        <v>24360.31</v>
      </c>
      <c r="Q103" s="2"/>
      <c r="R103" s="7">
        <f t="shared" si="64"/>
        <v>2.1787774323459758E-2</v>
      </c>
      <c r="S103" s="2"/>
      <c r="T103" s="6">
        <v>11875</v>
      </c>
      <c r="U103" s="2"/>
      <c r="V103" s="7">
        <f t="shared" si="65"/>
        <v>1.0614380926399929E-2</v>
      </c>
      <c r="W103" s="2"/>
      <c r="X103" s="6">
        <f t="shared" si="66"/>
        <v>12485.310000000001</v>
      </c>
      <c r="Y103" s="2"/>
      <c r="Z103" s="7">
        <f t="shared" si="67"/>
        <v>1.0513945263157896</v>
      </c>
    </row>
    <row r="104" spans="1:26" s="24" customFormat="1" hidden="1" outlineLevel="2" x14ac:dyDescent="0.25">
      <c r="A104" s="27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60"/>
        <v>0</v>
      </c>
      <c r="G104" s="2"/>
      <c r="H104" s="6"/>
      <c r="I104" s="2"/>
      <c r="J104" s="7">
        <f t="shared" si="61"/>
        <v>0</v>
      </c>
      <c r="K104" s="2"/>
      <c r="L104" s="6">
        <f t="shared" si="62"/>
        <v>0</v>
      </c>
      <c r="M104" s="2"/>
      <c r="N104" s="7">
        <f t="shared" si="63"/>
        <v>0</v>
      </c>
      <c r="O104" s="11"/>
      <c r="P104" s="6"/>
      <c r="Q104" s="2"/>
      <c r="R104" s="7">
        <f t="shared" si="64"/>
        <v>0</v>
      </c>
      <c r="S104" s="2"/>
      <c r="T104" s="6">
        <v>300</v>
      </c>
      <c r="U104" s="2"/>
      <c r="V104" s="7">
        <f t="shared" si="65"/>
        <v>2.6815278129852448E-4</v>
      </c>
      <c r="W104" s="2"/>
      <c r="X104" s="6">
        <f t="shared" si="66"/>
        <v>-300</v>
      </c>
      <c r="Y104" s="2"/>
      <c r="Z104" s="7">
        <f t="shared" si="67"/>
        <v>-1</v>
      </c>
    </row>
    <row r="105" spans="1:26" s="26" customFormat="1" outlineLevel="1" collapsed="1" x14ac:dyDescent="0.25">
      <c r="A105" s="25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SUM(OSRRefD22_20x_0)</f>
        <v>341.91</v>
      </c>
      <c r="E105" s="1"/>
      <c r="F105" s="5">
        <f t="shared" ref="F105:F112" si="68">IF(D$12=0,0,D105/D$12)</f>
        <v>6.4561678864231086E-4</v>
      </c>
      <c r="G105" s="1"/>
      <c r="H105" s="1">
        <f>SUM(OSRRefH22_20x_0)</f>
        <v>340</v>
      </c>
      <c r="I105" s="1"/>
      <c r="J105" s="5">
        <f t="shared" ref="J105:J112" si="69">IF(H$12=0,0,H105/H$12)</f>
        <v>6.6015059199975149E-4</v>
      </c>
      <c r="K105" s="1"/>
      <c r="L105" s="1">
        <f t="shared" ref="L105:L112" si="70">+D105-H105</f>
        <v>1.910000000000025</v>
      </c>
      <c r="M105" s="1"/>
      <c r="N105" s="5">
        <f t="shared" ref="N105:N112" si="71">IF(H105=0,0,L105/H105)</f>
        <v>5.617647058823603E-3</v>
      </c>
      <c r="O105" s="13"/>
      <c r="P105" s="1">
        <f>SUM(OSRRefP22_20x_0)</f>
        <v>1351.49</v>
      </c>
      <c r="Q105" s="1"/>
      <c r="R105" s="5">
        <f t="shared" ref="R105:R112" si="72">IF(P$12=0,0,P105/P$12)</f>
        <v>1.2087678326102021E-3</v>
      </c>
      <c r="S105" s="1"/>
      <c r="T105" s="1">
        <f>SUM(OSRRefT22_20x_0)</f>
        <v>1360</v>
      </c>
      <c r="U105" s="1"/>
      <c r="V105" s="5">
        <f t="shared" ref="V105:V112" si="73">IF(T$12=0,0,T105/T$12)</f>
        <v>1.2156259418866443E-3</v>
      </c>
      <c r="W105" s="1"/>
      <c r="X105" s="1">
        <f t="shared" ref="X105:X112" si="74">+P105-T105</f>
        <v>-8.5099999999999909</v>
      </c>
      <c r="Y105" s="1"/>
      <c r="Z105" s="5">
        <f t="shared" ref="Z105:Z112" si="75">IF(T105=0,0,X105/T105)</f>
        <v>-6.2573529411764639E-3</v>
      </c>
    </row>
    <row r="106" spans="1:26" s="24" customFormat="1" hidden="1" outlineLevel="2" x14ac:dyDescent="0.25">
      <c r="A106" s="27"/>
      <c r="B106" s="11" t="str">
        <f>CONCATENATE("          ", "6309", " - ", "TELEPHONE")</f>
        <v xml:space="preserve">          6309 - TELEPHONE</v>
      </c>
      <c r="C106" s="11"/>
      <c r="D106" s="6">
        <v>341.91</v>
      </c>
      <c r="E106" s="2"/>
      <c r="F106" s="7">
        <f t="shared" si="68"/>
        <v>6.4561678864231086E-4</v>
      </c>
      <c r="G106" s="2"/>
      <c r="H106" s="6">
        <v>340</v>
      </c>
      <c r="I106" s="2"/>
      <c r="J106" s="7">
        <f t="shared" si="69"/>
        <v>6.6015059199975149E-4</v>
      </c>
      <c r="K106" s="2"/>
      <c r="L106" s="6">
        <f t="shared" si="70"/>
        <v>1.910000000000025</v>
      </c>
      <c r="M106" s="2"/>
      <c r="N106" s="7">
        <f t="shared" si="71"/>
        <v>5.617647058823603E-3</v>
      </c>
      <c r="O106" s="11"/>
      <c r="P106" s="6">
        <v>1351.49</v>
      </c>
      <c r="Q106" s="2"/>
      <c r="R106" s="7">
        <f t="shared" si="72"/>
        <v>1.2087678326102021E-3</v>
      </c>
      <c r="S106" s="2"/>
      <c r="T106" s="6">
        <v>1360</v>
      </c>
      <c r="U106" s="2"/>
      <c r="V106" s="7">
        <f t="shared" si="73"/>
        <v>1.2156259418866443E-3</v>
      </c>
      <c r="W106" s="2"/>
      <c r="X106" s="6">
        <f t="shared" si="74"/>
        <v>-8.5099999999999909</v>
      </c>
      <c r="Y106" s="2"/>
      <c r="Z106" s="7">
        <f t="shared" si="75"/>
        <v>-6.2573529411764639E-3</v>
      </c>
    </row>
    <row r="107" spans="1:26" s="26" customFormat="1" outlineLevel="1" collapsed="1" x14ac:dyDescent="0.25">
      <c r="A107" s="25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SUM(OSRRefD22_21x_0)</f>
        <v>0</v>
      </c>
      <c r="E107" s="1"/>
      <c r="F107" s="5">
        <f t="shared" si="68"/>
        <v>0</v>
      </c>
      <c r="G107" s="1"/>
      <c r="H107" s="1">
        <f>SUM(OSRRefH22_21x_0)</f>
        <v>0</v>
      </c>
      <c r="I107" s="1"/>
      <c r="J107" s="5">
        <f t="shared" si="69"/>
        <v>0</v>
      </c>
      <c r="K107" s="1"/>
      <c r="L107" s="1">
        <f t="shared" si="70"/>
        <v>0</v>
      </c>
      <c r="M107" s="1"/>
      <c r="N107" s="5">
        <f t="shared" si="71"/>
        <v>0</v>
      </c>
      <c r="O107" s="13"/>
      <c r="P107" s="1">
        <f>SUM(OSRRefP22_21x_0)</f>
        <v>96</v>
      </c>
      <c r="Q107" s="1"/>
      <c r="R107" s="5">
        <f t="shared" si="72"/>
        <v>8.5862057381541398E-5</v>
      </c>
      <c r="S107" s="1"/>
      <c r="T107" s="1">
        <f>SUM(OSRRefT22_21x_0)</f>
        <v>1100</v>
      </c>
      <c r="U107" s="1"/>
      <c r="V107" s="5">
        <f t="shared" si="73"/>
        <v>9.8322686476125655E-4</v>
      </c>
      <c r="W107" s="1"/>
      <c r="X107" s="1">
        <f t="shared" si="74"/>
        <v>-1004</v>
      </c>
      <c r="Y107" s="1"/>
      <c r="Z107" s="5">
        <f t="shared" si="75"/>
        <v>-0.91272727272727272</v>
      </c>
    </row>
    <row r="108" spans="1:26" s="24" customFormat="1" hidden="1" outlineLevel="2" x14ac:dyDescent="0.25">
      <c r="A108" s="27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>
        <v>96</v>
      </c>
      <c r="Q108" s="2"/>
      <c r="R108" s="7">
        <f t="shared" si="72"/>
        <v>8.5862057381541398E-5</v>
      </c>
      <c r="S108" s="2"/>
      <c r="T108" s="6">
        <v>1100</v>
      </c>
      <c r="U108" s="2"/>
      <c r="V108" s="7">
        <f t="shared" si="73"/>
        <v>9.8322686476125655E-4</v>
      </c>
      <c r="W108" s="2"/>
      <c r="X108" s="6">
        <f t="shared" si="74"/>
        <v>-1004</v>
      </c>
      <c r="Y108" s="2"/>
      <c r="Z108" s="7">
        <f t="shared" si="75"/>
        <v>-0.91272727272727272</v>
      </c>
    </row>
    <row r="109" spans="1:26" s="26" customFormat="1" outlineLevel="1" collapsed="1" x14ac:dyDescent="0.25">
      <c r="A109" s="25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SUM(OSRRefD22_22x_0)</f>
        <v>0</v>
      </c>
      <c r="E109" s="1"/>
      <c r="F109" s="5">
        <f t="shared" si="68"/>
        <v>0</v>
      </c>
      <c r="G109" s="1"/>
      <c r="H109" s="1">
        <f>SUM(OSRRefH22_22x_0)</f>
        <v>1000</v>
      </c>
      <c r="I109" s="1"/>
      <c r="J109" s="5">
        <f t="shared" si="69"/>
        <v>1.9416193882345631E-3</v>
      </c>
      <c r="K109" s="1"/>
      <c r="L109" s="1">
        <f t="shared" si="70"/>
        <v>-1000</v>
      </c>
      <c r="M109" s="1"/>
      <c r="N109" s="5">
        <f t="shared" si="71"/>
        <v>-1</v>
      </c>
      <c r="O109" s="13"/>
      <c r="P109" s="1">
        <f>SUM(OSRRefP22_22x_0)</f>
        <v>0</v>
      </c>
      <c r="Q109" s="1"/>
      <c r="R109" s="5">
        <f t="shared" si="72"/>
        <v>0</v>
      </c>
      <c r="S109" s="1"/>
      <c r="T109" s="1">
        <f>SUM(OSRRefT22_22x_0)</f>
        <v>1000</v>
      </c>
      <c r="U109" s="1"/>
      <c r="V109" s="5">
        <f t="shared" si="73"/>
        <v>8.9384260432841495E-4</v>
      </c>
      <c r="W109" s="1"/>
      <c r="X109" s="1">
        <f t="shared" si="74"/>
        <v>-1000</v>
      </c>
      <c r="Y109" s="1"/>
      <c r="Z109" s="5">
        <f t="shared" si="75"/>
        <v>-1</v>
      </c>
    </row>
    <row r="110" spans="1:26" s="24" customFormat="1" hidden="1" outlineLevel="2" x14ac:dyDescent="0.25">
      <c r="A110" s="27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68"/>
        <v>0</v>
      </c>
      <c r="G110" s="2"/>
      <c r="H110" s="6">
        <v>1000</v>
      </c>
      <c r="I110" s="2"/>
      <c r="J110" s="7">
        <f t="shared" si="69"/>
        <v>1.9416193882345631E-3</v>
      </c>
      <c r="K110" s="2"/>
      <c r="L110" s="6">
        <f t="shared" si="70"/>
        <v>-1000</v>
      </c>
      <c r="M110" s="2"/>
      <c r="N110" s="7">
        <f t="shared" si="71"/>
        <v>-1</v>
      </c>
      <c r="O110" s="11"/>
      <c r="P110" s="6"/>
      <c r="Q110" s="2"/>
      <c r="R110" s="7">
        <f t="shared" si="72"/>
        <v>0</v>
      </c>
      <c r="S110" s="2"/>
      <c r="T110" s="6">
        <v>1000</v>
      </c>
      <c r="U110" s="2"/>
      <c r="V110" s="7">
        <f t="shared" si="73"/>
        <v>8.9384260432841495E-4</v>
      </c>
      <c r="W110" s="2"/>
      <c r="X110" s="6">
        <f t="shared" si="74"/>
        <v>-1000</v>
      </c>
      <c r="Y110" s="2"/>
      <c r="Z110" s="7">
        <f t="shared" si="75"/>
        <v>-1</v>
      </c>
    </row>
    <row r="111" spans="1:26" s="26" customFormat="1" outlineLevel="1" collapsed="1" x14ac:dyDescent="0.25">
      <c r="A111" s="25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SUM(OSRRefD22_23x_0)</f>
        <v>1005</v>
      </c>
      <c r="E111" s="1"/>
      <c r="F111" s="5">
        <f t="shared" si="68"/>
        <v>1.8977066262628247E-3</v>
      </c>
      <c r="G111" s="1"/>
      <c r="H111" s="1">
        <f>SUM(OSRRefH22_23x_0)</f>
        <v>1152</v>
      </c>
      <c r="I111" s="1"/>
      <c r="J111" s="5">
        <f t="shared" si="69"/>
        <v>2.2367455352462168E-3</v>
      </c>
      <c r="K111" s="1"/>
      <c r="L111" s="1">
        <f t="shared" si="70"/>
        <v>-147</v>
      </c>
      <c r="M111" s="1"/>
      <c r="N111" s="5">
        <f t="shared" si="71"/>
        <v>-0.12760416666666666</v>
      </c>
      <c r="O111" s="13"/>
      <c r="P111" s="1">
        <f>SUM(OSRRefP22_23x_0)</f>
        <v>2060.12</v>
      </c>
      <c r="Q111" s="1"/>
      <c r="R111" s="5">
        <f t="shared" si="72"/>
        <v>1.8425639755506361E-3</v>
      </c>
      <c r="S111" s="1"/>
      <c r="T111" s="1">
        <f>SUM(OSRRefT22_23x_0)</f>
        <v>4521</v>
      </c>
      <c r="U111" s="1"/>
      <c r="V111" s="5">
        <f t="shared" si="73"/>
        <v>4.0410624141687642E-3</v>
      </c>
      <c r="W111" s="1"/>
      <c r="X111" s="1">
        <f t="shared" si="74"/>
        <v>-2460.88</v>
      </c>
      <c r="Y111" s="1"/>
      <c r="Z111" s="5">
        <f t="shared" si="75"/>
        <v>-0.54432205264322053</v>
      </c>
    </row>
    <row r="112" spans="1:26" s="24" customFormat="1" hidden="1" outlineLevel="2" x14ac:dyDescent="0.25">
      <c r="A112" s="27"/>
      <c r="B112" s="11" t="str">
        <f>CONCATENATE("          ", "6274", " - ", "UTILITIES")</f>
        <v xml:space="preserve">          6274 - UTILITIES</v>
      </c>
      <c r="C112" s="11"/>
      <c r="D112" s="6">
        <v>1005</v>
      </c>
      <c r="E112" s="2"/>
      <c r="F112" s="7">
        <f t="shared" si="68"/>
        <v>1.8977066262628247E-3</v>
      </c>
      <c r="G112" s="2"/>
      <c r="H112" s="6">
        <v>1152</v>
      </c>
      <c r="I112" s="2"/>
      <c r="J112" s="7">
        <f t="shared" si="69"/>
        <v>2.2367455352462168E-3</v>
      </c>
      <c r="K112" s="2"/>
      <c r="L112" s="6">
        <f t="shared" si="70"/>
        <v>-147</v>
      </c>
      <c r="M112" s="2"/>
      <c r="N112" s="7">
        <f t="shared" si="71"/>
        <v>-0.12760416666666666</v>
      </c>
      <c r="O112" s="11"/>
      <c r="P112" s="6">
        <v>2060.12</v>
      </c>
      <c r="Q112" s="2"/>
      <c r="R112" s="7">
        <f t="shared" si="72"/>
        <v>1.8425639755506361E-3</v>
      </c>
      <c r="S112" s="2"/>
      <c r="T112" s="6">
        <v>4521</v>
      </c>
      <c r="U112" s="2"/>
      <c r="V112" s="7">
        <f t="shared" si="73"/>
        <v>4.0410624141687642E-3</v>
      </c>
      <c r="W112" s="2"/>
      <c r="X112" s="6">
        <f t="shared" si="74"/>
        <v>-2460.88</v>
      </c>
      <c r="Y112" s="2"/>
      <c r="Z112" s="7">
        <f t="shared" si="75"/>
        <v>-0.54432205264322053</v>
      </c>
    </row>
    <row r="113" spans="1:26" s="61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9" t="s">
        <v>0</v>
      </c>
      <c r="C114" s="10"/>
      <c r="D114" s="4">
        <f>SUM(0)</f>
        <v>0</v>
      </c>
      <c r="E114" s="4"/>
      <c r="F114" s="12">
        <f>IF(D$12=0,0,D114/D$12)</f>
        <v>0</v>
      </c>
      <c r="G114" s="4"/>
      <c r="H114" s="4">
        <f>SUM(0)</f>
        <v>0</v>
      </c>
      <c r="I114" s="4"/>
      <c r="J114" s="12">
        <f>IF(H$12=0,0,H114/H$12)</f>
        <v>0</v>
      </c>
      <c r="K114" s="4"/>
      <c r="L114" s="4">
        <f>+D114-H114</f>
        <v>0</v>
      </c>
      <c r="M114" s="4"/>
      <c r="N114" s="12">
        <f>IF(H114=0,0,L114/H114)</f>
        <v>0</v>
      </c>
      <c r="O114" s="10"/>
      <c r="P114" s="4">
        <f>SUM(0)</f>
        <v>0</v>
      </c>
      <c r="Q114" s="4"/>
      <c r="R114" s="12">
        <f>IF(P$12=0,0,P114/P$12)</f>
        <v>0</v>
      </c>
      <c r="S114" s="4"/>
      <c r="T114" s="4">
        <f>SUM(0)</f>
        <v>0</v>
      </c>
      <c r="U114" s="4"/>
      <c r="V114" s="12">
        <f>IF(T$12=0,0,T114/T$12)</f>
        <v>0</v>
      </c>
      <c r="W114" s="4"/>
      <c r="X114" s="4">
        <f>+P114-T114</f>
        <v>0</v>
      </c>
      <c r="Y114" s="4"/>
      <c r="Z114" s="12">
        <f>IF(T114=0,0,X114/T114)</f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8" t="s">
        <v>3</v>
      </c>
      <c r="C116" s="28"/>
      <c r="D116" s="22">
        <f>+D29-D31+D114</f>
        <v>130533.48000000001</v>
      </c>
      <c r="E116" s="14"/>
      <c r="F116" s="20">
        <f>IF(D$12=0,0,D116/D$12)</f>
        <v>0.24648184074143872</v>
      </c>
      <c r="G116" s="14"/>
      <c r="H116" s="22">
        <f>+H29-H31+H114</f>
        <v>120535.51452607691</v>
      </c>
      <c r="I116" s="14"/>
      <c r="J116" s="20">
        <f>IF(H$12=0,0,H116/H$12)</f>
        <v>0.23403409197465974</v>
      </c>
      <c r="K116" s="16"/>
      <c r="L116" s="22">
        <f>+D116-H116</f>
        <v>9997.9654739231046</v>
      </c>
      <c r="M116" s="16"/>
      <c r="N116" s="20">
        <f>IF(H116=0,0,L116/H116)</f>
        <v>8.2946221395687691E-2</v>
      </c>
      <c r="O116" s="29"/>
      <c r="P116" s="22">
        <f>+P29-P31+P114</f>
        <v>147357.69999999995</v>
      </c>
      <c r="Q116" s="14"/>
      <c r="R116" s="20">
        <f>IF(P$12=0,0,P116/P$12)</f>
        <v>0.13179620096887457</v>
      </c>
      <c r="S116" s="14"/>
      <c r="T116" s="22">
        <f>+T29-T31+T114</f>
        <v>160519.08688712685</v>
      </c>
      <c r="U116" s="14"/>
      <c r="V116" s="20">
        <f>IF(T$12=0,0,T116/T$12)</f>
        <v>0.1434787986676086</v>
      </c>
      <c r="W116" s="16"/>
      <c r="X116" s="22">
        <f>+P116-T116</f>
        <v>-13161.386887126893</v>
      </c>
      <c r="Y116" s="16"/>
      <c r="Z116" s="20">
        <f>IF(T116=0,0,X116/T116)</f>
        <v>-8.1992659828557732E-2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2"/>
      <c r="B118" s="10" t="s">
        <v>14</v>
      </c>
      <c r="C118" s="10"/>
      <c r="D118" s="4">
        <v>49336.86</v>
      </c>
      <c r="E118" s="4"/>
      <c r="F118" s="12">
        <f>IF(D$12=0,0,D118/D$12)</f>
        <v>9.316108073731473E-2</v>
      </c>
      <c r="G118" s="4"/>
      <c r="H118" s="4">
        <v>58363</v>
      </c>
      <c r="I118" s="4"/>
      <c r="J118" s="12">
        <f>IF(H$12=0,0,H118/H$12)</f>
        <v>0.11331873235553382</v>
      </c>
      <c r="K118" s="4"/>
      <c r="L118" s="4">
        <f>+D118-H118</f>
        <v>-9026.14</v>
      </c>
      <c r="M118" s="4"/>
      <c r="N118" s="12">
        <f>IF(H118=0,0,L118/H118)</f>
        <v>-0.15465517536795573</v>
      </c>
      <c r="O118" s="10"/>
      <c r="P118" s="4">
        <v>112548.03</v>
      </c>
      <c r="Q118" s="4"/>
      <c r="R118" s="12">
        <f>IF(P$12=0,0,P118/P$12)</f>
        <v>0.10066255635457753</v>
      </c>
      <c r="S118" s="4"/>
      <c r="T118" s="4">
        <v>134725</v>
      </c>
      <c r="U118" s="4"/>
      <c r="V118" s="12">
        <f>IF(T$12=0,0,T118/T$12)</f>
        <v>0.12042294486814571</v>
      </c>
      <c r="W118" s="4"/>
      <c r="X118" s="4">
        <f>+P118-T118</f>
        <v>-22176.97</v>
      </c>
      <c r="Y118" s="4"/>
      <c r="Z118" s="12">
        <f>IF(T118=0,0,X118/T118)</f>
        <v>-0.16460916682130267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8" t="s">
        <v>4</v>
      </c>
      <c r="C120" s="28"/>
      <c r="D120" s="31">
        <f>+D116-D118</f>
        <v>81196.62000000001</v>
      </c>
      <c r="E120" s="14"/>
      <c r="F120" s="33">
        <f>IF(D$12=0,0,D120/D$12)</f>
        <v>0.15332076000412401</v>
      </c>
      <c r="G120" s="14"/>
      <c r="H120" s="31">
        <f>+H116-H118</f>
        <v>62172.514526076906</v>
      </c>
      <c r="I120" s="14"/>
      <c r="J120" s="33">
        <f>IF(H$12=0,0,H120/H$12)</f>
        <v>0.12071535961912594</v>
      </c>
      <c r="K120" s="16"/>
      <c r="L120" s="31">
        <f>D120-H120</f>
        <v>19024.105473923104</v>
      </c>
      <c r="M120" s="16"/>
      <c r="N120" s="33">
        <f>IF(H120=0,0,L120/H120)</f>
        <v>0.30598899881946801</v>
      </c>
      <c r="O120" s="29"/>
      <c r="P120" s="31">
        <f>+P116-P118</f>
        <v>34809.669999999955</v>
      </c>
      <c r="Q120" s="14"/>
      <c r="R120" s="33">
        <f>IF(P$12=0,0,P120/P$12)</f>
        <v>3.1133644614297046E-2</v>
      </c>
      <c r="S120" s="14"/>
      <c r="T120" s="31">
        <f>+T116-T118</f>
        <v>25794.086887126847</v>
      </c>
      <c r="U120" s="14"/>
      <c r="V120" s="33">
        <f>IF(T$12=0,0,T120/T$12)</f>
        <v>2.3055853799462879E-2</v>
      </c>
      <c r="W120" s="16"/>
      <c r="X120" s="31">
        <f>P120-T120</f>
        <v>9015.5831128731079</v>
      </c>
      <c r="Y120" s="16"/>
      <c r="Z120" s="33">
        <f>IF(T120=0,0,X120/T120)</f>
        <v>0.34952131286231147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5</v>
      </c>
      <c r="C123" s="28"/>
      <c r="D123" s="32">
        <f>SUM(D120:D122)</f>
        <v>81196.62000000001</v>
      </c>
      <c r="E123" s="14"/>
      <c r="F123" s="34">
        <f>IF(D$12=0,0,D123/D$12)</f>
        <v>0.15332076000412401</v>
      </c>
      <c r="G123" s="14"/>
      <c r="H123" s="32">
        <f>SUM(H120:H122)</f>
        <v>62172.514526076906</v>
      </c>
      <c r="I123" s="14"/>
      <c r="J123" s="34">
        <f>IF(H$12=0,0,H123/H$12)</f>
        <v>0.12071535961912594</v>
      </c>
      <c r="K123" s="16"/>
      <c r="L123" s="32">
        <f>+D123-H123</f>
        <v>19024.105473923104</v>
      </c>
      <c r="M123" s="16"/>
      <c r="N123" s="34">
        <f>IF(H123=0,0,L123/H123)</f>
        <v>0.30598899881946801</v>
      </c>
      <c r="O123" s="29"/>
      <c r="P123" s="32">
        <f>SUM(P120:P122)</f>
        <v>34809.669999999955</v>
      </c>
      <c r="Q123" s="14"/>
      <c r="R123" s="34">
        <f>IF(P$12=0,0,P123/P$12)</f>
        <v>3.1133644614297046E-2</v>
      </c>
      <c r="S123" s="14"/>
      <c r="T123" s="32">
        <f>SUM(T120:T122)</f>
        <v>25794.086887126847</v>
      </c>
      <c r="U123" s="14"/>
      <c r="V123" s="34">
        <f>IF(T$12=0,0,T123/T$12)</f>
        <v>2.3055853799462879E-2</v>
      </c>
      <c r="W123" s="16"/>
      <c r="X123" s="32">
        <f>+P123-T123</f>
        <v>9015.5831128731079</v>
      </c>
      <c r="Y123" s="16"/>
      <c r="Z123" s="34">
        <f>IF(T123=0,0,X123/T123)</f>
        <v>0.34952131286231147</v>
      </c>
    </row>
    <row r="124" spans="1:26" ht="15.75" thickTop="1" x14ac:dyDescent="0.25">
      <c r="A124" s="9"/>
      <c r="C124" s="9"/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60">
        <v>43791.347688113427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4" t="s">
        <v>314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5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67114.080000000002</v>
      </c>
      <c r="E12" s="4"/>
      <c r="F12" s="12"/>
      <c r="G12" s="4"/>
      <c r="H12" s="4">
        <f>SUM(OSRRefH13x_0)</f>
        <v>70517</v>
      </c>
      <c r="I12" s="4"/>
      <c r="J12" s="12"/>
      <c r="K12" s="4"/>
      <c r="L12" s="4">
        <f t="shared" ref="L12:L15" si="0">+D12-H12</f>
        <v>-3402.9199999999983</v>
      </c>
      <c r="M12" s="4"/>
      <c r="N12" s="12">
        <f t="shared" ref="N12:N15" si="1">IF(H12=0,0,L12/H12)</f>
        <v>-4.8256732419132947E-2</v>
      </c>
      <c r="O12" s="10"/>
      <c r="P12" s="4">
        <f>SUM(OSRRefP13x_0)</f>
        <v>140711.71</v>
      </c>
      <c r="Q12" s="4"/>
      <c r="R12" s="12"/>
      <c r="S12" s="4"/>
      <c r="T12" s="4">
        <f>SUM(OSRRefT13x_0)</f>
        <v>147331</v>
      </c>
      <c r="U12" s="4"/>
      <c r="V12" s="12"/>
      <c r="W12" s="4"/>
      <c r="X12" s="4">
        <f t="shared" ref="X12:X15" si="2">+P12-T12</f>
        <v>-6619.2900000000081</v>
      </c>
      <c r="Y12" s="4"/>
      <c r="Z12" s="12">
        <f t="shared" ref="Z12:Z15" si="3">IF(T12=0,0,X12/T12)</f>
        <v>-4.4928019222023934E-2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--15512.39</f>
        <v>15512.39</v>
      </c>
      <c r="E13" s="2"/>
      <c r="F13" s="19"/>
      <c r="G13" s="2"/>
      <c r="H13" s="2"/>
      <c r="I13" s="2"/>
      <c r="J13" s="19"/>
      <c r="K13" s="2"/>
      <c r="L13" s="2">
        <f t="shared" si="0"/>
        <v>15512.39</v>
      </c>
      <c r="M13" s="2"/>
      <c r="N13" s="19">
        <f t="shared" si="1"/>
        <v>0</v>
      </c>
      <c r="O13" s="11"/>
      <c r="P13" s="2">
        <f>--31173.16</f>
        <v>31173.16</v>
      </c>
      <c r="Q13" s="2"/>
      <c r="R13" s="19"/>
      <c r="S13" s="2"/>
      <c r="T13" s="2"/>
      <c r="U13" s="2"/>
      <c r="V13" s="19"/>
      <c r="W13" s="2"/>
      <c r="X13" s="2">
        <f t="shared" si="2"/>
        <v>31173.16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70517</v>
      </c>
      <c r="I14" s="2"/>
      <c r="J14" s="19"/>
      <c r="K14" s="2"/>
      <c r="L14" s="2">
        <f t="shared" si="0"/>
        <v>-70517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147331</v>
      </c>
      <c r="U14" s="2"/>
      <c r="V14" s="19"/>
      <c r="W14" s="2"/>
      <c r="X14" s="2">
        <f t="shared" si="2"/>
        <v>-147331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--51601.69</f>
        <v>51601.69</v>
      </c>
      <c r="E15" s="2"/>
      <c r="F15" s="19"/>
      <c r="G15" s="2"/>
      <c r="H15" s="2"/>
      <c r="I15" s="2"/>
      <c r="J15" s="19"/>
      <c r="K15" s="2"/>
      <c r="L15" s="2">
        <f t="shared" si="0"/>
        <v>51601.69</v>
      </c>
      <c r="M15" s="2"/>
      <c r="N15" s="19">
        <f t="shared" si="1"/>
        <v>0</v>
      </c>
      <c r="O15" s="11"/>
      <c r="P15" s="2">
        <f>--109538.55</f>
        <v>109538.55</v>
      </c>
      <c r="Q15" s="2"/>
      <c r="R15" s="19"/>
      <c r="S15" s="2"/>
      <c r="T15" s="2"/>
      <c r="U15" s="2"/>
      <c r="V15" s="19"/>
      <c r="W15" s="2"/>
      <c r="X15" s="2">
        <f t="shared" si="2"/>
        <v>109538.55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30603.390000000003</v>
      </c>
      <c r="E17" s="4"/>
      <c r="F17" s="12">
        <f t="shared" ref="F17:F20" si="4">IF(D$12=0,0,D17/D$12)</f>
        <v>0.45599060584604606</v>
      </c>
      <c r="G17" s="4"/>
      <c r="H17" s="4">
        <f>SUM(OSRRefH16x_0)</f>
        <v>34906</v>
      </c>
      <c r="I17" s="4"/>
      <c r="J17" s="12">
        <f t="shared" ref="J17:J20" si="5">IF(H$12=0,0,H17/H$12)</f>
        <v>0.49500120538309911</v>
      </c>
      <c r="K17" s="4"/>
      <c r="L17" s="4">
        <f t="shared" ref="L17:L20" si="6">+D17-H17</f>
        <v>-4302.6099999999969</v>
      </c>
      <c r="M17" s="4"/>
      <c r="N17" s="12">
        <f t="shared" ref="N17:N20" si="7">IF(H17=0,0,L17/H17)</f>
        <v>-0.12326276284879381</v>
      </c>
      <c r="O17" s="10"/>
      <c r="P17" s="4">
        <f>SUM(OSRRefP16x_0)</f>
        <v>64728.030000000006</v>
      </c>
      <c r="Q17" s="4"/>
      <c r="R17" s="12">
        <f t="shared" ref="R17:R20" si="8">IF(P$12=0,0,P17/P$12)</f>
        <v>0.46000457246948395</v>
      </c>
      <c r="S17" s="4"/>
      <c r="T17" s="4">
        <f>SUM(OSRRefT16x_0)</f>
        <v>72928</v>
      </c>
      <c r="U17" s="4"/>
      <c r="V17" s="12">
        <f t="shared" ref="V17:V20" si="9">IF(T$12=0,0,T17/T$12)</f>
        <v>0.49499426461505047</v>
      </c>
      <c r="W17" s="4"/>
      <c r="X17" s="4">
        <f t="shared" ref="X17:X20" si="10">+P17-T17</f>
        <v>-8199.9699999999939</v>
      </c>
      <c r="Y17" s="4"/>
      <c r="Z17" s="12">
        <f t="shared" ref="Z17:Z20" si="11">IF(T17=0,0,X17/T17)</f>
        <v>-0.11243925515577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34906</v>
      </c>
      <c r="I18" s="2"/>
      <c r="J18" s="19">
        <f t="shared" si="5"/>
        <v>0.49500120538309911</v>
      </c>
      <c r="K18" s="2"/>
      <c r="L18" s="2">
        <f t="shared" si="6"/>
        <v>-34906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72928</v>
      </c>
      <c r="U18" s="2"/>
      <c r="V18" s="19">
        <f t="shared" si="9"/>
        <v>0.49499426461505047</v>
      </c>
      <c r="W18" s="2"/>
      <c r="X18" s="2">
        <f t="shared" si="10"/>
        <v>-72928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31556.670000000002</v>
      </c>
      <c r="E19" s="2"/>
      <c r="F19" s="19">
        <f t="shared" si="4"/>
        <v>0.47019448080045201</v>
      </c>
      <c r="G19" s="2"/>
      <c r="H19" s="2"/>
      <c r="I19" s="2"/>
      <c r="J19" s="19">
        <f t="shared" si="5"/>
        <v>0</v>
      </c>
      <c r="K19" s="2"/>
      <c r="L19" s="2">
        <f t="shared" si="6"/>
        <v>31556.670000000002</v>
      </c>
      <c r="M19" s="2"/>
      <c r="N19" s="19">
        <f t="shared" si="7"/>
        <v>0</v>
      </c>
      <c r="O19" s="11"/>
      <c r="P19" s="2">
        <v>72707.960000000006</v>
      </c>
      <c r="Q19" s="2"/>
      <c r="R19" s="19">
        <f t="shared" si="8"/>
        <v>0.51671577298008819</v>
      </c>
      <c r="S19" s="2"/>
      <c r="T19" s="2"/>
      <c r="U19" s="2"/>
      <c r="V19" s="19">
        <f t="shared" si="9"/>
        <v>0</v>
      </c>
      <c r="W19" s="2"/>
      <c r="X19" s="2">
        <f t="shared" si="10"/>
        <v>72707.960000000006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-953.28</v>
      </c>
      <c r="E20" s="2"/>
      <c r="F20" s="19">
        <f t="shared" si="4"/>
        <v>-1.420387495440599E-2</v>
      </c>
      <c r="G20" s="2"/>
      <c r="H20" s="2"/>
      <c r="I20" s="2"/>
      <c r="J20" s="19">
        <f t="shared" si="5"/>
        <v>0</v>
      </c>
      <c r="K20" s="2"/>
      <c r="L20" s="2">
        <f t="shared" si="6"/>
        <v>-953.28</v>
      </c>
      <c r="M20" s="2"/>
      <c r="N20" s="19">
        <f t="shared" si="7"/>
        <v>0</v>
      </c>
      <c r="O20" s="11"/>
      <c r="P20" s="2">
        <v>-7979.93</v>
      </c>
      <c r="Q20" s="2"/>
      <c r="R20" s="19">
        <f t="shared" si="8"/>
        <v>-5.6711200510604277E-2</v>
      </c>
      <c r="S20" s="2"/>
      <c r="T20" s="2"/>
      <c r="U20" s="2"/>
      <c r="V20" s="19">
        <f t="shared" si="9"/>
        <v>0</v>
      </c>
      <c r="W20" s="2"/>
      <c r="X20" s="2">
        <f t="shared" si="10"/>
        <v>-7979.93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36510.69</v>
      </c>
      <c r="E22" s="14"/>
      <c r="F22" s="20">
        <f>IF(D$12=0,0,D22/D$12)</f>
        <v>0.544009394153954</v>
      </c>
      <c r="G22" s="14"/>
      <c r="H22" s="22">
        <f>H12-H17</f>
        <v>35611</v>
      </c>
      <c r="I22" s="14"/>
      <c r="J22" s="20">
        <f>IF(H$12=0,0,H22/H$12)</f>
        <v>0.50499879461690089</v>
      </c>
      <c r="K22" s="16"/>
      <c r="L22" s="22">
        <f>+D22-H22</f>
        <v>899.69000000000233</v>
      </c>
      <c r="M22" s="16"/>
      <c r="N22" s="20">
        <f>IF(H22=0,0,L22/H22)</f>
        <v>2.526438460026403E-2</v>
      </c>
      <c r="O22" s="29"/>
      <c r="P22" s="22">
        <f>P12-P17</f>
        <v>75983.679999999993</v>
      </c>
      <c r="Q22" s="14"/>
      <c r="R22" s="20">
        <f>IF(P$12=0,0,P22/P$12)</f>
        <v>0.5399954275305161</v>
      </c>
      <c r="S22" s="14"/>
      <c r="T22" s="22">
        <f>T12-T17</f>
        <v>74403</v>
      </c>
      <c r="U22" s="14"/>
      <c r="V22" s="20">
        <f>IF(T$12=0,0,T22/T$12)</f>
        <v>0.50500573538494953</v>
      </c>
      <c r="W22" s="16"/>
      <c r="X22" s="22">
        <f>+P22-T22</f>
        <v>1580.679999999993</v>
      </c>
      <c r="Y22" s="16"/>
      <c r="Z22" s="20">
        <f>IF(T22=0,0,X22/T22)</f>
        <v>2.1244842277865047E-2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20820.560000000001</v>
      </c>
      <c r="E24" s="21"/>
      <c r="F24" s="35">
        <f t="shared" ref="F24:F34" si="12">IF(D$12=0,0,D24/D$12)</f>
        <v>0.31022640852709299</v>
      </c>
      <c r="G24" s="21"/>
      <c r="H24" s="21">
        <f>SUM(OSRRefH22x_0)</f>
        <v>20296.72273173077</v>
      </c>
      <c r="I24" s="21"/>
      <c r="J24" s="35">
        <f t="shared" ref="J24:J34" si="13">IF(H$12=0,0,H24/H$12)</f>
        <v>0.28782737115490975</v>
      </c>
      <c r="K24" s="4"/>
      <c r="L24" s="21">
        <f t="shared" ref="L24:L34" si="14">+D24-H24</f>
        <v>523.83726826923157</v>
      </c>
      <c r="M24" s="4"/>
      <c r="N24" s="35">
        <f t="shared" ref="N24:N34" si="15">IF(H24=0,0,L24/H24)</f>
        <v>2.5808958184677443E-2</v>
      </c>
      <c r="O24" s="10"/>
      <c r="P24" s="21">
        <f>SUM(OSRRefP22x_0)</f>
        <v>65731.92</v>
      </c>
      <c r="Q24" s="21"/>
      <c r="R24" s="35">
        <f t="shared" ref="R24:R34" si="16">IF(P$12=0,0,P24/P$12)</f>
        <v>0.46713894671594852</v>
      </c>
      <c r="S24" s="21"/>
      <c r="T24" s="21">
        <f>SUM(OSRRefT22x_0)</f>
        <v>50701.928524230781</v>
      </c>
      <c r="U24" s="21"/>
      <c r="V24" s="35">
        <f t="shared" ref="V24:V34" si="17">IF(T$12=0,0,T24/T$12)</f>
        <v>0.34413618671040569</v>
      </c>
      <c r="W24" s="4"/>
      <c r="X24" s="21">
        <f t="shared" ref="X24:X34" si="18">+P24-T24</f>
        <v>15029.991475769217</v>
      </c>
      <c r="Y24" s="4"/>
      <c r="Z24" s="35">
        <f t="shared" ref="Z24:Z34" si="19">IF(T24=0,0,X24/T24)</f>
        <v>0.29643826010654184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2487.48</v>
      </c>
      <c r="E25" s="1"/>
      <c r="F25" s="5">
        <f t="shared" si="12"/>
        <v>3.7063459709199616E-2</v>
      </c>
      <c r="G25" s="1"/>
      <c r="H25" s="1">
        <f>SUM(OSRRefH22_0x_0)</f>
        <v>1804.8044625</v>
      </c>
      <c r="I25" s="1"/>
      <c r="J25" s="5">
        <f t="shared" si="13"/>
        <v>2.5593891721145255E-2</v>
      </c>
      <c r="K25" s="1"/>
      <c r="L25" s="1">
        <f t="shared" si="14"/>
        <v>682.67553750000002</v>
      </c>
      <c r="M25" s="1"/>
      <c r="N25" s="5">
        <f t="shared" si="15"/>
        <v>0.37825457088817455</v>
      </c>
      <c r="O25" s="13"/>
      <c r="P25" s="1">
        <f>SUM(OSRRefP22_0x_0)</f>
        <v>8520.02</v>
      </c>
      <c r="Q25" s="1"/>
      <c r="R25" s="5">
        <f t="shared" si="16"/>
        <v>6.0549473814226269E-2</v>
      </c>
      <c r="S25" s="1"/>
      <c r="T25" s="1">
        <f>SUM(OSRRefT22_0x_0)</f>
        <v>6200.6227549999994</v>
      </c>
      <c r="U25" s="1"/>
      <c r="V25" s="5">
        <f t="shared" si="17"/>
        <v>4.208634133346003E-2</v>
      </c>
      <c r="W25" s="1"/>
      <c r="X25" s="1">
        <f t="shared" si="18"/>
        <v>2319.397245000001</v>
      </c>
      <c r="Y25" s="1"/>
      <c r="Z25" s="5">
        <f t="shared" si="19"/>
        <v>0.37405875774811609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779.56</v>
      </c>
      <c r="E26" s="2"/>
      <c r="F26" s="7">
        <f t="shared" si="12"/>
        <v>1.1615446416012854E-2</v>
      </c>
      <c r="G26" s="2"/>
      <c r="H26" s="6">
        <v>189.18363173076901</v>
      </c>
      <c r="I26" s="2"/>
      <c r="J26" s="7">
        <f t="shared" si="13"/>
        <v>2.6828088507844777E-3</v>
      </c>
      <c r="K26" s="2"/>
      <c r="L26" s="6">
        <f t="shared" si="14"/>
        <v>590.37636826923097</v>
      </c>
      <c r="M26" s="2"/>
      <c r="N26" s="7">
        <f t="shared" si="15"/>
        <v>3.1206524733038603</v>
      </c>
      <c r="O26" s="11"/>
      <c r="P26" s="6">
        <v>1855.84</v>
      </c>
      <c r="Q26" s="2"/>
      <c r="R26" s="7">
        <f t="shared" si="16"/>
        <v>1.31889520779756E-2</v>
      </c>
      <c r="S26" s="2"/>
      <c r="T26" s="6">
        <v>817.66712423076808</v>
      </c>
      <c r="U26" s="2"/>
      <c r="V26" s="7">
        <f t="shared" si="17"/>
        <v>5.5498647550805197E-3</v>
      </c>
      <c r="W26" s="2"/>
      <c r="X26" s="6">
        <f t="shared" si="18"/>
        <v>1038.1728757692317</v>
      </c>
      <c r="Y26" s="2"/>
      <c r="Z26" s="7">
        <f t="shared" si="19"/>
        <v>1.2696766752679551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24.18</v>
      </c>
      <c r="E27" s="2"/>
      <c r="F27" s="7">
        <f t="shared" si="12"/>
        <v>3.6028207493867155E-4</v>
      </c>
      <c r="G27" s="2"/>
      <c r="H27" s="6">
        <v>244.15986538461502</v>
      </c>
      <c r="I27" s="2"/>
      <c r="J27" s="7">
        <f t="shared" si="13"/>
        <v>3.4624255907740689E-3</v>
      </c>
      <c r="K27" s="2"/>
      <c r="L27" s="6">
        <f t="shared" si="14"/>
        <v>-219.97986538461501</v>
      </c>
      <c r="M27" s="2"/>
      <c r="N27" s="7">
        <f t="shared" si="15"/>
        <v>-0.90096652469106564</v>
      </c>
      <c r="O27" s="11"/>
      <c r="P27" s="6">
        <v>504.03</v>
      </c>
      <c r="Q27" s="2"/>
      <c r="R27" s="7">
        <f t="shared" si="16"/>
        <v>3.5820046533440609E-3</v>
      </c>
      <c r="S27" s="2"/>
      <c r="T27" s="6">
        <v>617.73311538461473</v>
      </c>
      <c r="U27" s="2"/>
      <c r="V27" s="7">
        <f t="shared" si="17"/>
        <v>4.1928251039130577E-3</v>
      </c>
      <c r="W27" s="2"/>
      <c r="X27" s="6">
        <f t="shared" si="18"/>
        <v>-113.70311538461476</v>
      </c>
      <c r="Y27" s="2"/>
      <c r="Z27" s="7">
        <f t="shared" si="19"/>
        <v>-0.18406511251031218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965.94</v>
      </c>
      <c r="E28" s="2"/>
      <c r="F28" s="7">
        <f t="shared" si="12"/>
        <v>1.4392508993641872E-2</v>
      </c>
      <c r="G28" s="2"/>
      <c r="H28" s="6">
        <v>690.5</v>
      </c>
      <c r="I28" s="2"/>
      <c r="J28" s="7">
        <f t="shared" si="13"/>
        <v>9.7919650580711032E-3</v>
      </c>
      <c r="K28" s="2"/>
      <c r="L28" s="6">
        <f t="shared" si="14"/>
        <v>275.44000000000005</v>
      </c>
      <c r="M28" s="2"/>
      <c r="N28" s="7">
        <f t="shared" si="15"/>
        <v>0.39889934829833462</v>
      </c>
      <c r="O28" s="11"/>
      <c r="P28" s="6">
        <v>3863.76</v>
      </c>
      <c r="Q28" s="2"/>
      <c r="R28" s="7">
        <f t="shared" si="16"/>
        <v>2.7458695512974723E-2</v>
      </c>
      <c r="S28" s="2"/>
      <c r="T28" s="6">
        <v>2762</v>
      </c>
      <c r="U28" s="2"/>
      <c r="V28" s="7">
        <f t="shared" si="17"/>
        <v>1.8746903231499142E-2</v>
      </c>
      <c r="W28" s="2"/>
      <c r="X28" s="6">
        <f t="shared" si="18"/>
        <v>1101.7600000000002</v>
      </c>
      <c r="Y28" s="2"/>
      <c r="Z28" s="7">
        <f t="shared" si="19"/>
        <v>0.39889934829833462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30.89</v>
      </c>
      <c r="E29" s="2"/>
      <c r="F29" s="7">
        <f t="shared" si="12"/>
        <v>4.6026109573430791E-4</v>
      </c>
      <c r="G29" s="2"/>
      <c r="H29" s="6">
        <v>33.411349999999999</v>
      </c>
      <c r="I29" s="2"/>
      <c r="J29" s="7">
        <f t="shared" si="13"/>
        <v>4.7380560715855747E-4</v>
      </c>
      <c r="K29" s="2"/>
      <c r="L29" s="6">
        <f t="shared" si="14"/>
        <v>-2.5213499999999982</v>
      </c>
      <c r="M29" s="2"/>
      <c r="N29" s="7">
        <f t="shared" si="15"/>
        <v>-7.5463876796358076E-2</v>
      </c>
      <c r="O29" s="11"/>
      <c r="P29" s="6">
        <v>84.63</v>
      </c>
      <c r="Q29" s="2"/>
      <c r="R29" s="7">
        <f t="shared" si="16"/>
        <v>6.0144248122633145E-4</v>
      </c>
      <c r="S29" s="2"/>
      <c r="T29" s="6">
        <v>84.531899999999993</v>
      </c>
      <c r="U29" s="2"/>
      <c r="V29" s="7">
        <f t="shared" si="17"/>
        <v>5.7375501421968219E-4</v>
      </c>
      <c r="W29" s="2"/>
      <c r="X29" s="6">
        <f t="shared" si="18"/>
        <v>9.8100000000002296E-2</v>
      </c>
      <c r="Y29" s="2"/>
      <c r="Z29" s="7">
        <f t="shared" si="19"/>
        <v>1.1605086363846346E-3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268.22000000000003</v>
      </c>
      <c r="E30" s="2"/>
      <c r="F30" s="7">
        <f t="shared" si="12"/>
        <v>3.9964788312675968E-3</v>
      </c>
      <c r="G30" s="2"/>
      <c r="H30" s="6">
        <v>212.59365384615401</v>
      </c>
      <c r="I30" s="2"/>
      <c r="J30" s="7">
        <f t="shared" si="13"/>
        <v>3.0147858508750231E-3</v>
      </c>
      <c r="K30" s="2"/>
      <c r="L30" s="6">
        <f t="shared" si="14"/>
        <v>55.626346153846015</v>
      </c>
      <c r="M30" s="2"/>
      <c r="N30" s="7">
        <f t="shared" si="15"/>
        <v>0.26165572277195392</v>
      </c>
      <c r="O30" s="11"/>
      <c r="P30" s="6">
        <v>670.55</v>
      </c>
      <c r="Q30" s="2"/>
      <c r="R30" s="7">
        <f t="shared" si="16"/>
        <v>4.7654171781438799E-3</v>
      </c>
      <c r="S30" s="2"/>
      <c r="T30" s="6">
        <v>765.33715384615402</v>
      </c>
      <c r="U30" s="2"/>
      <c r="V30" s="7">
        <f t="shared" si="17"/>
        <v>5.1946783354905211E-3</v>
      </c>
      <c r="W30" s="2"/>
      <c r="X30" s="6">
        <f t="shared" si="18"/>
        <v>-94.787153846154069</v>
      </c>
      <c r="Y30" s="2"/>
      <c r="Z30" s="7">
        <f t="shared" si="19"/>
        <v>-0.1238501925194761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110.88</v>
      </c>
      <c r="E32" s="2"/>
      <c r="F32" s="7">
        <f t="shared" si="12"/>
        <v>1.6521123436393675E-3</v>
      </c>
      <c r="G32" s="2"/>
      <c r="H32" s="6">
        <v>74.160576923076903</v>
      </c>
      <c r="I32" s="2"/>
      <c r="J32" s="7">
        <f t="shared" si="13"/>
        <v>1.0516694828633791E-3</v>
      </c>
      <c r="K32" s="2"/>
      <c r="L32" s="6">
        <f t="shared" si="14"/>
        <v>36.719423076923093</v>
      </c>
      <c r="M32" s="2"/>
      <c r="N32" s="7">
        <f t="shared" si="15"/>
        <v>0.49513399976661904</v>
      </c>
      <c r="O32" s="11"/>
      <c r="P32" s="6">
        <v>406.56</v>
      </c>
      <c r="Q32" s="2"/>
      <c r="R32" s="7">
        <f t="shared" si="16"/>
        <v>2.8893117708540393E-3</v>
      </c>
      <c r="S32" s="2"/>
      <c r="T32" s="6">
        <v>266.9780769230768</v>
      </c>
      <c r="U32" s="2"/>
      <c r="V32" s="7">
        <f t="shared" si="17"/>
        <v>1.812097093775762E-3</v>
      </c>
      <c r="W32" s="2"/>
      <c r="X32" s="6">
        <f t="shared" si="18"/>
        <v>139.5819230769232</v>
      </c>
      <c r="Y32" s="2"/>
      <c r="Z32" s="7">
        <f t="shared" si="19"/>
        <v>0.52282166642896422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132.84</v>
      </c>
      <c r="E33" s="2"/>
      <c r="F33" s="7">
        <f t="shared" si="12"/>
        <v>1.9793164116978135E-3</v>
      </c>
      <c r="G33" s="2"/>
      <c r="H33" s="6">
        <v>360.79538461538499</v>
      </c>
      <c r="I33" s="2"/>
      <c r="J33" s="7">
        <f t="shared" si="13"/>
        <v>5.1164312806186449E-3</v>
      </c>
      <c r="K33" s="2"/>
      <c r="L33" s="6">
        <f t="shared" si="14"/>
        <v>-227.95538461538499</v>
      </c>
      <c r="M33" s="2"/>
      <c r="N33" s="7">
        <f t="shared" si="15"/>
        <v>-0.63181347194446491</v>
      </c>
      <c r="O33" s="11"/>
      <c r="P33" s="6">
        <v>487.08</v>
      </c>
      <c r="Q33" s="2"/>
      <c r="R33" s="7">
        <f t="shared" si="16"/>
        <v>3.4615455956011052E-3</v>
      </c>
      <c r="S33" s="2"/>
      <c r="T33" s="6">
        <v>886.375384615386</v>
      </c>
      <c r="U33" s="2"/>
      <c r="V33" s="7">
        <f t="shared" si="17"/>
        <v>6.0162177994813448E-3</v>
      </c>
      <c r="W33" s="2"/>
      <c r="X33" s="6">
        <f t="shared" si="18"/>
        <v>-399.29538461538601</v>
      </c>
      <c r="Y33" s="2"/>
      <c r="Z33" s="7">
        <f t="shared" si="19"/>
        <v>-0.45048112971757148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174.97</v>
      </c>
      <c r="E34" s="2"/>
      <c r="F34" s="7">
        <f t="shared" si="12"/>
        <v>2.6070535422671368E-3</v>
      </c>
      <c r="G34" s="2"/>
      <c r="H34" s="6"/>
      <c r="I34" s="2"/>
      <c r="J34" s="7">
        <f t="shared" si="13"/>
        <v>0</v>
      </c>
      <c r="K34" s="2"/>
      <c r="L34" s="6">
        <f t="shared" si="14"/>
        <v>174.97</v>
      </c>
      <c r="M34" s="2"/>
      <c r="N34" s="7">
        <f t="shared" si="15"/>
        <v>0</v>
      </c>
      <c r="O34" s="11"/>
      <c r="P34" s="6">
        <v>647.57000000000005</v>
      </c>
      <c r="Q34" s="2"/>
      <c r="R34" s="7">
        <f t="shared" si="16"/>
        <v>4.602104544106529E-3</v>
      </c>
      <c r="S34" s="2"/>
      <c r="T34" s="6"/>
      <c r="U34" s="2"/>
      <c r="V34" s="7">
        <f t="shared" si="17"/>
        <v>0</v>
      </c>
      <c r="W34" s="2"/>
      <c r="X34" s="6">
        <f t="shared" si="18"/>
        <v>647.57000000000005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14084.86</v>
      </c>
      <c r="E35" s="1"/>
      <c r="F35" s="5">
        <f t="shared" ref="F35:F45" si="20">IF(D$12=0,0,D35/D$12)</f>
        <v>0.2098644576518072</v>
      </c>
      <c r="G35" s="1"/>
      <c r="H35" s="1">
        <f>SUM(OSRRefH22_1x_0)</f>
        <v>12726.91826923077</v>
      </c>
      <c r="I35" s="1"/>
      <c r="J35" s="5">
        <f t="shared" ref="J35:J45" si="21">IF(H$12=0,0,H35/H$12)</f>
        <v>0.18048014335877546</v>
      </c>
      <c r="K35" s="1"/>
      <c r="L35" s="1">
        <f t="shared" ref="L35:L45" si="22">+D35-H35</f>
        <v>1357.9417307692311</v>
      </c>
      <c r="M35" s="1"/>
      <c r="N35" s="5">
        <f t="shared" ref="N35:N45" si="23">IF(H35=0,0,L35/H35)</f>
        <v>0.1066983932828624</v>
      </c>
      <c r="O35" s="13"/>
      <c r="P35" s="1">
        <f>SUM(OSRRefP22_1x_0)</f>
        <v>36190.560000000005</v>
      </c>
      <c r="Q35" s="1"/>
      <c r="R35" s="5">
        <f t="shared" ref="R35:R45" si="24">IF(P$12=0,0,P35/P$12)</f>
        <v>0.25719650482536249</v>
      </c>
      <c r="S35" s="1"/>
      <c r="T35" s="1">
        <f>SUM(OSRRefT22_1x_0)</f>
        <v>32067.305769230778</v>
      </c>
      <c r="U35" s="1"/>
      <c r="V35" s="5">
        <f t="shared" ref="V35:V45" si="25">IF(T$12=0,0,T35/T$12)</f>
        <v>0.21765484364614898</v>
      </c>
      <c r="W35" s="1"/>
      <c r="X35" s="1">
        <f t="shared" ref="X35:X45" si="26">+P35-T35</f>
        <v>4123.2542307692274</v>
      </c>
      <c r="Y35" s="1"/>
      <c r="Z35" s="5">
        <f t="shared" ref="Z35:Z45" si="27">IF(T35=0,0,X35/T35)</f>
        <v>0.12858124909032964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2348.41826923077</v>
      </c>
      <c r="I36" s="2"/>
      <c r="J36" s="7">
        <f t="shared" si="21"/>
        <v>3.330286695734036E-2</v>
      </c>
      <c r="K36" s="2"/>
      <c r="L36" s="6">
        <f t="shared" si="22"/>
        <v>-2348.41826923077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8454.3057692307793</v>
      </c>
      <c r="U36" s="2"/>
      <c r="V36" s="7">
        <f t="shared" si="25"/>
        <v>5.7383074636232559E-2</v>
      </c>
      <c r="W36" s="2"/>
      <c r="X36" s="6">
        <f t="shared" si="26"/>
        <v>-8454.3057692307793</v>
      </c>
      <c r="Y36" s="2"/>
      <c r="Z36" s="7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2280</v>
      </c>
      <c r="E37" s="2"/>
      <c r="F37" s="7">
        <f t="shared" si="20"/>
        <v>3.3972007066177472E-2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2280</v>
      </c>
      <c r="M37" s="2"/>
      <c r="N37" s="7">
        <f t="shared" si="23"/>
        <v>0</v>
      </c>
      <c r="O37" s="11"/>
      <c r="P37" s="6">
        <v>8136</v>
      </c>
      <c r="Q37" s="2"/>
      <c r="R37" s="7">
        <f t="shared" si="24"/>
        <v>5.7820347716618613E-2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8136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3815.79</v>
      </c>
      <c r="E40" s="2"/>
      <c r="F40" s="7">
        <f t="shared" si="20"/>
        <v>5.6855282825898829E-2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3815.79</v>
      </c>
      <c r="M40" s="2"/>
      <c r="N40" s="7">
        <f t="shared" si="23"/>
        <v>0</v>
      </c>
      <c r="O40" s="11"/>
      <c r="P40" s="6">
        <v>10259.870000000001</v>
      </c>
      <c r="Q40" s="2"/>
      <c r="R40" s="7">
        <f t="shared" si="24"/>
        <v>7.2914116387328393E-2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10259.870000000001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173.63</v>
      </c>
      <c r="Q41" s="2"/>
      <c r="R41" s="7">
        <f t="shared" si="24"/>
        <v>1.2339413684902274E-3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173.63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7932.07</v>
      </c>
      <c r="E42" s="2"/>
      <c r="F42" s="7">
        <f t="shared" si="20"/>
        <v>0.11818786758307645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7932.07</v>
      </c>
      <c r="M42" s="2"/>
      <c r="N42" s="7">
        <f t="shared" si="23"/>
        <v>0</v>
      </c>
      <c r="O42" s="11"/>
      <c r="P42" s="6">
        <v>17564.060000000001</v>
      </c>
      <c r="Q42" s="2"/>
      <c r="R42" s="7">
        <f t="shared" si="24"/>
        <v>0.12482301579591353</v>
      </c>
      <c r="S42" s="2"/>
      <c r="T42" s="6">
        <v>1785</v>
      </c>
      <c r="U42" s="2"/>
      <c r="V42" s="7">
        <f t="shared" si="25"/>
        <v>1.2115576491030402E-2</v>
      </c>
      <c r="W42" s="2"/>
      <c r="X42" s="6">
        <f t="shared" si="26"/>
        <v>15779.060000000001</v>
      </c>
      <c r="Y42" s="2"/>
      <c r="Z42" s="7">
        <f t="shared" si="27"/>
        <v>8.8398095238095244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57</v>
      </c>
      <c r="E43" s="2"/>
      <c r="F43" s="7">
        <f t="shared" si="20"/>
        <v>8.4930017665443673E-4</v>
      </c>
      <c r="G43" s="2"/>
      <c r="H43" s="6">
        <v>10378.5</v>
      </c>
      <c r="I43" s="2"/>
      <c r="J43" s="7">
        <f t="shared" si="21"/>
        <v>0.1471772764014351</v>
      </c>
      <c r="K43" s="2"/>
      <c r="L43" s="6">
        <f t="shared" si="22"/>
        <v>-10321.5</v>
      </c>
      <c r="M43" s="2"/>
      <c r="N43" s="7">
        <f t="shared" si="23"/>
        <v>-0.99450787686081799</v>
      </c>
      <c r="O43" s="11"/>
      <c r="P43" s="6">
        <v>57</v>
      </c>
      <c r="Q43" s="2"/>
      <c r="R43" s="7">
        <f t="shared" si="24"/>
        <v>4.0508355701170855E-4</v>
      </c>
      <c r="S43" s="2"/>
      <c r="T43" s="6">
        <v>21828</v>
      </c>
      <c r="U43" s="2"/>
      <c r="V43" s="7">
        <f t="shared" si="25"/>
        <v>0.14815619251888604</v>
      </c>
      <c r="W43" s="2"/>
      <c r="X43" s="6">
        <f t="shared" si="26"/>
        <v>-21771</v>
      </c>
      <c r="Y43" s="2"/>
      <c r="Z43" s="7">
        <f t="shared" si="27"/>
        <v>-0.99738867509620666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21</v>
      </c>
      <c r="E46" s="1"/>
      <c r="F46" s="5">
        <f t="shared" ref="F46:F54" si="28">IF(D$12=0,0,D46/D$12)</f>
        <v>3.1290006508321352E-4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21</v>
      </c>
      <c r="M46" s="1"/>
      <c r="N46" s="5">
        <f t="shared" ref="N46:N54" si="31">IF(H46=0,0,L46/H46)</f>
        <v>0</v>
      </c>
      <c r="O46" s="13"/>
      <c r="P46" s="1">
        <f>SUM(OSRRefP22_2x_0)</f>
        <v>341.44</v>
      </c>
      <c r="Q46" s="1"/>
      <c r="R46" s="5">
        <f t="shared" ref="R46:R54" si="32">IF(P$12=0,0,P46/P$12)</f>
        <v>2.4265215737908383E-3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341.44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21</v>
      </c>
      <c r="E47" s="2"/>
      <c r="F47" s="7">
        <f t="shared" si="28"/>
        <v>3.1290006508321352E-4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21</v>
      </c>
      <c r="M47" s="2"/>
      <c r="N47" s="7">
        <f t="shared" si="31"/>
        <v>0</v>
      </c>
      <c r="O47" s="11"/>
      <c r="P47" s="6">
        <v>341.44</v>
      </c>
      <c r="Q47" s="2"/>
      <c r="R47" s="7">
        <f t="shared" si="32"/>
        <v>2.4265215737908383E-3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341.44</v>
      </c>
      <c r="Y47" s="2"/>
      <c r="Z47" s="7">
        <f t="shared" si="35"/>
        <v>0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11.81</v>
      </c>
      <c r="E48" s="1"/>
      <c r="F48" s="5">
        <f t="shared" si="28"/>
        <v>1.7596903660155961E-4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11.81</v>
      </c>
      <c r="M48" s="1"/>
      <c r="N48" s="5">
        <f t="shared" si="31"/>
        <v>0</v>
      </c>
      <c r="O48" s="13"/>
      <c r="P48" s="1">
        <f>SUM(OSRRefP22_3x_0)</f>
        <v>8.61</v>
      </c>
      <c r="Q48" s="1"/>
      <c r="R48" s="5">
        <f t="shared" si="32"/>
        <v>6.1188937295979137E-5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8.61</v>
      </c>
      <c r="Y48" s="1"/>
      <c r="Z48" s="5">
        <f t="shared" si="35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11.81</v>
      </c>
      <c r="E49" s="2"/>
      <c r="F49" s="7">
        <f t="shared" si="28"/>
        <v>1.7596903660155961E-4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11.81</v>
      </c>
      <c r="M49" s="2"/>
      <c r="N49" s="7">
        <f t="shared" si="31"/>
        <v>0</v>
      </c>
      <c r="O49" s="11"/>
      <c r="P49" s="6">
        <v>8.61</v>
      </c>
      <c r="Q49" s="2"/>
      <c r="R49" s="7">
        <f t="shared" si="32"/>
        <v>6.1188937295979137E-5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8.61</v>
      </c>
      <c r="Y49" s="2"/>
      <c r="Z49" s="7">
        <f t="shared" si="35"/>
        <v>0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2202.62</v>
      </c>
      <c r="E50" s="1"/>
      <c r="F50" s="5">
        <f t="shared" si="28"/>
        <v>3.2819044826361318E-2</v>
      </c>
      <c r="G50" s="1"/>
      <c r="H50" s="1">
        <f>SUM(OSRRefH22_4x_0)</f>
        <v>2235</v>
      </c>
      <c r="I50" s="1"/>
      <c r="J50" s="5">
        <f t="shared" si="29"/>
        <v>3.1694485017797126E-2</v>
      </c>
      <c r="K50" s="1"/>
      <c r="L50" s="1">
        <f t="shared" si="30"/>
        <v>-32.380000000000109</v>
      </c>
      <c r="M50" s="1"/>
      <c r="N50" s="5">
        <f t="shared" si="31"/>
        <v>-1.4487695749440765E-2</v>
      </c>
      <c r="O50" s="13"/>
      <c r="P50" s="1">
        <f>SUM(OSRRefP22_4x_0)</f>
        <v>4615.95</v>
      </c>
      <c r="Q50" s="1"/>
      <c r="R50" s="5">
        <f t="shared" si="32"/>
        <v>3.2804306052424494E-2</v>
      </c>
      <c r="S50" s="1"/>
      <c r="T50" s="1">
        <f>SUM(OSRRefT22_4x_0)</f>
        <v>4669</v>
      </c>
      <c r="U50" s="1"/>
      <c r="V50" s="5">
        <f t="shared" si="33"/>
        <v>3.1690547135361874E-2</v>
      </c>
      <c r="W50" s="1"/>
      <c r="X50" s="1">
        <f t="shared" si="34"/>
        <v>-53.050000000000182</v>
      </c>
      <c r="Y50" s="1"/>
      <c r="Z50" s="5">
        <f t="shared" si="35"/>
        <v>-1.1362176054829767E-2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2202.62</v>
      </c>
      <c r="E51" s="2"/>
      <c r="F51" s="7">
        <f t="shared" si="28"/>
        <v>3.2819044826361318E-2</v>
      </c>
      <c r="G51" s="2"/>
      <c r="H51" s="6">
        <v>2235</v>
      </c>
      <c r="I51" s="2"/>
      <c r="J51" s="7">
        <f t="shared" si="29"/>
        <v>3.1694485017797126E-2</v>
      </c>
      <c r="K51" s="2"/>
      <c r="L51" s="6">
        <f t="shared" si="30"/>
        <v>-32.380000000000109</v>
      </c>
      <c r="M51" s="2"/>
      <c r="N51" s="7">
        <f t="shared" si="31"/>
        <v>-1.4487695749440765E-2</v>
      </c>
      <c r="O51" s="11"/>
      <c r="P51" s="6">
        <v>4615.95</v>
      </c>
      <c r="Q51" s="2"/>
      <c r="R51" s="7">
        <f t="shared" si="32"/>
        <v>3.2804306052424494E-2</v>
      </c>
      <c r="S51" s="2"/>
      <c r="T51" s="6">
        <v>4669</v>
      </c>
      <c r="U51" s="2"/>
      <c r="V51" s="7">
        <f t="shared" si="33"/>
        <v>3.1690547135361874E-2</v>
      </c>
      <c r="W51" s="2"/>
      <c r="X51" s="6">
        <f t="shared" si="34"/>
        <v>-53.050000000000182</v>
      </c>
      <c r="Y51" s="2"/>
      <c r="Z51" s="7">
        <f t="shared" si="35"/>
        <v>-1.1362176054829767E-2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2.3194834824525642E-3</v>
      </c>
      <c r="G52" s="1"/>
      <c r="H52" s="1">
        <f>SUM(OSRRefH22_5x_0)</f>
        <v>233</v>
      </c>
      <c r="I52" s="1"/>
      <c r="J52" s="5">
        <f t="shared" si="29"/>
        <v>3.3041677893273962E-3</v>
      </c>
      <c r="K52" s="1"/>
      <c r="L52" s="1">
        <f t="shared" si="30"/>
        <v>-77.330000000000013</v>
      </c>
      <c r="M52" s="1"/>
      <c r="N52" s="5">
        <f t="shared" si="31"/>
        <v>-0.33188841201716746</v>
      </c>
      <c r="O52" s="13"/>
      <c r="P52" s="1">
        <f>SUM(OSRRefP22_5x_0)</f>
        <v>622.67999999999995</v>
      </c>
      <c r="Q52" s="1"/>
      <c r="R52" s="5">
        <f t="shared" si="32"/>
        <v>4.4252180575447483E-3</v>
      </c>
      <c r="S52" s="1"/>
      <c r="T52" s="1">
        <f>SUM(OSRRefT22_5x_0)</f>
        <v>233</v>
      </c>
      <c r="U52" s="1"/>
      <c r="V52" s="5">
        <f t="shared" si="33"/>
        <v>1.5814730097535481E-3</v>
      </c>
      <c r="W52" s="1"/>
      <c r="X52" s="1">
        <f t="shared" si="34"/>
        <v>389.67999999999995</v>
      </c>
      <c r="Y52" s="1"/>
      <c r="Z52" s="5">
        <f t="shared" si="35"/>
        <v>1.6724463519313302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155.66999999999999</v>
      </c>
      <c r="E53" s="2"/>
      <c r="F53" s="7">
        <f t="shared" si="28"/>
        <v>2.3194834824525642E-3</v>
      </c>
      <c r="G53" s="2"/>
      <c r="H53" s="6"/>
      <c r="I53" s="2"/>
      <c r="J53" s="7">
        <f t="shared" si="29"/>
        <v>0</v>
      </c>
      <c r="K53" s="2"/>
      <c r="L53" s="6">
        <f t="shared" si="30"/>
        <v>155.66999999999999</v>
      </c>
      <c r="M53" s="2"/>
      <c r="N53" s="7">
        <f t="shared" si="31"/>
        <v>0</v>
      </c>
      <c r="O53" s="11"/>
      <c r="P53" s="6">
        <v>622.67999999999995</v>
      </c>
      <c r="Q53" s="2"/>
      <c r="R53" s="7">
        <f t="shared" si="32"/>
        <v>4.4252180575447483E-3</v>
      </c>
      <c r="S53" s="2"/>
      <c r="T53" s="6"/>
      <c r="U53" s="2"/>
      <c r="V53" s="7">
        <f t="shared" si="33"/>
        <v>0</v>
      </c>
      <c r="W53" s="2"/>
      <c r="X53" s="6">
        <f t="shared" si="34"/>
        <v>622.67999999999995</v>
      </c>
      <c r="Y53" s="2"/>
      <c r="Z53" s="7">
        <f t="shared" si="35"/>
        <v>0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233</v>
      </c>
      <c r="I54" s="2"/>
      <c r="J54" s="7">
        <f t="shared" si="29"/>
        <v>3.3041677893273962E-3</v>
      </c>
      <c r="K54" s="2"/>
      <c r="L54" s="6">
        <f t="shared" si="30"/>
        <v>-233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233</v>
      </c>
      <c r="U54" s="2"/>
      <c r="V54" s="7">
        <f t="shared" si="33"/>
        <v>1.5814730097535481E-3</v>
      </c>
      <c r="W54" s="2"/>
      <c r="X54" s="6">
        <f t="shared" si="34"/>
        <v>-233</v>
      </c>
      <c r="Y54" s="2"/>
      <c r="Z54" s="7">
        <f t="shared" si="35"/>
        <v>-1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1" si="36">IF(D$12=0,0,D55/D$12)</f>
        <v>0</v>
      </c>
      <c r="G55" s="1"/>
      <c r="H55" s="1">
        <f>SUM(OSRRefH22_6x_0)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0</v>
      </c>
      <c r="M55" s="1"/>
      <c r="N55" s="5">
        <f t="shared" ref="N55:N61" si="39">IF(H55=0,0,L55/H55)</f>
        <v>0</v>
      </c>
      <c r="O55" s="13"/>
      <c r="P55" s="1">
        <f>SUM(OSRRefP22_6x_0)</f>
        <v>0</v>
      </c>
      <c r="Q55" s="1"/>
      <c r="R55" s="5">
        <f t="shared" ref="R55:R61" si="40">IF(P$12=0,0,P55/P$12)</f>
        <v>0</v>
      </c>
      <c r="S55" s="1"/>
      <c r="T55" s="1">
        <f>SUM(OSRRefT22_6x_0)</f>
        <v>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0</v>
      </c>
      <c r="Y55" s="1"/>
      <c r="Z55" s="5">
        <f t="shared" ref="Z55:Z61" si="43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6" customFormat="1" outlineLevel="1" collapsed="1" x14ac:dyDescent="0.25">
      <c r="A57" s="25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18.25</v>
      </c>
      <c r="E57" s="1"/>
      <c r="F57" s="5">
        <f t="shared" si="36"/>
        <v>2.7192505656041175E-4</v>
      </c>
      <c r="G57" s="1"/>
      <c r="H57" s="1">
        <f>SUM(OSRRefH22_7x_0)</f>
        <v>768</v>
      </c>
      <c r="I57" s="1"/>
      <c r="J57" s="5">
        <f t="shared" si="37"/>
        <v>1.0890990824907468E-2</v>
      </c>
      <c r="K57" s="1"/>
      <c r="L57" s="1">
        <f t="shared" si="38"/>
        <v>-749.75</v>
      </c>
      <c r="M57" s="1"/>
      <c r="N57" s="5">
        <f t="shared" si="39"/>
        <v>-0.97623697916666663</v>
      </c>
      <c r="O57" s="13"/>
      <c r="P57" s="1">
        <f>SUM(OSRRefP22_7x_0)</f>
        <v>1496.09</v>
      </c>
      <c r="Q57" s="1"/>
      <c r="R57" s="5">
        <f t="shared" si="40"/>
        <v>1.0632306294906088E-2</v>
      </c>
      <c r="S57" s="1"/>
      <c r="T57" s="1">
        <f>SUM(OSRRefT22_7x_0)</f>
        <v>1605</v>
      </c>
      <c r="U57" s="1"/>
      <c r="V57" s="5">
        <f t="shared" si="41"/>
        <v>1.089383768521221E-2</v>
      </c>
      <c r="W57" s="1"/>
      <c r="X57" s="1">
        <f t="shared" si="42"/>
        <v>-108.91000000000008</v>
      </c>
      <c r="Y57" s="1"/>
      <c r="Z57" s="5">
        <f t="shared" si="43"/>
        <v>-6.7856697819314693E-2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>
        <v>18.25</v>
      </c>
      <c r="E58" s="2"/>
      <c r="F58" s="7">
        <f t="shared" si="36"/>
        <v>2.7192505656041175E-4</v>
      </c>
      <c r="G58" s="2"/>
      <c r="H58" s="6">
        <v>768</v>
      </c>
      <c r="I58" s="2"/>
      <c r="J58" s="7">
        <f t="shared" si="37"/>
        <v>1.0890990824907468E-2</v>
      </c>
      <c r="K58" s="2"/>
      <c r="L58" s="6">
        <f t="shared" si="38"/>
        <v>-749.75</v>
      </c>
      <c r="M58" s="2"/>
      <c r="N58" s="7">
        <f t="shared" si="39"/>
        <v>-0.97623697916666663</v>
      </c>
      <c r="O58" s="11"/>
      <c r="P58" s="6">
        <v>1496.09</v>
      </c>
      <c r="Q58" s="2"/>
      <c r="R58" s="7">
        <f t="shared" si="40"/>
        <v>1.0632306294906088E-2</v>
      </c>
      <c r="S58" s="2"/>
      <c r="T58" s="6">
        <v>1605</v>
      </c>
      <c r="U58" s="2"/>
      <c r="V58" s="7">
        <f t="shared" si="41"/>
        <v>1.089383768521221E-2</v>
      </c>
      <c r="W58" s="2"/>
      <c r="X58" s="6">
        <f t="shared" si="42"/>
        <v>-108.91000000000008</v>
      </c>
      <c r="Y58" s="2"/>
      <c r="Z58" s="7">
        <f t="shared" si="43"/>
        <v>-6.7856697819314693E-2</v>
      </c>
    </row>
    <row r="59" spans="1:26" s="26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461.03999999999996</v>
      </c>
      <c r="E59" s="1"/>
      <c r="F59" s="5">
        <f t="shared" si="36"/>
        <v>6.8694974288554646E-3</v>
      </c>
      <c r="G59" s="1"/>
      <c r="H59" s="1">
        <f>SUM(OSRRefH22_8x_0)</f>
        <v>768</v>
      </c>
      <c r="I59" s="1"/>
      <c r="J59" s="5">
        <f t="shared" si="37"/>
        <v>1.0890990824907468E-2</v>
      </c>
      <c r="K59" s="1"/>
      <c r="L59" s="1">
        <f t="shared" si="38"/>
        <v>-306.96000000000004</v>
      </c>
      <c r="M59" s="1"/>
      <c r="N59" s="5">
        <f t="shared" si="39"/>
        <v>-0.39968750000000003</v>
      </c>
      <c r="O59" s="13"/>
      <c r="P59" s="1">
        <f>SUM(OSRRefP22_8x_0)</f>
        <v>5754.7999999999993</v>
      </c>
      <c r="Q59" s="1"/>
      <c r="R59" s="5">
        <f t="shared" si="40"/>
        <v>4.0897804454227721E-2</v>
      </c>
      <c r="S59" s="1"/>
      <c r="T59" s="1">
        <f>SUM(OSRRefT22_8x_0)</f>
        <v>1605</v>
      </c>
      <c r="U59" s="1"/>
      <c r="V59" s="5">
        <f t="shared" si="41"/>
        <v>1.089383768521221E-2</v>
      </c>
      <c r="W59" s="1"/>
      <c r="X59" s="1">
        <f t="shared" si="42"/>
        <v>4149.7999999999993</v>
      </c>
      <c r="Y59" s="1"/>
      <c r="Z59" s="5">
        <f t="shared" si="43"/>
        <v>2.5855451713395636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>
        <v>45.65</v>
      </c>
      <c r="E60" s="2"/>
      <c r="F60" s="7">
        <f t="shared" si="36"/>
        <v>6.8018514147850939E-4</v>
      </c>
      <c r="G60" s="2"/>
      <c r="H60" s="6"/>
      <c r="I60" s="2"/>
      <c r="J60" s="7">
        <f t="shared" si="37"/>
        <v>0</v>
      </c>
      <c r="K60" s="2"/>
      <c r="L60" s="6">
        <f t="shared" si="38"/>
        <v>45.65</v>
      </c>
      <c r="M60" s="2"/>
      <c r="N60" s="7">
        <f t="shared" si="39"/>
        <v>0</v>
      </c>
      <c r="O60" s="11"/>
      <c r="P60" s="6">
        <v>45.65</v>
      </c>
      <c r="Q60" s="2"/>
      <c r="R60" s="7">
        <f t="shared" si="40"/>
        <v>3.2442218206288592E-4</v>
      </c>
      <c r="S60" s="2"/>
      <c r="T60" s="6"/>
      <c r="U60" s="2"/>
      <c r="V60" s="7">
        <f t="shared" si="41"/>
        <v>0</v>
      </c>
      <c r="W60" s="2"/>
      <c r="X60" s="6">
        <f t="shared" si="42"/>
        <v>45.65</v>
      </c>
      <c r="Y60" s="2"/>
      <c r="Z60" s="7">
        <f t="shared" si="43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415.39</v>
      </c>
      <c r="E61" s="2"/>
      <c r="F61" s="7">
        <f t="shared" si="36"/>
        <v>6.1893122873769553E-3</v>
      </c>
      <c r="G61" s="2"/>
      <c r="H61" s="6">
        <v>768</v>
      </c>
      <c r="I61" s="2"/>
      <c r="J61" s="7">
        <f t="shared" si="37"/>
        <v>1.0890990824907468E-2</v>
      </c>
      <c r="K61" s="2"/>
      <c r="L61" s="6">
        <f t="shared" si="38"/>
        <v>-352.61</v>
      </c>
      <c r="M61" s="2"/>
      <c r="N61" s="7">
        <f t="shared" si="39"/>
        <v>-0.4591276041666667</v>
      </c>
      <c r="O61" s="11"/>
      <c r="P61" s="6">
        <v>5709.15</v>
      </c>
      <c r="Q61" s="2"/>
      <c r="R61" s="7">
        <f t="shared" si="40"/>
        <v>4.0573382272164837E-2</v>
      </c>
      <c r="S61" s="2"/>
      <c r="T61" s="6">
        <v>1605</v>
      </c>
      <c r="U61" s="2"/>
      <c r="V61" s="7">
        <f t="shared" si="41"/>
        <v>1.089383768521221E-2</v>
      </c>
      <c r="W61" s="2"/>
      <c r="X61" s="6">
        <f t="shared" si="42"/>
        <v>4104.1499999999996</v>
      </c>
      <c r="Y61" s="2"/>
      <c r="Z61" s="7">
        <f t="shared" si="43"/>
        <v>2.5571028037383177</v>
      </c>
    </row>
    <row r="62" spans="1:26" s="26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354.86</v>
      </c>
      <c r="E62" s="1"/>
      <c r="F62" s="5">
        <f t="shared" ref="F62:F64" si="44">IF(D$12=0,0,D62/D$12)</f>
        <v>5.2874150997823405E-3</v>
      </c>
      <c r="G62" s="1"/>
      <c r="H62" s="1">
        <f>SUM(OSRRefH22_9x_0)</f>
        <v>628</v>
      </c>
      <c r="I62" s="1"/>
      <c r="J62" s="5">
        <f t="shared" ref="J62:J64" si="45">IF(H$12=0,0,H62/H$12)</f>
        <v>8.9056539557837121E-3</v>
      </c>
      <c r="K62" s="1"/>
      <c r="L62" s="1">
        <f t="shared" ref="L62:L64" si="46">+D62-H62</f>
        <v>-273.14</v>
      </c>
      <c r="M62" s="1"/>
      <c r="N62" s="5">
        <f t="shared" ref="N62:N64" si="47">IF(H62=0,0,L62/H62)</f>
        <v>-0.43493630573248404</v>
      </c>
      <c r="O62" s="13"/>
      <c r="P62" s="1">
        <f>SUM(OSRRefP22_9x_0)</f>
        <v>1720.44</v>
      </c>
      <c r="Q62" s="1"/>
      <c r="R62" s="5">
        <f t="shared" ref="R62:R64" si="48">IF(P$12=0,0,P62/P$12)</f>
        <v>1.2226700961846033E-2</v>
      </c>
      <c r="S62" s="1"/>
      <c r="T62" s="1">
        <f>SUM(OSRRefT22_9x_0)</f>
        <v>1312</v>
      </c>
      <c r="U62" s="1"/>
      <c r="V62" s="5">
        <f t="shared" ref="V62:V64" si="49">IF(T$12=0,0,T62/T$12)</f>
        <v>8.9051184068525968E-3</v>
      </c>
      <c r="W62" s="1"/>
      <c r="X62" s="1">
        <f t="shared" ref="X62:X64" si="50">+P62-T62</f>
        <v>408.44000000000005</v>
      </c>
      <c r="Y62" s="1"/>
      <c r="Z62" s="5">
        <f t="shared" ref="Z62:Z64" si="51">IF(T62=0,0,X62/T62)</f>
        <v>0.31131097560975612</v>
      </c>
    </row>
    <row r="63" spans="1:26" s="24" customFormat="1" hidden="1" outlineLevel="2" x14ac:dyDescent="0.2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327.93</v>
      </c>
      <c r="E63" s="2"/>
      <c r="F63" s="7">
        <f t="shared" si="44"/>
        <v>4.8861580163208672E-3</v>
      </c>
      <c r="G63" s="2"/>
      <c r="H63" s="6">
        <v>628</v>
      </c>
      <c r="I63" s="2"/>
      <c r="J63" s="7">
        <f t="shared" si="45"/>
        <v>8.9056539557837121E-3</v>
      </c>
      <c r="K63" s="2"/>
      <c r="L63" s="6">
        <f t="shared" si="46"/>
        <v>-300.07</v>
      </c>
      <c r="M63" s="2"/>
      <c r="N63" s="7">
        <f t="shared" si="47"/>
        <v>-0.4778184713375796</v>
      </c>
      <c r="O63" s="11"/>
      <c r="P63" s="6">
        <v>1639.65</v>
      </c>
      <c r="Q63" s="2"/>
      <c r="R63" s="7">
        <f t="shared" si="48"/>
        <v>1.1652548320249964E-2</v>
      </c>
      <c r="S63" s="2"/>
      <c r="T63" s="6">
        <v>1312</v>
      </c>
      <c r="U63" s="2"/>
      <c r="V63" s="7">
        <f t="shared" si="49"/>
        <v>8.9051184068525968E-3</v>
      </c>
      <c r="W63" s="2"/>
      <c r="X63" s="6">
        <f t="shared" si="50"/>
        <v>327.65000000000009</v>
      </c>
      <c r="Y63" s="2"/>
      <c r="Z63" s="7">
        <f t="shared" si="51"/>
        <v>0.24973323170731715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6">
        <v>26.93</v>
      </c>
      <c r="E64" s="2"/>
      <c r="F64" s="7">
        <f t="shared" si="44"/>
        <v>4.0125708346147333E-4</v>
      </c>
      <c r="G64" s="2"/>
      <c r="H64" s="6"/>
      <c r="I64" s="2"/>
      <c r="J64" s="7">
        <f t="shared" si="45"/>
        <v>0</v>
      </c>
      <c r="K64" s="2"/>
      <c r="L64" s="6">
        <f t="shared" si="46"/>
        <v>26.93</v>
      </c>
      <c r="M64" s="2"/>
      <c r="N64" s="7">
        <f t="shared" si="47"/>
        <v>0</v>
      </c>
      <c r="O64" s="11"/>
      <c r="P64" s="6">
        <v>80.790000000000006</v>
      </c>
      <c r="Q64" s="2"/>
      <c r="R64" s="7">
        <f t="shared" si="48"/>
        <v>5.7415264159606911E-4</v>
      </c>
      <c r="S64" s="2"/>
      <c r="T64" s="6"/>
      <c r="U64" s="2"/>
      <c r="V64" s="7">
        <f t="shared" si="49"/>
        <v>0</v>
      </c>
      <c r="W64" s="2"/>
      <c r="X64" s="6">
        <f t="shared" si="50"/>
        <v>80.790000000000006</v>
      </c>
      <c r="Y64" s="2"/>
      <c r="Z64" s="7">
        <f t="shared" si="51"/>
        <v>0</v>
      </c>
    </row>
    <row r="65" spans="1:26" s="26" customFormat="1" outlineLevel="1" collapsed="1" x14ac:dyDescent="0.25">
      <c r="A65" s="25"/>
      <c r="B65" s="13" t="str">
        <f>CONCATENATE("     ","Supplies                                          ")</f>
        <v xml:space="preserve">     Supplies                                          </v>
      </c>
      <c r="C65" s="13"/>
      <c r="D65" s="1">
        <f>SUM(OSRRefD22_10x_0)</f>
        <v>931.95999999999992</v>
      </c>
      <c r="E65" s="1"/>
      <c r="F65" s="5">
        <f t="shared" ref="F65:F68" si="52">IF(D$12=0,0,D65/D$12)</f>
        <v>1.3886206888331032E-2</v>
      </c>
      <c r="G65" s="1"/>
      <c r="H65" s="1">
        <f>SUM(OSRRefH22_10x_0)</f>
        <v>1058</v>
      </c>
      <c r="I65" s="1"/>
      <c r="J65" s="5">
        <f t="shared" ref="J65:J68" si="53">IF(H$12=0,0,H65/H$12)</f>
        <v>1.5003474339520966E-2</v>
      </c>
      <c r="K65" s="1"/>
      <c r="L65" s="1">
        <f t="shared" ref="L65:L68" si="54">+D65-H65</f>
        <v>-126.04000000000008</v>
      </c>
      <c r="M65" s="1"/>
      <c r="N65" s="5">
        <f t="shared" ref="N65:N68" si="55">IF(H65=0,0,L65/H65)</f>
        <v>-0.11913043478260876</v>
      </c>
      <c r="O65" s="13"/>
      <c r="P65" s="1">
        <f>SUM(OSRRefP22_10x_0)</f>
        <v>6097.29</v>
      </c>
      <c r="Q65" s="1"/>
      <c r="R65" s="5">
        <f t="shared" ref="R65:R68" si="56">IF(P$12=0,0,P65/P$12)</f>
        <v>4.3331788093542468E-2</v>
      </c>
      <c r="S65" s="1"/>
      <c r="T65" s="1">
        <f>SUM(OSRRefT22_10x_0)</f>
        <v>2210</v>
      </c>
      <c r="U65" s="1"/>
      <c r="V65" s="5">
        <f t="shared" ref="V65:V68" si="57">IF(T$12=0,0,T65/T$12)</f>
        <v>1.5000237560323353E-2</v>
      </c>
      <c r="W65" s="1"/>
      <c r="X65" s="1">
        <f t="shared" ref="X65:X68" si="58">+P65-T65</f>
        <v>3887.29</v>
      </c>
      <c r="Y65" s="1"/>
      <c r="Z65" s="5">
        <f t="shared" ref="Z65:Z68" si="59">IF(T65=0,0,X65/T65)</f>
        <v>1.7589547511312218</v>
      </c>
    </row>
    <row r="66" spans="1:26" s="24" customFormat="1" hidden="1" outlineLevel="2" x14ac:dyDescent="0.25">
      <c r="A66" s="27"/>
      <c r="B66" s="11" t="str">
        <f>CONCATENATE("          ", "6237", " - ", "JANITORIAL SUPPLIES")</f>
        <v xml:space="preserve">          6237 - JANITORIAL SUPPLIES</v>
      </c>
      <c r="C66" s="11"/>
      <c r="D66" s="6">
        <v>299.83</v>
      </c>
      <c r="E66" s="2"/>
      <c r="F66" s="7">
        <f t="shared" si="52"/>
        <v>4.4674679292333293E-3</v>
      </c>
      <c r="G66" s="2"/>
      <c r="H66" s="6"/>
      <c r="I66" s="2"/>
      <c r="J66" s="7">
        <f t="shared" si="53"/>
        <v>0</v>
      </c>
      <c r="K66" s="2"/>
      <c r="L66" s="6">
        <f t="shared" si="54"/>
        <v>299.83</v>
      </c>
      <c r="M66" s="2"/>
      <c r="N66" s="7">
        <f t="shared" si="55"/>
        <v>0</v>
      </c>
      <c r="O66" s="11"/>
      <c r="P66" s="6">
        <v>774.15</v>
      </c>
      <c r="Q66" s="2"/>
      <c r="R66" s="7">
        <f t="shared" si="56"/>
        <v>5.5016743098353369E-3</v>
      </c>
      <c r="S66" s="2"/>
      <c r="T66" s="6"/>
      <c r="U66" s="2"/>
      <c r="V66" s="7">
        <f t="shared" si="57"/>
        <v>0</v>
      </c>
      <c r="W66" s="2"/>
      <c r="X66" s="6">
        <f t="shared" si="58"/>
        <v>774.15</v>
      </c>
      <c r="Y66" s="2"/>
      <c r="Z66" s="7">
        <f t="shared" si="59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6">
        <v>376.98</v>
      </c>
      <c r="E67" s="2"/>
      <c r="F67" s="7">
        <f t="shared" si="52"/>
        <v>5.6170031683366595E-3</v>
      </c>
      <c r="G67" s="2"/>
      <c r="H67" s="6"/>
      <c r="I67" s="2"/>
      <c r="J67" s="7">
        <f t="shared" si="53"/>
        <v>0</v>
      </c>
      <c r="K67" s="2"/>
      <c r="L67" s="6">
        <f t="shared" si="54"/>
        <v>376.98</v>
      </c>
      <c r="M67" s="2"/>
      <c r="N67" s="7">
        <f t="shared" si="55"/>
        <v>0</v>
      </c>
      <c r="O67" s="11"/>
      <c r="P67" s="6">
        <v>675.31</v>
      </c>
      <c r="Q67" s="2"/>
      <c r="R67" s="7">
        <f t="shared" si="56"/>
        <v>4.7992452085188929E-3</v>
      </c>
      <c r="S67" s="2"/>
      <c r="T67" s="6"/>
      <c r="U67" s="2"/>
      <c r="V67" s="7">
        <f t="shared" si="57"/>
        <v>0</v>
      </c>
      <c r="W67" s="2"/>
      <c r="X67" s="6">
        <f t="shared" si="58"/>
        <v>675.31</v>
      </c>
      <c r="Y67" s="2"/>
      <c r="Z67" s="7">
        <f t="shared" si="59"/>
        <v>0</v>
      </c>
    </row>
    <row r="68" spans="1:26" s="24" customFormat="1" hidden="1" outlineLevel="2" x14ac:dyDescent="0.25">
      <c r="A68" s="27"/>
      <c r="B68" s="11" t="str">
        <f>CONCATENATE("          ", "6247", " - ", "STORE SUPPLIES")</f>
        <v xml:space="preserve">          6247 - STORE SUPPLIES</v>
      </c>
      <c r="C68" s="11"/>
      <c r="D68" s="6">
        <v>255.15</v>
      </c>
      <c r="E68" s="2"/>
      <c r="F68" s="7">
        <f t="shared" si="52"/>
        <v>3.8017357907610444E-3</v>
      </c>
      <c r="G68" s="2"/>
      <c r="H68" s="6">
        <v>1058</v>
      </c>
      <c r="I68" s="2"/>
      <c r="J68" s="7">
        <f t="shared" si="53"/>
        <v>1.5003474339520966E-2</v>
      </c>
      <c r="K68" s="2"/>
      <c r="L68" s="6">
        <f t="shared" si="54"/>
        <v>-802.85</v>
      </c>
      <c r="M68" s="2"/>
      <c r="N68" s="7">
        <f t="shared" si="55"/>
        <v>-0.75883742911153118</v>
      </c>
      <c r="O68" s="11"/>
      <c r="P68" s="6">
        <v>4647.83</v>
      </c>
      <c r="Q68" s="2"/>
      <c r="R68" s="7">
        <f t="shared" si="56"/>
        <v>3.3030868575188235E-2</v>
      </c>
      <c r="S68" s="2"/>
      <c r="T68" s="6">
        <v>2210</v>
      </c>
      <c r="U68" s="2"/>
      <c r="V68" s="7">
        <f t="shared" si="57"/>
        <v>1.5000237560323353E-2</v>
      </c>
      <c r="W68" s="2"/>
      <c r="X68" s="6">
        <f t="shared" si="58"/>
        <v>2437.83</v>
      </c>
      <c r="Y68" s="2"/>
      <c r="Z68" s="7">
        <f t="shared" si="59"/>
        <v>1.1030904977375566</v>
      </c>
    </row>
    <row r="69" spans="1:26" s="26" customFormat="1" outlineLevel="1" collapsed="1" x14ac:dyDescent="0.25">
      <c r="A69" s="25"/>
      <c r="B69" s="13" t="str">
        <f>CONCATENATE("     ","Telephone/Data Lines                              ")</f>
        <v xml:space="preserve">     Telephone/Data Lines                              </v>
      </c>
      <c r="C69" s="13"/>
      <c r="D69" s="1">
        <f>SUM(OSRRefD22_11x_0)</f>
        <v>91.01</v>
      </c>
      <c r="E69" s="1"/>
      <c r="F69" s="5">
        <f t="shared" ref="F69:F72" si="60">IF(D$12=0,0,D69/D$12)</f>
        <v>1.3560492820582507E-3</v>
      </c>
      <c r="G69" s="1"/>
      <c r="H69" s="1">
        <f>SUM(OSRRefH22_11x_0)</f>
        <v>75</v>
      </c>
      <c r="I69" s="1"/>
      <c r="J69" s="5">
        <f t="shared" ref="J69:J72" si="61">IF(H$12=0,0,H69/H$12)</f>
        <v>1.0635733227448701E-3</v>
      </c>
      <c r="K69" s="1"/>
      <c r="L69" s="1">
        <f t="shared" ref="L69:L72" si="62">+D69-H69</f>
        <v>16.010000000000005</v>
      </c>
      <c r="M69" s="1"/>
      <c r="N69" s="5">
        <f t="shared" ref="N69:N72" si="63">IF(H69=0,0,L69/H69)</f>
        <v>0.21346666666666672</v>
      </c>
      <c r="O69" s="13"/>
      <c r="P69" s="1">
        <f>SUM(OSRRefP22_11x_0)</f>
        <v>364.04</v>
      </c>
      <c r="Q69" s="1"/>
      <c r="R69" s="5">
        <f t="shared" ref="R69:R72" si="64">IF(P$12=0,0,P69/P$12)</f>
        <v>2.5871336507814454E-3</v>
      </c>
      <c r="S69" s="1"/>
      <c r="T69" s="1">
        <f>SUM(OSRRefT22_11x_0)</f>
        <v>300</v>
      </c>
      <c r="U69" s="1"/>
      <c r="V69" s="5">
        <f t="shared" ref="V69:V72" si="65">IF(T$12=0,0,T69/T$12)</f>
        <v>2.0362313430303193E-3</v>
      </c>
      <c r="W69" s="1"/>
      <c r="X69" s="1">
        <f t="shared" ref="X69:X72" si="66">+P69-T69</f>
        <v>64.04000000000002</v>
      </c>
      <c r="Y69" s="1"/>
      <c r="Z69" s="5">
        <f t="shared" ref="Z69:Z72" si="67">IF(T69=0,0,X69/T69)</f>
        <v>0.21346666666666672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91.01</v>
      </c>
      <c r="E70" s="2"/>
      <c r="F70" s="7">
        <f t="shared" si="60"/>
        <v>1.3560492820582507E-3</v>
      </c>
      <c r="G70" s="2"/>
      <c r="H70" s="6">
        <v>75</v>
      </c>
      <c r="I70" s="2"/>
      <c r="J70" s="7">
        <f t="shared" si="61"/>
        <v>1.0635733227448701E-3</v>
      </c>
      <c r="K70" s="2"/>
      <c r="L70" s="6">
        <f t="shared" si="62"/>
        <v>16.010000000000005</v>
      </c>
      <c r="M70" s="2"/>
      <c r="N70" s="7">
        <f t="shared" si="63"/>
        <v>0.21346666666666672</v>
      </c>
      <c r="O70" s="11"/>
      <c r="P70" s="6">
        <v>364.04</v>
      </c>
      <c r="Q70" s="2"/>
      <c r="R70" s="7">
        <f t="shared" si="64"/>
        <v>2.5871336507814454E-3</v>
      </c>
      <c r="S70" s="2"/>
      <c r="T70" s="6">
        <v>300</v>
      </c>
      <c r="U70" s="2"/>
      <c r="V70" s="7">
        <f t="shared" si="65"/>
        <v>2.0362313430303193E-3</v>
      </c>
      <c r="W70" s="2"/>
      <c r="X70" s="6">
        <f t="shared" si="66"/>
        <v>64.04000000000002</v>
      </c>
      <c r="Y70" s="2"/>
      <c r="Z70" s="7">
        <f t="shared" si="67"/>
        <v>0.21346666666666672</v>
      </c>
    </row>
    <row r="71" spans="1:26" s="26" customFormat="1" outlineLevel="1" collapsed="1" x14ac:dyDescent="0.25">
      <c r="A71" s="25"/>
      <c r="B71" s="13" t="str">
        <f>CONCATENATE("     ","Training                                          ")</f>
        <v xml:space="preserve">     Training                                          </v>
      </c>
      <c r="C71" s="13"/>
      <c r="D71" s="1">
        <f>SUM(OSRRefD22_12x_0)</f>
        <v>0</v>
      </c>
      <c r="E71" s="1"/>
      <c r="F71" s="5">
        <f t="shared" si="60"/>
        <v>0</v>
      </c>
      <c r="G71" s="1"/>
      <c r="H71" s="1">
        <f>SUM(OSRRefH22_12x_0)</f>
        <v>0</v>
      </c>
      <c r="I71" s="1"/>
      <c r="J71" s="5">
        <f t="shared" si="61"/>
        <v>0</v>
      </c>
      <c r="K71" s="1"/>
      <c r="L71" s="1">
        <f t="shared" si="62"/>
        <v>0</v>
      </c>
      <c r="M71" s="1"/>
      <c r="N71" s="5">
        <f t="shared" si="63"/>
        <v>0</v>
      </c>
      <c r="O71" s="13"/>
      <c r="P71" s="1">
        <f>SUM(OSRRefP22_12x_0)</f>
        <v>0</v>
      </c>
      <c r="Q71" s="1"/>
      <c r="R71" s="5">
        <f t="shared" si="64"/>
        <v>0</v>
      </c>
      <c r="S71" s="1"/>
      <c r="T71" s="1">
        <f>SUM(OSRRefT22_12x_0)</f>
        <v>500</v>
      </c>
      <c r="U71" s="1"/>
      <c r="V71" s="5">
        <f t="shared" si="65"/>
        <v>3.3937189050505323E-3</v>
      </c>
      <c r="W71" s="1"/>
      <c r="X71" s="1">
        <f t="shared" si="66"/>
        <v>-500</v>
      </c>
      <c r="Y71" s="1"/>
      <c r="Z71" s="5">
        <f t="shared" si="67"/>
        <v>-1</v>
      </c>
    </row>
    <row r="72" spans="1:26" s="24" customFormat="1" hidden="1" outlineLevel="2" x14ac:dyDescent="0.25">
      <c r="A72" s="27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0</v>
      </c>
      <c r="M72" s="2"/>
      <c r="N72" s="7">
        <f t="shared" si="63"/>
        <v>0</v>
      </c>
      <c r="O72" s="11"/>
      <c r="P72" s="6"/>
      <c r="Q72" s="2"/>
      <c r="R72" s="7">
        <f t="shared" si="64"/>
        <v>0</v>
      </c>
      <c r="S72" s="2"/>
      <c r="T72" s="6">
        <v>500</v>
      </c>
      <c r="U72" s="2"/>
      <c r="V72" s="7">
        <f t="shared" si="65"/>
        <v>3.3937189050505323E-3</v>
      </c>
      <c r="W72" s="2"/>
      <c r="X72" s="6">
        <f t="shared" si="66"/>
        <v>-500</v>
      </c>
      <c r="Y72" s="2"/>
      <c r="Z72" s="7">
        <f t="shared" si="67"/>
        <v>-1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2">
        <f>+D22-D24+D74</f>
        <v>15690.130000000001</v>
      </c>
      <c r="E76" s="14"/>
      <c r="F76" s="20">
        <f>IF(D$12=0,0,D76/D$12)</f>
        <v>0.23378298562686101</v>
      </c>
      <c r="G76" s="14"/>
      <c r="H76" s="22">
        <f>+H22-H24+H74</f>
        <v>15314.27726826923</v>
      </c>
      <c r="I76" s="14"/>
      <c r="J76" s="20">
        <f>IF(H$12=0,0,H76/H$12)</f>
        <v>0.21717142346199114</v>
      </c>
      <c r="K76" s="16"/>
      <c r="L76" s="22">
        <f>+D76-H76</f>
        <v>375.85273173077076</v>
      </c>
      <c r="M76" s="16"/>
      <c r="N76" s="20">
        <f>IF(H76=0,0,L76/H76)</f>
        <v>2.4542635943357739E-2</v>
      </c>
      <c r="O76" s="29"/>
      <c r="P76" s="22">
        <f>+P22-P24+P74</f>
        <v>10251.759999999995</v>
      </c>
      <c r="Q76" s="14"/>
      <c r="R76" s="20">
        <f>IF(P$12=0,0,P76/P$12)</f>
        <v>7.2856480814567567E-2</v>
      </c>
      <c r="S76" s="14"/>
      <c r="T76" s="22">
        <f>+T22-T24+T74</f>
        <v>23701.071475769219</v>
      </c>
      <c r="U76" s="14"/>
      <c r="V76" s="20">
        <f>IF(T$12=0,0,T76/T$12)</f>
        <v>0.16086954867454384</v>
      </c>
      <c r="W76" s="16"/>
      <c r="X76" s="22">
        <f>+P76-T76</f>
        <v>-13449.311475769224</v>
      </c>
      <c r="Y76" s="16"/>
      <c r="Z76" s="20">
        <f>IF(T76=0,0,X76/T76)</f>
        <v>-0.56745584221874201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6259.04</v>
      </c>
      <c r="E78" s="4"/>
      <c r="F78" s="12">
        <f>IF(D$12=0,0,D78/D$12)</f>
        <v>9.3259715398020804E-2</v>
      </c>
      <c r="G78" s="4"/>
      <c r="H78" s="4">
        <v>8026</v>
      </c>
      <c r="I78" s="4"/>
      <c r="J78" s="12">
        <f>IF(H$12=0,0,H78/H$12)</f>
        <v>0.1138165265113377</v>
      </c>
      <c r="K78" s="4"/>
      <c r="L78" s="4">
        <f>+D78-H78</f>
        <v>-1766.96</v>
      </c>
      <c r="M78" s="4"/>
      <c r="N78" s="12">
        <f>IF(H78=0,0,L78/H78)</f>
        <v>-0.22015449788188388</v>
      </c>
      <c r="O78" s="10"/>
      <c r="P78" s="4">
        <v>14164.4</v>
      </c>
      <c r="Q78" s="4"/>
      <c r="R78" s="12">
        <f>IF(P$12=0,0,P78/P$12)</f>
        <v>0.10066255324450255</v>
      </c>
      <c r="S78" s="4"/>
      <c r="T78" s="4">
        <v>17741</v>
      </c>
      <c r="U78" s="4"/>
      <c r="V78" s="12">
        <f>IF(T$12=0,0,T78/T$12)</f>
        <v>0.120415934189003</v>
      </c>
      <c r="W78" s="4"/>
      <c r="X78" s="4">
        <f>+P78-T78</f>
        <v>-3576.6000000000004</v>
      </c>
      <c r="Y78" s="4"/>
      <c r="Z78" s="12">
        <f>IF(T78=0,0,X78/T78)</f>
        <v>-0.20160081167916127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1">
        <f>+D76-D78</f>
        <v>9431.09</v>
      </c>
      <c r="E80" s="14"/>
      <c r="F80" s="33">
        <f>IF(D$12=0,0,D80/D$12)</f>
        <v>0.1405232702288402</v>
      </c>
      <c r="G80" s="14"/>
      <c r="H80" s="31">
        <f>+H76-H78</f>
        <v>7288.2772682692303</v>
      </c>
      <c r="I80" s="14"/>
      <c r="J80" s="33">
        <f>IF(H$12=0,0,H80/H$12)</f>
        <v>0.10335489695065346</v>
      </c>
      <c r="K80" s="16"/>
      <c r="L80" s="31">
        <f>D80-H80</f>
        <v>2142.8127317307699</v>
      </c>
      <c r="M80" s="16"/>
      <c r="N80" s="33">
        <f>IF(H80=0,0,L80/H80)</f>
        <v>0.29400812467163867</v>
      </c>
      <c r="O80" s="29"/>
      <c r="P80" s="31">
        <f>+P76-P78</f>
        <v>-3912.6400000000049</v>
      </c>
      <c r="Q80" s="14"/>
      <c r="R80" s="33">
        <f>IF(P$12=0,0,P80/P$12)</f>
        <v>-2.7806072429934971E-2</v>
      </c>
      <c r="S80" s="14"/>
      <c r="T80" s="31">
        <f>+T76-T78</f>
        <v>5960.0714757692185</v>
      </c>
      <c r="U80" s="14"/>
      <c r="V80" s="33">
        <f>IF(T$12=0,0,T80/T$12)</f>
        <v>4.0453614485540849E-2</v>
      </c>
      <c r="W80" s="16"/>
      <c r="X80" s="31">
        <f>P80-T80</f>
        <v>-9872.7114757692234</v>
      </c>
      <c r="Y80" s="16"/>
      <c r="Z80" s="33">
        <f>IF(T80=0,0,X80/T80)</f>
        <v>-1.6564753486442094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2">
        <f>SUM(D80:D82)</f>
        <v>9431.09</v>
      </c>
      <c r="E83" s="14"/>
      <c r="F83" s="34">
        <f>IF(D$12=0,0,D83/D$12)</f>
        <v>0.1405232702288402</v>
      </c>
      <c r="G83" s="14"/>
      <c r="H83" s="32">
        <f>SUM(H80:H82)</f>
        <v>7288.2772682692303</v>
      </c>
      <c r="I83" s="14"/>
      <c r="J83" s="34">
        <f>IF(H$12=0,0,H83/H$12)</f>
        <v>0.10335489695065346</v>
      </c>
      <c r="K83" s="16"/>
      <c r="L83" s="32">
        <f>+D83-H83</f>
        <v>2142.8127317307699</v>
      </c>
      <c r="M83" s="16"/>
      <c r="N83" s="34">
        <f>IF(H83=0,0,L83/H83)</f>
        <v>0.29400812467163867</v>
      </c>
      <c r="O83" s="29"/>
      <c r="P83" s="32">
        <f>SUM(P80:P82)</f>
        <v>-3912.6400000000049</v>
      </c>
      <c r="Q83" s="14"/>
      <c r="R83" s="34">
        <f>IF(P$12=0,0,P83/P$12)</f>
        <v>-2.7806072429934971E-2</v>
      </c>
      <c r="S83" s="14"/>
      <c r="T83" s="32">
        <f>SUM(T80:T82)</f>
        <v>5960.0714757692185</v>
      </c>
      <c r="U83" s="14"/>
      <c r="V83" s="34">
        <f>IF(T$12=0,0,T83/T$12)</f>
        <v>4.0453614485540849E-2</v>
      </c>
      <c r="W83" s="16"/>
      <c r="X83" s="32">
        <f>+P83-T83</f>
        <v>-9872.7114757692234</v>
      </c>
      <c r="Y83" s="16"/>
      <c r="Z83" s="34">
        <f>IF(T83=0,0,X83/T83)</f>
        <v>-1.6564753486442094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0">
        <v>43791.348126886573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4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103668.14</v>
      </c>
      <c r="E12" s="4"/>
      <c r="F12" s="12"/>
      <c r="G12" s="4"/>
      <c r="H12" s="4">
        <f>SUM(OSRRefH13x_0)</f>
        <v>103943</v>
      </c>
      <c r="I12" s="4"/>
      <c r="J12" s="12"/>
      <c r="K12" s="4"/>
      <c r="L12" s="4">
        <f t="shared" ref="L12:L18" si="0">+D12-H12</f>
        <v>-274.86000000000058</v>
      </c>
      <c r="M12" s="4"/>
      <c r="N12" s="12">
        <f t="shared" ref="N12:N18" si="1">IF(H12=0,0,L12/H12)</f>
        <v>-2.6443339137796735E-3</v>
      </c>
      <c r="O12" s="10"/>
      <c r="P12" s="4">
        <f>SUM(OSRRefP13x_0)</f>
        <v>239185.92000000001</v>
      </c>
      <c r="Q12" s="4"/>
      <c r="R12" s="12"/>
      <c r="S12" s="4"/>
      <c r="T12" s="4">
        <f>SUM(OSRRefT13x_0)</f>
        <v>242103</v>
      </c>
      <c r="U12" s="4"/>
      <c r="V12" s="12"/>
      <c r="W12" s="4"/>
      <c r="X12" s="4">
        <f t="shared" ref="X12:X18" si="2">+P12-T12</f>
        <v>-2917.0799999999872</v>
      </c>
      <c r="Y12" s="4"/>
      <c r="Z12" s="12">
        <f t="shared" ref="Z12:Z18" si="3">IF(T12=0,0,X12/T12)</f>
        <v>-1.204892132687322E-2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--21838.13</f>
        <v>21838.13</v>
      </c>
      <c r="E13" s="2"/>
      <c r="F13" s="19"/>
      <c r="G13" s="2"/>
      <c r="H13" s="2"/>
      <c r="I13" s="2"/>
      <c r="J13" s="19"/>
      <c r="K13" s="2"/>
      <c r="L13" s="2">
        <f t="shared" si="0"/>
        <v>21838.13</v>
      </c>
      <c r="M13" s="2"/>
      <c r="N13" s="19">
        <f t="shared" si="1"/>
        <v>0</v>
      </c>
      <c r="O13" s="11"/>
      <c r="P13" s="2">
        <f>--50000.07</f>
        <v>50000.07</v>
      </c>
      <c r="Q13" s="2"/>
      <c r="R13" s="19"/>
      <c r="S13" s="2"/>
      <c r="T13" s="2"/>
      <c r="U13" s="2"/>
      <c r="V13" s="19"/>
      <c r="W13" s="2"/>
      <c r="X13" s="2">
        <f t="shared" si="2"/>
        <v>50000.07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--531.75</f>
        <v>531.75</v>
      </c>
      <c r="E14" s="2"/>
      <c r="F14" s="19"/>
      <c r="G14" s="2"/>
      <c r="H14" s="2"/>
      <c r="I14" s="2"/>
      <c r="J14" s="19"/>
      <c r="K14" s="2"/>
      <c r="L14" s="2">
        <f t="shared" si="0"/>
        <v>531.75</v>
      </c>
      <c r="M14" s="2"/>
      <c r="N14" s="19">
        <f t="shared" si="1"/>
        <v>0</v>
      </c>
      <c r="O14" s="11"/>
      <c r="P14" s="2">
        <f>--1682.08</f>
        <v>1682.08</v>
      </c>
      <c r="Q14" s="2"/>
      <c r="R14" s="19"/>
      <c r="S14" s="2"/>
      <c r="T14" s="2"/>
      <c r="U14" s="2"/>
      <c r="V14" s="19"/>
      <c r="W14" s="2"/>
      <c r="X14" s="2">
        <f t="shared" si="2"/>
        <v>1682.08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103943</v>
      </c>
      <c r="I15" s="2"/>
      <c r="J15" s="19"/>
      <c r="K15" s="2"/>
      <c r="L15" s="2">
        <f t="shared" si="0"/>
        <v>-103943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242103</v>
      </c>
      <c r="U15" s="2"/>
      <c r="V15" s="19"/>
      <c r="W15" s="2"/>
      <c r="X15" s="2">
        <f t="shared" si="2"/>
        <v>-242103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--81070.5</f>
        <v>81070.5</v>
      </c>
      <c r="E16" s="2"/>
      <c r="F16" s="19"/>
      <c r="G16" s="2"/>
      <c r="H16" s="2"/>
      <c r="I16" s="2"/>
      <c r="J16" s="19"/>
      <c r="K16" s="2"/>
      <c r="L16" s="2">
        <f t="shared" si="0"/>
        <v>81070.5</v>
      </c>
      <c r="M16" s="2"/>
      <c r="N16" s="19">
        <f t="shared" si="1"/>
        <v>0</v>
      </c>
      <c r="O16" s="11"/>
      <c r="P16" s="2">
        <f>--186654.53</f>
        <v>186654.53</v>
      </c>
      <c r="Q16" s="2"/>
      <c r="R16" s="19"/>
      <c r="S16" s="2"/>
      <c r="T16" s="2"/>
      <c r="U16" s="2"/>
      <c r="V16" s="19"/>
      <c r="W16" s="2"/>
      <c r="X16" s="2">
        <f t="shared" si="2"/>
        <v>186654.53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/>
      <c r="U17" s="2"/>
      <c r="V17" s="19"/>
      <c r="W17" s="2"/>
      <c r="X17" s="2">
        <f t="shared" si="2"/>
        <v>0.39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--227.76</f>
        <v>227.76</v>
      </c>
      <c r="E18" s="2"/>
      <c r="F18" s="19"/>
      <c r="G18" s="2"/>
      <c r="H18" s="2"/>
      <c r="I18" s="2"/>
      <c r="J18" s="19"/>
      <c r="K18" s="2"/>
      <c r="L18" s="2">
        <f t="shared" si="0"/>
        <v>227.76</v>
      </c>
      <c r="M18" s="2"/>
      <c r="N18" s="19">
        <f t="shared" si="1"/>
        <v>0</v>
      </c>
      <c r="O18" s="11"/>
      <c r="P18" s="2">
        <f>--848.85</f>
        <v>848.85</v>
      </c>
      <c r="Q18" s="2"/>
      <c r="R18" s="19"/>
      <c r="S18" s="2"/>
      <c r="T18" s="2"/>
      <c r="U18" s="2"/>
      <c r="V18" s="19"/>
      <c r="W18" s="2"/>
      <c r="X18" s="2">
        <f t="shared" si="2"/>
        <v>848.85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51689.89</v>
      </c>
      <c r="E20" s="4"/>
      <c r="F20" s="12">
        <f t="shared" ref="F20:F23" si="4">IF(D$12=0,0,D20/D$12)</f>
        <v>0.49860921590760671</v>
      </c>
      <c r="G20" s="4"/>
      <c r="H20" s="4">
        <f>SUM(OSRRefH16x_0)</f>
        <v>49893</v>
      </c>
      <c r="I20" s="4"/>
      <c r="J20" s="12">
        <f t="shared" ref="J20:J23" si="5">IF(H$12=0,0,H20/H$12)</f>
        <v>0.48000346343669126</v>
      </c>
      <c r="K20" s="4"/>
      <c r="L20" s="4">
        <f t="shared" ref="L20:L23" si="6">+D20-H20</f>
        <v>1796.8899999999994</v>
      </c>
      <c r="M20" s="4"/>
      <c r="N20" s="12">
        <f t="shared" ref="N20:N23" si="7">IF(H20=0,0,L20/H20)</f>
        <v>3.6014871825707E-2</v>
      </c>
      <c r="O20" s="10"/>
      <c r="P20" s="4">
        <f>SUM(OSRRefP16x_0)</f>
        <v>114343.06000000001</v>
      </c>
      <c r="Q20" s="4"/>
      <c r="R20" s="12">
        <f t="shared" ref="R20:R23" si="8">IF(P$12=0,0,P20/P$12)</f>
        <v>0.47805096554178445</v>
      </c>
      <c r="S20" s="4"/>
      <c r="T20" s="4">
        <f>SUM(OSRRefT16x_0)</f>
        <v>116210</v>
      </c>
      <c r="U20" s="4"/>
      <c r="V20" s="12">
        <f t="shared" ref="V20:V23" si="9">IF(T$12=0,0,T20/T$12)</f>
        <v>0.48000231306510038</v>
      </c>
      <c r="W20" s="4"/>
      <c r="X20" s="4">
        <f t="shared" ref="X20:X23" si="10">+P20-T20</f>
        <v>-1866.9399999999878</v>
      </c>
      <c r="Y20" s="4"/>
      <c r="Z20" s="12">
        <f t="shared" ref="Z20:Z23" si="11">IF(T20=0,0,X20/T20)</f>
        <v>-1.6065226744686238E-2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49893</v>
      </c>
      <c r="I21" s="2"/>
      <c r="J21" s="19">
        <f t="shared" si="5"/>
        <v>0.48000346343669126</v>
      </c>
      <c r="K21" s="2"/>
      <c r="L21" s="2">
        <f t="shared" si="6"/>
        <v>-49893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116210</v>
      </c>
      <c r="U21" s="2"/>
      <c r="V21" s="19">
        <f t="shared" si="9"/>
        <v>0.48000231306510038</v>
      </c>
      <c r="W21" s="2"/>
      <c r="X21" s="2">
        <f t="shared" si="10"/>
        <v>-116210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44892.81</v>
      </c>
      <c r="E22" s="2"/>
      <c r="F22" s="19">
        <f t="shared" si="4"/>
        <v>0.4330434596395768</v>
      </c>
      <c r="G22" s="2"/>
      <c r="H22" s="2"/>
      <c r="I22" s="2"/>
      <c r="J22" s="19">
        <f t="shared" si="5"/>
        <v>0</v>
      </c>
      <c r="K22" s="2"/>
      <c r="L22" s="2">
        <f t="shared" si="6"/>
        <v>44892.81</v>
      </c>
      <c r="M22" s="2"/>
      <c r="N22" s="19">
        <f t="shared" si="7"/>
        <v>0</v>
      </c>
      <c r="O22" s="11"/>
      <c r="P22" s="2">
        <v>122535.21</v>
      </c>
      <c r="Q22" s="2"/>
      <c r="R22" s="19">
        <f t="shared" si="8"/>
        <v>0.51230110033232723</v>
      </c>
      <c r="S22" s="2"/>
      <c r="T22" s="2"/>
      <c r="U22" s="2"/>
      <c r="V22" s="19">
        <f t="shared" si="9"/>
        <v>0</v>
      </c>
      <c r="W22" s="2"/>
      <c r="X22" s="2">
        <f t="shared" si="10"/>
        <v>122535.21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6797.08</v>
      </c>
      <c r="E23" s="2"/>
      <c r="F23" s="19">
        <f t="shared" si="4"/>
        <v>6.5565756268029893E-2</v>
      </c>
      <c r="G23" s="2"/>
      <c r="H23" s="2"/>
      <c r="I23" s="2"/>
      <c r="J23" s="19">
        <f t="shared" si="5"/>
        <v>0</v>
      </c>
      <c r="K23" s="2"/>
      <c r="L23" s="2">
        <f t="shared" si="6"/>
        <v>6797.08</v>
      </c>
      <c r="M23" s="2"/>
      <c r="N23" s="19">
        <f t="shared" si="7"/>
        <v>0</v>
      </c>
      <c r="O23" s="11"/>
      <c r="P23" s="2">
        <v>-8192.15</v>
      </c>
      <c r="Q23" s="2"/>
      <c r="R23" s="19">
        <f t="shared" si="8"/>
        <v>-3.4250134790542848E-2</v>
      </c>
      <c r="S23" s="2"/>
      <c r="T23" s="2"/>
      <c r="U23" s="2"/>
      <c r="V23" s="19">
        <f t="shared" si="9"/>
        <v>0</v>
      </c>
      <c r="W23" s="2"/>
      <c r="X23" s="2">
        <f t="shared" si="10"/>
        <v>-8192.15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2">
        <f>D12-D20</f>
        <v>51978.25</v>
      </c>
      <c r="E25" s="14"/>
      <c r="F25" s="20">
        <f>IF(D$12=0,0,D25/D$12)</f>
        <v>0.50139078409239324</v>
      </c>
      <c r="G25" s="14"/>
      <c r="H25" s="22">
        <f>H12-H20</f>
        <v>54050</v>
      </c>
      <c r="I25" s="14"/>
      <c r="J25" s="20">
        <f>IF(H$12=0,0,H25/H$12)</f>
        <v>0.51999653656330869</v>
      </c>
      <c r="K25" s="16"/>
      <c r="L25" s="22">
        <f>+D25-H25</f>
        <v>-2071.75</v>
      </c>
      <c r="M25" s="16"/>
      <c r="N25" s="20">
        <f>IF(H25=0,0,L25/H25)</f>
        <v>-3.8330249768732658E-2</v>
      </c>
      <c r="O25" s="29"/>
      <c r="P25" s="22">
        <f>P12-P20</f>
        <v>124842.86</v>
      </c>
      <c r="Q25" s="14"/>
      <c r="R25" s="20">
        <f>IF(P$12=0,0,P25/P$12)</f>
        <v>0.52194903445821561</v>
      </c>
      <c r="S25" s="14"/>
      <c r="T25" s="22">
        <f>T12-T20</f>
        <v>125893</v>
      </c>
      <c r="U25" s="14"/>
      <c r="V25" s="20">
        <f>IF(T$12=0,0,T25/T$12)</f>
        <v>0.51999768693489956</v>
      </c>
      <c r="W25" s="16"/>
      <c r="X25" s="22">
        <f>+P25-T25</f>
        <v>-1050.1399999999994</v>
      </c>
      <c r="Y25" s="16"/>
      <c r="Z25" s="20">
        <f>IF(T25=0,0,X25/T25)</f>
        <v>-8.3415281230886495E-3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25347.179999999997</v>
      </c>
      <c r="E27" s="21"/>
      <c r="F27" s="35">
        <f t="shared" ref="F27:F37" si="12">IF(D$12=0,0,D27/D$12)</f>
        <v>0.24450308455423234</v>
      </c>
      <c r="G27" s="21"/>
      <c r="H27" s="21">
        <f>SUM(OSRRefH22x_0)</f>
        <v>26086.559627000002</v>
      </c>
      <c r="I27" s="21"/>
      <c r="J27" s="35">
        <f t="shared" ref="J27:J37" si="13">IF(H$12=0,0,H27/H$12)</f>
        <v>0.25096985489162332</v>
      </c>
      <c r="K27" s="4"/>
      <c r="L27" s="21">
        <f t="shared" ref="L27:L37" si="14">+D27-H27</f>
        <v>-739.37962700000571</v>
      </c>
      <c r="M27" s="4"/>
      <c r="N27" s="35">
        <f t="shared" ref="N27:N37" si="15">IF(H27=0,0,L27/H27)</f>
        <v>-2.8343316925346342E-2</v>
      </c>
      <c r="O27" s="10"/>
      <c r="P27" s="21">
        <f>SUM(OSRRefP22x_0)</f>
        <v>79501.710000000036</v>
      </c>
      <c r="Q27" s="21"/>
      <c r="R27" s="35">
        <f t="shared" ref="R27:R37" si="16">IF(P$12=0,0,P27/P$12)</f>
        <v>0.33238457347322131</v>
      </c>
      <c r="S27" s="21"/>
      <c r="T27" s="21">
        <f>SUM(OSRRefT22x_0)</f>
        <v>79814.449742700002</v>
      </c>
      <c r="U27" s="21"/>
      <c r="V27" s="35">
        <f t="shared" ref="V27:V37" si="17">IF(T$12=0,0,T27/T$12)</f>
        <v>0.32967146108350581</v>
      </c>
      <c r="W27" s="4"/>
      <c r="X27" s="21">
        <f t="shared" ref="X27:X37" si="18">+P27-T27</f>
        <v>-312.73974269996688</v>
      </c>
      <c r="Y27" s="4"/>
      <c r="Z27" s="35">
        <f t="shared" ref="Z27:Z37" si="19">IF(T27=0,0,X27/T27)</f>
        <v>-3.9183348843242604E-3</v>
      </c>
    </row>
    <row r="28" spans="1:26" s="26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5436.5400000000009</v>
      </c>
      <c r="E28" s="1"/>
      <c r="F28" s="5">
        <f t="shared" si="12"/>
        <v>5.2441762724787004E-2</v>
      </c>
      <c r="G28" s="1"/>
      <c r="H28" s="1">
        <f>SUM(OSRRefH22_0x_0)</f>
        <v>4333.7921269999997</v>
      </c>
      <c r="I28" s="1"/>
      <c r="J28" s="5">
        <f t="shared" si="13"/>
        <v>4.1693929624890561E-2</v>
      </c>
      <c r="K28" s="1"/>
      <c r="L28" s="1">
        <f t="shared" si="14"/>
        <v>1102.7478730000012</v>
      </c>
      <c r="M28" s="1"/>
      <c r="N28" s="5">
        <f t="shared" si="15"/>
        <v>0.2544533380200128</v>
      </c>
      <c r="O28" s="13"/>
      <c r="P28" s="1">
        <f>SUM(OSRRefP22_0x_0)</f>
        <v>18308.73</v>
      </c>
      <c r="Q28" s="1"/>
      <c r="R28" s="5">
        <f t="shared" si="16"/>
        <v>7.654601909677626E-2</v>
      </c>
      <c r="S28" s="1"/>
      <c r="T28" s="1">
        <f>SUM(OSRRefT22_0x_0)</f>
        <v>16080.2867427</v>
      </c>
      <c r="U28" s="1"/>
      <c r="V28" s="5">
        <f t="shared" si="17"/>
        <v>6.641919655146776E-2</v>
      </c>
      <c r="W28" s="1"/>
      <c r="X28" s="1">
        <f t="shared" si="18"/>
        <v>2228.4432572999995</v>
      </c>
      <c r="Y28" s="1"/>
      <c r="Z28" s="5">
        <f t="shared" si="19"/>
        <v>0.13858230844743177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1052.74</v>
      </c>
      <c r="E29" s="2"/>
      <c r="F29" s="7">
        <f t="shared" si="12"/>
        <v>1.0154903907796551E-2</v>
      </c>
      <c r="G29" s="2"/>
      <c r="H29" s="6">
        <v>703.91528700000003</v>
      </c>
      <c r="I29" s="2"/>
      <c r="J29" s="7">
        <f t="shared" si="13"/>
        <v>6.7721278681585105E-3</v>
      </c>
      <c r="K29" s="2"/>
      <c r="L29" s="6">
        <f t="shared" si="14"/>
        <v>348.82471299999997</v>
      </c>
      <c r="M29" s="2"/>
      <c r="N29" s="7">
        <f t="shared" si="15"/>
        <v>0.49554927907113339</v>
      </c>
      <c r="O29" s="11"/>
      <c r="P29" s="6">
        <v>2409.96</v>
      </c>
      <c r="Q29" s="2"/>
      <c r="R29" s="7">
        <f t="shared" si="16"/>
        <v>1.0075676695350628E-2</v>
      </c>
      <c r="S29" s="2"/>
      <c r="T29" s="6">
        <v>2715.8040387000001</v>
      </c>
      <c r="U29" s="2"/>
      <c r="V29" s="7">
        <f t="shared" si="17"/>
        <v>1.121755632396129E-2</v>
      </c>
      <c r="W29" s="2"/>
      <c r="X29" s="6">
        <f t="shared" si="18"/>
        <v>-305.84403870000006</v>
      </c>
      <c r="Y29" s="2"/>
      <c r="Z29" s="7">
        <f t="shared" si="19"/>
        <v>-0.11261638702268126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69.680000000000007</v>
      </c>
      <c r="E30" s="2"/>
      <c r="F30" s="7">
        <f t="shared" si="12"/>
        <v>6.7214478816731934E-4</v>
      </c>
      <c r="G30" s="2"/>
      <c r="H30" s="6">
        <v>337.05335000000002</v>
      </c>
      <c r="I30" s="2"/>
      <c r="J30" s="7">
        <f t="shared" si="13"/>
        <v>3.2426748313979779E-3</v>
      </c>
      <c r="K30" s="2"/>
      <c r="L30" s="6">
        <f t="shared" si="14"/>
        <v>-267.37335000000002</v>
      </c>
      <c r="M30" s="2"/>
      <c r="N30" s="7">
        <f t="shared" si="15"/>
        <v>-0.79326714895431238</v>
      </c>
      <c r="O30" s="11"/>
      <c r="P30" s="6">
        <v>571.29</v>
      </c>
      <c r="Q30" s="2"/>
      <c r="R30" s="7">
        <f t="shared" si="16"/>
        <v>2.3884767130105313E-3</v>
      </c>
      <c r="S30" s="2"/>
      <c r="T30" s="6">
        <v>1031.53926</v>
      </c>
      <c r="U30" s="2"/>
      <c r="V30" s="7">
        <f t="shared" si="17"/>
        <v>4.2607454678380693E-3</v>
      </c>
      <c r="W30" s="2"/>
      <c r="X30" s="6">
        <f t="shared" si="18"/>
        <v>-460.24926000000005</v>
      </c>
      <c r="Y30" s="2"/>
      <c r="Z30" s="7">
        <f t="shared" si="19"/>
        <v>-0.44617716246689443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1.9484964232984212E-2</v>
      </c>
      <c r="G31" s="2"/>
      <c r="H31" s="6">
        <v>1977</v>
      </c>
      <c r="I31" s="2"/>
      <c r="J31" s="7">
        <f t="shared" si="13"/>
        <v>1.902003982952195E-2</v>
      </c>
      <c r="K31" s="2"/>
      <c r="L31" s="6">
        <f t="shared" si="14"/>
        <v>42.970000000000027</v>
      </c>
      <c r="M31" s="2"/>
      <c r="N31" s="7">
        <f t="shared" si="15"/>
        <v>2.1734951947395057E-2</v>
      </c>
      <c r="O31" s="11"/>
      <c r="P31" s="6">
        <v>8079.88</v>
      </c>
      <c r="Q31" s="2"/>
      <c r="R31" s="7">
        <f t="shared" si="16"/>
        <v>3.3780750973970375E-2</v>
      </c>
      <c r="S31" s="2"/>
      <c r="T31" s="6">
        <v>7908</v>
      </c>
      <c r="U31" s="2"/>
      <c r="V31" s="7">
        <f t="shared" si="17"/>
        <v>3.2663783596237964E-2</v>
      </c>
      <c r="W31" s="2"/>
      <c r="X31" s="6">
        <f t="shared" si="18"/>
        <v>171.88000000000011</v>
      </c>
      <c r="Y31" s="2"/>
      <c r="Z31" s="7">
        <f t="shared" si="19"/>
        <v>2.1734951947395057E-2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42.78</v>
      </c>
      <c r="E32" s="2"/>
      <c r="F32" s="7">
        <f t="shared" si="12"/>
        <v>4.1266294543338002E-4</v>
      </c>
      <c r="G32" s="2"/>
      <c r="H32" s="6">
        <v>46.123089999999998</v>
      </c>
      <c r="I32" s="2"/>
      <c r="J32" s="7">
        <f t="shared" si="13"/>
        <v>4.4373445061235482E-4</v>
      </c>
      <c r="K32" s="2"/>
      <c r="L32" s="6">
        <f t="shared" si="14"/>
        <v>-3.3430899999999966</v>
      </c>
      <c r="M32" s="2"/>
      <c r="N32" s="7">
        <f t="shared" si="15"/>
        <v>-7.2481917408395588E-2</v>
      </c>
      <c r="O32" s="11"/>
      <c r="P32" s="6">
        <v>111.07</v>
      </c>
      <c r="Q32" s="2"/>
      <c r="R32" s="7">
        <f t="shared" si="16"/>
        <v>4.6436679884836026E-4</v>
      </c>
      <c r="S32" s="2"/>
      <c r="T32" s="6">
        <v>141.15800400000001</v>
      </c>
      <c r="U32" s="2"/>
      <c r="V32" s="7">
        <f t="shared" si="17"/>
        <v>5.8304937980942001E-4</v>
      </c>
      <c r="W32" s="2"/>
      <c r="X32" s="6">
        <f t="shared" si="18"/>
        <v>-30.088004000000012</v>
      </c>
      <c r="Y32" s="2"/>
      <c r="Z32" s="7">
        <f t="shared" si="19"/>
        <v>-0.21315124291499624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1086.73</v>
      </c>
      <c r="E33" s="2"/>
      <c r="F33" s="7">
        <f t="shared" si="12"/>
        <v>1.0482777061496425E-2</v>
      </c>
      <c r="G33" s="2"/>
      <c r="H33" s="6">
        <v>598.35789999999997</v>
      </c>
      <c r="I33" s="2"/>
      <c r="J33" s="7">
        <f t="shared" si="13"/>
        <v>5.7565964037982354E-3</v>
      </c>
      <c r="K33" s="2"/>
      <c r="L33" s="6">
        <f t="shared" si="14"/>
        <v>488.37210000000005</v>
      </c>
      <c r="M33" s="2"/>
      <c r="N33" s="7">
        <f t="shared" si="15"/>
        <v>0.81618726852273538</v>
      </c>
      <c r="O33" s="11"/>
      <c r="P33" s="6">
        <v>2793.64</v>
      </c>
      <c r="Q33" s="2"/>
      <c r="R33" s="7">
        <f t="shared" si="16"/>
        <v>1.1679784495675999E-2</v>
      </c>
      <c r="S33" s="2"/>
      <c r="T33" s="6">
        <v>2154.08844</v>
      </c>
      <c r="U33" s="2"/>
      <c r="V33" s="7">
        <f t="shared" si="17"/>
        <v>8.8974049887857645E-3</v>
      </c>
      <c r="W33" s="2"/>
      <c r="X33" s="6">
        <f t="shared" si="18"/>
        <v>639.55155999999988</v>
      </c>
      <c r="Y33" s="2"/>
      <c r="Z33" s="7">
        <f t="shared" si="19"/>
        <v>0.2969012544350314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6">
        <v>610.59</v>
      </c>
      <c r="E35" s="2"/>
      <c r="F35" s="7">
        <f t="shared" si="12"/>
        <v>5.8898519834541261E-3</v>
      </c>
      <c r="G35" s="2"/>
      <c r="H35" s="6">
        <v>275.93700000000001</v>
      </c>
      <c r="I35" s="2"/>
      <c r="J35" s="7">
        <f t="shared" si="13"/>
        <v>2.6546953618810311E-3</v>
      </c>
      <c r="K35" s="2"/>
      <c r="L35" s="6">
        <f t="shared" si="14"/>
        <v>334.65300000000002</v>
      </c>
      <c r="M35" s="2"/>
      <c r="N35" s="7">
        <f t="shared" si="15"/>
        <v>1.212787701540569</v>
      </c>
      <c r="O35" s="11"/>
      <c r="P35" s="6">
        <v>2140.66</v>
      </c>
      <c r="Q35" s="2"/>
      <c r="R35" s="7">
        <f t="shared" si="16"/>
        <v>8.9497743010959838E-3</v>
      </c>
      <c r="S35" s="2"/>
      <c r="T35" s="6">
        <v>978.5412</v>
      </c>
      <c r="U35" s="2"/>
      <c r="V35" s="7">
        <f t="shared" si="17"/>
        <v>4.0418383910980037E-3</v>
      </c>
      <c r="W35" s="2"/>
      <c r="X35" s="6">
        <f t="shared" si="18"/>
        <v>1162.1187999999997</v>
      </c>
      <c r="Y35" s="2"/>
      <c r="Z35" s="7">
        <f t="shared" si="19"/>
        <v>1.1876033426083641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6">
        <v>385.14</v>
      </c>
      <c r="E36" s="2"/>
      <c r="F36" s="7">
        <f t="shared" si="12"/>
        <v>3.7151240487193074E-3</v>
      </c>
      <c r="G36" s="2"/>
      <c r="H36" s="6">
        <v>395.40550000000002</v>
      </c>
      <c r="I36" s="2"/>
      <c r="J36" s="7">
        <f t="shared" si="13"/>
        <v>3.8040608795205065E-3</v>
      </c>
      <c r="K36" s="2"/>
      <c r="L36" s="6">
        <f t="shared" si="14"/>
        <v>-10.265500000000031</v>
      </c>
      <c r="M36" s="2"/>
      <c r="N36" s="7">
        <f t="shared" si="15"/>
        <v>-2.5961955511493974E-2</v>
      </c>
      <c r="O36" s="11"/>
      <c r="P36" s="6">
        <v>1559.84</v>
      </c>
      <c r="Q36" s="2"/>
      <c r="R36" s="7">
        <f t="shared" si="16"/>
        <v>6.5214541056597304E-3</v>
      </c>
      <c r="S36" s="2"/>
      <c r="T36" s="6">
        <v>1151.1558</v>
      </c>
      <c r="U36" s="2"/>
      <c r="V36" s="7">
        <f t="shared" si="17"/>
        <v>4.754818403737252E-3</v>
      </c>
      <c r="W36" s="2"/>
      <c r="X36" s="6">
        <f t="shared" si="18"/>
        <v>408.68419999999992</v>
      </c>
      <c r="Y36" s="2"/>
      <c r="Z36" s="7">
        <f t="shared" si="19"/>
        <v>0.35502075392401267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6">
        <v>168.91</v>
      </c>
      <c r="E37" s="2"/>
      <c r="F37" s="7">
        <f t="shared" si="12"/>
        <v>1.629333756735676E-3</v>
      </c>
      <c r="G37" s="2"/>
      <c r="H37" s="6"/>
      <c r="I37" s="2"/>
      <c r="J37" s="7">
        <f t="shared" si="13"/>
        <v>0</v>
      </c>
      <c r="K37" s="2"/>
      <c r="L37" s="6">
        <f t="shared" si="14"/>
        <v>168.91</v>
      </c>
      <c r="M37" s="2"/>
      <c r="N37" s="7">
        <f t="shared" si="15"/>
        <v>0</v>
      </c>
      <c r="O37" s="11"/>
      <c r="P37" s="6">
        <v>642.39</v>
      </c>
      <c r="Q37" s="2"/>
      <c r="R37" s="7">
        <f t="shared" si="16"/>
        <v>2.6857350131646541E-3</v>
      </c>
      <c r="S37" s="2"/>
      <c r="T37" s="6"/>
      <c r="U37" s="2"/>
      <c r="V37" s="7">
        <f t="shared" si="17"/>
        <v>0</v>
      </c>
      <c r="W37" s="2"/>
      <c r="X37" s="6">
        <f t="shared" si="18"/>
        <v>642.39</v>
      </c>
      <c r="Y37" s="2"/>
      <c r="Z37" s="7">
        <f t="shared" si="19"/>
        <v>0</v>
      </c>
    </row>
    <row r="38" spans="1:26" s="26" customFormat="1" outlineLevel="1" collapsed="1" x14ac:dyDescent="0.25">
      <c r="A38" s="25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15694.46</v>
      </c>
      <c r="E38" s="1"/>
      <c r="F38" s="5">
        <f t="shared" ref="F38:F48" si="20">IF(D$12=0,0,D38/D$12)</f>
        <v>0.15139135321613756</v>
      </c>
      <c r="G38" s="1"/>
      <c r="H38" s="1">
        <f>SUM(OSRRefH22_1x_0)</f>
        <v>17391.767500000002</v>
      </c>
      <c r="I38" s="1"/>
      <c r="J38" s="5">
        <f t="shared" ref="J38:J48" si="21">IF(H$12=0,0,H38/H$12)</f>
        <v>0.16732023801506596</v>
      </c>
      <c r="K38" s="1"/>
      <c r="L38" s="1">
        <f t="shared" ref="L38:L48" si="22">+D38-H38</f>
        <v>-1697.3075000000026</v>
      </c>
      <c r="M38" s="1"/>
      <c r="N38" s="5">
        <f t="shared" ref="N38:N48" si="23">IF(H38=0,0,L38/H38)</f>
        <v>-9.7592582237544426E-2</v>
      </c>
      <c r="O38" s="13"/>
      <c r="P38" s="1">
        <f>SUM(OSRRefP22_1x_0)</f>
        <v>46823.159999999996</v>
      </c>
      <c r="Q38" s="1"/>
      <c r="R38" s="5">
        <f t="shared" ref="R38:R48" si="24">IF(P$12=0,0,P38/P$12)</f>
        <v>0.19576051968276392</v>
      </c>
      <c r="S38" s="1"/>
      <c r="T38" s="1">
        <f>SUM(OSRRefT22_1x_0)</f>
        <v>53039.163</v>
      </c>
      <c r="U38" s="1"/>
      <c r="V38" s="5">
        <f t="shared" ref="V38:V48" si="25">IF(T$12=0,0,T38/T$12)</f>
        <v>0.2190768515879605</v>
      </c>
      <c r="W38" s="1"/>
      <c r="X38" s="1">
        <f t="shared" ref="X38:X48" si="26">+P38-T38</f>
        <v>-6216.0030000000042</v>
      </c>
      <c r="Y38" s="1"/>
      <c r="Z38" s="5">
        <f t="shared" ref="Z38:Z48" si="27">IF(T38=0,0,X38/T38)</f>
        <v>-0.11719647612086194</v>
      </c>
    </row>
    <row r="39" spans="1:26" s="24" customFormat="1" hidden="1" outlineLevel="2" x14ac:dyDescent="0.25">
      <c r="A39" s="27"/>
      <c r="B39" s="11" t="str">
        <f>CONCATENATE("          ", "6001", " - ", "ADMINISTRATIVE SALARIES")</f>
        <v xml:space="preserve">          6001 - ADMINISTRATIVE SALARIES</v>
      </c>
      <c r="C39" s="11"/>
      <c r="D39" s="6"/>
      <c r="E39" s="2"/>
      <c r="F39" s="7">
        <f t="shared" si="20"/>
        <v>0</v>
      </c>
      <c r="G39" s="2"/>
      <c r="H39" s="6">
        <v>6609.7675000000008</v>
      </c>
      <c r="I39" s="2"/>
      <c r="J39" s="7">
        <f t="shared" si="21"/>
        <v>6.3590309111724697E-2</v>
      </c>
      <c r="K39" s="2"/>
      <c r="L39" s="6">
        <f t="shared" si="22"/>
        <v>-6609.7675000000008</v>
      </c>
      <c r="M39" s="2"/>
      <c r="N39" s="7">
        <f t="shared" si="23"/>
        <v>-1</v>
      </c>
      <c r="O39" s="11"/>
      <c r="P39" s="6"/>
      <c r="Q39" s="2"/>
      <c r="R39" s="7">
        <f t="shared" si="24"/>
        <v>0</v>
      </c>
      <c r="S39" s="2"/>
      <c r="T39" s="6">
        <v>23795.163</v>
      </c>
      <c r="U39" s="2"/>
      <c r="V39" s="7">
        <f t="shared" si="25"/>
        <v>9.8285287666819501E-2</v>
      </c>
      <c r="W39" s="2"/>
      <c r="X39" s="6">
        <f t="shared" si="26"/>
        <v>-23795.163</v>
      </c>
      <c r="Y39" s="2"/>
      <c r="Z39" s="7">
        <f t="shared" si="27"/>
        <v>-1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6">
        <v>6957.99</v>
      </c>
      <c r="E40" s="2"/>
      <c r="F40" s="7">
        <f t="shared" si="20"/>
        <v>6.7117920703506403E-2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6957.99</v>
      </c>
      <c r="M40" s="2"/>
      <c r="N40" s="7">
        <f t="shared" si="23"/>
        <v>0</v>
      </c>
      <c r="O40" s="11"/>
      <c r="P40" s="6">
        <v>23762.68</v>
      </c>
      <c r="Q40" s="2"/>
      <c r="R40" s="7">
        <f t="shared" si="24"/>
        <v>9.9348155610497466E-2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23762.68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>
        <v>2240.25</v>
      </c>
      <c r="I42" s="2"/>
      <c r="J42" s="7">
        <f t="shared" si="21"/>
        <v>2.155267791000837E-2</v>
      </c>
      <c r="K42" s="2"/>
      <c r="L42" s="6">
        <f t="shared" si="22"/>
        <v>-2240.25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7570.5</v>
      </c>
      <c r="U42" s="2"/>
      <c r="V42" s="7">
        <f t="shared" si="25"/>
        <v>3.1269748825912935E-2</v>
      </c>
      <c r="W42" s="2"/>
      <c r="X42" s="6">
        <f t="shared" si="26"/>
        <v>-7570.5</v>
      </c>
      <c r="Y42" s="2"/>
      <c r="Z42" s="7">
        <f t="shared" si="27"/>
        <v>-1</v>
      </c>
    </row>
    <row r="43" spans="1:26" s="24" customFormat="1" hidden="1" outlineLevel="2" x14ac:dyDescent="0.25">
      <c r="A43" s="27"/>
      <c r="B43" s="11" t="str">
        <f>CONCATENATE("          ", "6005", " - ", "TEMPORARY WAGES-HOURLY")</f>
        <v xml:space="preserve">          6005 - TEMPORARY WAGES-HOURLY</v>
      </c>
      <c r="C43" s="11"/>
      <c r="D43" s="6">
        <v>252.36</v>
      </c>
      <c r="E43" s="2"/>
      <c r="F43" s="7">
        <f t="shared" si="20"/>
        <v>2.4343062391203314E-3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252.36</v>
      </c>
      <c r="M43" s="2"/>
      <c r="N43" s="7">
        <f t="shared" si="23"/>
        <v>0</v>
      </c>
      <c r="O43" s="11"/>
      <c r="P43" s="6">
        <v>769.68</v>
      </c>
      <c r="Q43" s="2"/>
      <c r="R43" s="7">
        <f t="shared" si="24"/>
        <v>3.2179151682507059E-3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769.68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"6006", " - ", "TEMPORARY PART TIME")</f>
        <v xml:space="preserve">          6006 - TEMPORARY PART TIME</v>
      </c>
      <c r="C44" s="11"/>
      <c r="D44" s="6">
        <v>1119</v>
      </c>
      <c r="E44" s="2"/>
      <c r="F44" s="7">
        <f t="shared" si="20"/>
        <v>1.0794058811125579E-2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1119</v>
      </c>
      <c r="M44" s="2"/>
      <c r="N44" s="7">
        <f t="shared" si="23"/>
        <v>0</v>
      </c>
      <c r="O44" s="11"/>
      <c r="P44" s="6">
        <v>1989.19</v>
      </c>
      <c r="Q44" s="2"/>
      <c r="R44" s="7">
        <f t="shared" si="24"/>
        <v>8.3165012388689095E-3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1989.19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"6007", " - ", "STUDENT HOURLY")</f>
        <v xml:space="preserve">          6007 - STUDENT HOURLY</v>
      </c>
      <c r="C45" s="11"/>
      <c r="D45" s="6">
        <v>7257.11</v>
      </c>
      <c r="E45" s="2"/>
      <c r="F45" s="7">
        <f t="shared" si="20"/>
        <v>7.0003281625386549E-2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7257.11</v>
      </c>
      <c r="M45" s="2"/>
      <c r="N45" s="7">
        <f t="shared" si="23"/>
        <v>0</v>
      </c>
      <c r="O45" s="11"/>
      <c r="P45" s="6">
        <v>16800.129999999997</v>
      </c>
      <c r="Q45" s="2"/>
      <c r="R45" s="7">
        <f t="shared" si="24"/>
        <v>7.0238791647936449E-2</v>
      </c>
      <c r="S45" s="2"/>
      <c r="T45" s="6">
        <v>2868.75</v>
      </c>
      <c r="U45" s="2"/>
      <c r="V45" s="7">
        <f t="shared" si="25"/>
        <v>1.1849295547762729E-2</v>
      </c>
      <c r="W45" s="2"/>
      <c r="X45" s="6">
        <f t="shared" si="26"/>
        <v>13931.379999999997</v>
      </c>
      <c r="Y45" s="2"/>
      <c r="Z45" s="7">
        <f t="shared" si="27"/>
        <v>4.8562544662309355</v>
      </c>
    </row>
    <row r="46" spans="1:26" s="24" customFormat="1" hidden="1" outlineLevel="2" x14ac:dyDescent="0.25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6">
        <v>108</v>
      </c>
      <c r="E46" s="2"/>
      <c r="F46" s="7">
        <f t="shared" si="20"/>
        <v>1.0417858369987153E-3</v>
      </c>
      <c r="G46" s="2"/>
      <c r="H46" s="6">
        <v>8541.75</v>
      </c>
      <c r="I46" s="2"/>
      <c r="J46" s="7">
        <f t="shared" si="21"/>
        <v>8.2177250993332882E-2</v>
      </c>
      <c r="K46" s="2"/>
      <c r="L46" s="6">
        <f t="shared" si="22"/>
        <v>-8433.75</v>
      </c>
      <c r="M46" s="2"/>
      <c r="N46" s="7">
        <f t="shared" si="23"/>
        <v>-0.98735622091491793</v>
      </c>
      <c r="O46" s="11"/>
      <c r="P46" s="6">
        <v>3501.48</v>
      </c>
      <c r="Q46" s="2"/>
      <c r="R46" s="7">
        <f t="shared" si="24"/>
        <v>1.4639156017210378E-2</v>
      </c>
      <c r="S46" s="2"/>
      <c r="T46" s="6">
        <v>18804.75</v>
      </c>
      <c r="U46" s="2"/>
      <c r="V46" s="7">
        <f t="shared" si="25"/>
        <v>7.7672519547465332E-2</v>
      </c>
      <c r="W46" s="2"/>
      <c r="X46" s="6">
        <f t="shared" si="26"/>
        <v>-15303.27</v>
      </c>
      <c r="Y46" s="2"/>
      <c r="Z46" s="7">
        <f t="shared" si="27"/>
        <v>-0.81379810952020104</v>
      </c>
    </row>
    <row r="47" spans="1:26" s="24" customFormat="1" hidden="1" outlineLevel="2" x14ac:dyDescent="0.25">
      <c r="A47" s="27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7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6" customFormat="1" outlineLevel="1" collapsed="1" x14ac:dyDescent="0.25">
      <c r="A49" s="25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101.9</v>
      </c>
      <c r="E49" s="1"/>
      <c r="F49" s="5">
        <f t="shared" ref="F49:F68" si="28">IF(D$12=0,0,D49/D$12)</f>
        <v>9.8294422953860267E-4</v>
      </c>
      <c r="G49" s="1"/>
      <c r="H49" s="1">
        <f>SUM(OSRRefH22_2x_0)</f>
        <v>0</v>
      </c>
      <c r="I49" s="1"/>
      <c r="J49" s="5">
        <f t="shared" ref="J49:J68" si="29">IF(H$12=0,0,H49/H$12)</f>
        <v>0</v>
      </c>
      <c r="K49" s="1"/>
      <c r="L49" s="1">
        <f t="shared" ref="L49:L68" si="30">+D49-H49</f>
        <v>101.9</v>
      </c>
      <c r="M49" s="1"/>
      <c r="N49" s="5">
        <f t="shared" ref="N49:N68" si="31">IF(H49=0,0,L49/H49)</f>
        <v>0</v>
      </c>
      <c r="O49" s="13"/>
      <c r="P49" s="1">
        <f>SUM(OSRRefP22_2x_0)</f>
        <v>260.2</v>
      </c>
      <c r="Q49" s="1"/>
      <c r="R49" s="5">
        <f t="shared" ref="R49:R68" si="32">IF(P$12=0,0,P49/P$12)</f>
        <v>1.0878566765134001E-3</v>
      </c>
      <c r="S49" s="1"/>
      <c r="T49" s="1">
        <f>SUM(OSRRefT22_2x_0)</f>
        <v>0</v>
      </c>
      <c r="U49" s="1"/>
      <c r="V49" s="5">
        <f t="shared" ref="V49:V68" si="33">IF(T$12=0,0,T49/T$12)</f>
        <v>0</v>
      </c>
      <c r="W49" s="1"/>
      <c r="X49" s="1">
        <f t="shared" ref="X49:X68" si="34">+P49-T49</f>
        <v>260.2</v>
      </c>
      <c r="Y49" s="1"/>
      <c r="Z49" s="5">
        <f t="shared" ref="Z49:Z68" si="35">IF(T49=0,0,X49/T49)</f>
        <v>0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6">
        <v>101.9</v>
      </c>
      <c r="E50" s="2"/>
      <c r="F50" s="7">
        <f t="shared" si="28"/>
        <v>9.8294422953860267E-4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101.9</v>
      </c>
      <c r="M50" s="2"/>
      <c r="N50" s="7">
        <f t="shared" si="31"/>
        <v>0</v>
      </c>
      <c r="O50" s="11"/>
      <c r="P50" s="6">
        <v>260.2</v>
      </c>
      <c r="Q50" s="2"/>
      <c r="R50" s="7">
        <f t="shared" si="32"/>
        <v>1.0878566765134001E-3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260.2</v>
      </c>
      <c r="Y50" s="2"/>
      <c r="Z50" s="7">
        <f t="shared" si="35"/>
        <v>0</v>
      </c>
    </row>
    <row r="51" spans="1:26" s="26" customFormat="1" outlineLevel="1" collapsed="1" x14ac:dyDescent="0.25">
      <c r="A51" s="25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-30.63</v>
      </c>
      <c r="E51" s="1"/>
      <c r="F51" s="5">
        <f t="shared" si="28"/>
        <v>-2.9546203877102456E-4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-30.63</v>
      </c>
      <c r="M51" s="1"/>
      <c r="N51" s="5">
        <f t="shared" si="31"/>
        <v>0</v>
      </c>
      <c r="O51" s="13"/>
      <c r="P51" s="1">
        <f>SUM(OSRRefP22_3x_0)</f>
        <v>-90.81</v>
      </c>
      <c r="Q51" s="1"/>
      <c r="R51" s="5">
        <f t="shared" si="32"/>
        <v>-3.796628162727973E-4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-90.81</v>
      </c>
      <c r="Y51" s="1"/>
      <c r="Z51" s="5">
        <f t="shared" si="35"/>
        <v>0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6">
        <v>-30.63</v>
      </c>
      <c r="E52" s="2"/>
      <c r="F52" s="7">
        <f t="shared" si="28"/>
        <v>-2.9546203877102456E-4</v>
      </c>
      <c r="G52" s="2"/>
      <c r="H52" s="6">
        <v>0</v>
      </c>
      <c r="I52" s="2"/>
      <c r="J52" s="7">
        <f t="shared" si="29"/>
        <v>0</v>
      </c>
      <c r="K52" s="2"/>
      <c r="L52" s="6">
        <f t="shared" si="30"/>
        <v>-30.63</v>
      </c>
      <c r="M52" s="2"/>
      <c r="N52" s="7">
        <f t="shared" si="31"/>
        <v>0</v>
      </c>
      <c r="O52" s="11"/>
      <c r="P52" s="6">
        <v>-90.81</v>
      </c>
      <c r="Q52" s="2"/>
      <c r="R52" s="7">
        <f t="shared" si="32"/>
        <v>-3.796628162727973E-4</v>
      </c>
      <c r="S52" s="2"/>
      <c r="T52" s="6">
        <v>0</v>
      </c>
      <c r="U52" s="2"/>
      <c r="V52" s="7">
        <f t="shared" si="33"/>
        <v>0</v>
      </c>
      <c r="W52" s="2"/>
      <c r="X52" s="6">
        <f t="shared" si="34"/>
        <v>-90.81</v>
      </c>
      <c r="Y52" s="2"/>
      <c r="Z52" s="7">
        <f t="shared" si="35"/>
        <v>0</v>
      </c>
    </row>
    <row r="53" spans="1:26" s="26" customFormat="1" outlineLevel="1" collapsed="1" x14ac:dyDescent="0.25">
      <c r="A53" s="25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3404.64</v>
      </c>
      <c r="E53" s="1"/>
      <c r="F53" s="5">
        <f t="shared" si="28"/>
        <v>3.2841719741475053E-2</v>
      </c>
      <c r="G53" s="1"/>
      <c r="H53" s="1">
        <f>SUM(OSRRefH22_4x_0)</f>
        <v>3294</v>
      </c>
      <c r="I53" s="1"/>
      <c r="J53" s="5">
        <f t="shared" si="29"/>
        <v>3.1690445725060849E-2</v>
      </c>
      <c r="K53" s="1"/>
      <c r="L53" s="1">
        <f t="shared" si="30"/>
        <v>110.63999999999987</v>
      </c>
      <c r="M53" s="1"/>
      <c r="N53" s="5">
        <f t="shared" si="31"/>
        <v>3.3588342440801416E-2</v>
      </c>
      <c r="O53" s="13"/>
      <c r="P53" s="1">
        <f>SUM(OSRRefP22_4x_0)</f>
        <v>7798.8</v>
      </c>
      <c r="Q53" s="1"/>
      <c r="R53" s="5">
        <f t="shared" si="32"/>
        <v>3.2605598189057283E-2</v>
      </c>
      <c r="S53" s="1"/>
      <c r="T53" s="1">
        <f>SUM(OSRRefT22_4x_0)</f>
        <v>7673</v>
      </c>
      <c r="U53" s="1"/>
      <c r="V53" s="5">
        <f t="shared" si="33"/>
        <v>3.1693122348752392E-2</v>
      </c>
      <c r="W53" s="1"/>
      <c r="X53" s="1">
        <f t="shared" si="34"/>
        <v>125.80000000000018</v>
      </c>
      <c r="Y53" s="1"/>
      <c r="Z53" s="5">
        <f t="shared" si="35"/>
        <v>1.6395151831096074E-2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>
        <v>3404.64</v>
      </c>
      <c r="E54" s="2"/>
      <c r="F54" s="7">
        <f t="shared" si="28"/>
        <v>3.2841719741475053E-2</v>
      </c>
      <c r="G54" s="2"/>
      <c r="H54" s="6">
        <v>3294</v>
      </c>
      <c r="I54" s="2"/>
      <c r="J54" s="7">
        <f t="shared" si="29"/>
        <v>3.1690445725060849E-2</v>
      </c>
      <c r="K54" s="2"/>
      <c r="L54" s="6">
        <f t="shared" si="30"/>
        <v>110.63999999999987</v>
      </c>
      <c r="M54" s="2"/>
      <c r="N54" s="7">
        <f t="shared" si="31"/>
        <v>3.3588342440801416E-2</v>
      </c>
      <c r="O54" s="11"/>
      <c r="P54" s="6">
        <v>7798.8</v>
      </c>
      <c r="Q54" s="2"/>
      <c r="R54" s="7">
        <f t="shared" si="32"/>
        <v>3.2605598189057283E-2</v>
      </c>
      <c r="S54" s="2"/>
      <c r="T54" s="6">
        <v>7673</v>
      </c>
      <c r="U54" s="2"/>
      <c r="V54" s="7">
        <f t="shared" si="33"/>
        <v>3.1693122348752392E-2</v>
      </c>
      <c r="W54" s="2"/>
      <c r="X54" s="6">
        <f t="shared" si="34"/>
        <v>125.80000000000018</v>
      </c>
      <c r="Y54" s="2"/>
      <c r="Z54" s="7">
        <f t="shared" si="35"/>
        <v>1.6395151831096074E-2</v>
      </c>
    </row>
    <row r="55" spans="1:26" s="26" customFormat="1" outlineLevel="1" collapsed="1" x14ac:dyDescent="0.25">
      <c r="A55" s="25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0</v>
      </c>
      <c r="E55" s="1"/>
      <c r="F55" s="5">
        <f t="shared" si="28"/>
        <v>0</v>
      </c>
      <c r="G55" s="1"/>
      <c r="H55" s="1">
        <f>SUM(OSRRefH22_5x_0)</f>
        <v>65</v>
      </c>
      <c r="I55" s="1"/>
      <c r="J55" s="5">
        <f t="shared" si="29"/>
        <v>6.2534273592257297E-4</v>
      </c>
      <c r="K55" s="1"/>
      <c r="L55" s="1">
        <f t="shared" si="30"/>
        <v>-65</v>
      </c>
      <c r="M55" s="1"/>
      <c r="N55" s="5">
        <f t="shared" si="31"/>
        <v>-1</v>
      </c>
      <c r="O55" s="13"/>
      <c r="P55" s="1">
        <f>SUM(OSRRefP22_5x_0)</f>
        <v>0</v>
      </c>
      <c r="Q55" s="1"/>
      <c r="R55" s="5">
        <f t="shared" si="32"/>
        <v>0</v>
      </c>
      <c r="S55" s="1"/>
      <c r="T55" s="1">
        <f>SUM(OSRRefT22_5x_0)</f>
        <v>65</v>
      </c>
      <c r="U55" s="1"/>
      <c r="V55" s="5">
        <f t="shared" si="33"/>
        <v>2.6848077058111631E-4</v>
      </c>
      <c r="W55" s="1"/>
      <c r="X55" s="1">
        <f t="shared" si="34"/>
        <v>-65</v>
      </c>
      <c r="Y55" s="1"/>
      <c r="Z55" s="5">
        <f t="shared" si="35"/>
        <v>-1</v>
      </c>
    </row>
    <row r="56" spans="1:26" s="24" customFormat="1" hidden="1" outlineLevel="2" x14ac:dyDescent="0.25">
      <c r="A56" s="27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65</v>
      </c>
      <c r="I56" s="2"/>
      <c r="J56" s="7">
        <f t="shared" si="29"/>
        <v>6.2534273592257297E-4</v>
      </c>
      <c r="K56" s="2"/>
      <c r="L56" s="6">
        <f t="shared" si="30"/>
        <v>-65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65</v>
      </c>
      <c r="U56" s="2"/>
      <c r="V56" s="7">
        <f t="shared" si="33"/>
        <v>2.6848077058111631E-4</v>
      </c>
      <c r="W56" s="2"/>
      <c r="X56" s="6">
        <f t="shared" si="34"/>
        <v>-65</v>
      </c>
      <c r="Y56" s="2"/>
      <c r="Z56" s="7">
        <f t="shared" si="35"/>
        <v>-1</v>
      </c>
    </row>
    <row r="57" spans="1:26" s="26" customFormat="1" outlineLevel="1" collapsed="1" x14ac:dyDescent="0.25">
      <c r="A57" s="25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17.260000000000002</v>
      </c>
      <c r="E57" s="1"/>
      <c r="F57" s="5">
        <f t="shared" si="28"/>
        <v>1.6649281061664655E-4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17.260000000000002</v>
      </c>
      <c r="M57" s="1"/>
      <c r="N57" s="5">
        <f t="shared" si="31"/>
        <v>0</v>
      </c>
      <c r="O57" s="13"/>
      <c r="P57" s="1">
        <f>SUM(OSRRefP22_6x_0)</f>
        <v>49.16</v>
      </c>
      <c r="Q57" s="1"/>
      <c r="R57" s="5">
        <f t="shared" si="32"/>
        <v>2.0553049276479147E-4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49.16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>
        <v>17.260000000000002</v>
      </c>
      <c r="E58" s="2"/>
      <c r="F58" s="7">
        <f t="shared" si="28"/>
        <v>1.6649281061664655E-4</v>
      </c>
      <c r="G58" s="2"/>
      <c r="H58" s="6"/>
      <c r="I58" s="2"/>
      <c r="J58" s="7">
        <f t="shared" si="29"/>
        <v>0</v>
      </c>
      <c r="K58" s="2"/>
      <c r="L58" s="6">
        <f t="shared" si="30"/>
        <v>17.260000000000002</v>
      </c>
      <c r="M58" s="2"/>
      <c r="N58" s="7">
        <f t="shared" si="31"/>
        <v>0</v>
      </c>
      <c r="O58" s="11"/>
      <c r="P58" s="6">
        <v>49.16</v>
      </c>
      <c r="Q58" s="2"/>
      <c r="R58" s="7">
        <f t="shared" si="32"/>
        <v>2.0553049276479147E-4</v>
      </c>
      <c r="S58" s="2"/>
      <c r="T58" s="6"/>
      <c r="U58" s="2"/>
      <c r="V58" s="7">
        <f t="shared" si="33"/>
        <v>0</v>
      </c>
      <c r="W58" s="2"/>
      <c r="X58" s="6">
        <f t="shared" si="34"/>
        <v>49.16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28"/>
        <v>0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SUM(OSRRefP22_7x_0)</f>
        <v>0</v>
      </c>
      <c r="Q59" s="1"/>
      <c r="R59" s="5">
        <f t="shared" si="32"/>
        <v>0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0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8"/>
        <v>0</v>
      </c>
      <c r="G60" s="2"/>
      <c r="H60" s="6">
        <v>0</v>
      </c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6" customFormat="1" outlineLevel="1" collapsed="1" x14ac:dyDescent="0.25">
      <c r="A61" s="25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SUM(OSRRefD22_8x_0)</f>
        <v>25.76</v>
      </c>
      <c r="E61" s="1"/>
      <c r="F61" s="5">
        <f t="shared" si="28"/>
        <v>2.4848521445450841E-4</v>
      </c>
      <c r="G61" s="1"/>
      <c r="H61" s="1">
        <f>SUM(OSRRefH22_8x_0)</f>
        <v>0</v>
      </c>
      <c r="I61" s="1"/>
      <c r="J61" s="5">
        <f t="shared" si="29"/>
        <v>0</v>
      </c>
      <c r="K61" s="1"/>
      <c r="L61" s="1">
        <f t="shared" si="30"/>
        <v>25.76</v>
      </c>
      <c r="M61" s="1"/>
      <c r="N61" s="5">
        <f t="shared" si="31"/>
        <v>0</v>
      </c>
      <c r="O61" s="13"/>
      <c r="P61" s="1">
        <f>SUM(OSRRefP22_8x_0)</f>
        <v>171.28</v>
      </c>
      <c r="Q61" s="1"/>
      <c r="R61" s="5">
        <f t="shared" si="32"/>
        <v>7.1609566315609214E-4</v>
      </c>
      <c r="S61" s="1"/>
      <c r="T61" s="1">
        <f>SUM(OSRRefT22_8x_0)</f>
        <v>0</v>
      </c>
      <c r="U61" s="1"/>
      <c r="V61" s="5">
        <f t="shared" si="33"/>
        <v>0</v>
      </c>
      <c r="W61" s="1"/>
      <c r="X61" s="1">
        <f t="shared" si="34"/>
        <v>171.28</v>
      </c>
      <c r="Y61" s="1"/>
      <c r="Z61" s="5">
        <f t="shared" si="35"/>
        <v>0</v>
      </c>
    </row>
    <row r="62" spans="1:26" s="24" customFormat="1" hidden="1" outlineLevel="2" x14ac:dyDescent="0.25">
      <c r="A62" s="27"/>
      <c r="B62" s="11" t="str">
        <f>CONCATENATE("          ", "6305", " - ", "FREIGHT OUT")</f>
        <v xml:space="preserve">          6305 - FREIGHT OUT</v>
      </c>
      <c r="C62" s="11"/>
      <c r="D62" s="6">
        <v>25.76</v>
      </c>
      <c r="E62" s="2"/>
      <c r="F62" s="7">
        <f t="shared" si="28"/>
        <v>2.4848521445450841E-4</v>
      </c>
      <c r="G62" s="2"/>
      <c r="H62" s="6"/>
      <c r="I62" s="2"/>
      <c r="J62" s="7">
        <f t="shared" si="29"/>
        <v>0</v>
      </c>
      <c r="K62" s="2"/>
      <c r="L62" s="6">
        <f t="shared" si="30"/>
        <v>25.76</v>
      </c>
      <c r="M62" s="2"/>
      <c r="N62" s="7">
        <f t="shared" si="31"/>
        <v>0</v>
      </c>
      <c r="O62" s="11"/>
      <c r="P62" s="6">
        <v>171.28</v>
      </c>
      <c r="Q62" s="2"/>
      <c r="R62" s="7">
        <f t="shared" si="32"/>
        <v>7.1609566315609214E-4</v>
      </c>
      <c r="S62" s="2"/>
      <c r="T62" s="6"/>
      <c r="U62" s="2"/>
      <c r="V62" s="7">
        <f t="shared" si="33"/>
        <v>0</v>
      </c>
      <c r="W62" s="2"/>
      <c r="X62" s="6">
        <f t="shared" si="34"/>
        <v>171.28</v>
      </c>
      <c r="Y62" s="2"/>
      <c r="Z62" s="7">
        <f t="shared" si="35"/>
        <v>0</v>
      </c>
    </row>
    <row r="63" spans="1:26" s="26" customFormat="1" outlineLevel="1" collapsed="1" x14ac:dyDescent="0.25">
      <c r="A63" s="25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47.75</v>
      </c>
      <c r="E63" s="1"/>
      <c r="F63" s="5">
        <f t="shared" si="28"/>
        <v>4.6060438626563572E-4</v>
      </c>
      <c r="G63" s="1"/>
      <c r="H63" s="1">
        <f>SUM(OSRRefH22_9x_0)</f>
        <v>309</v>
      </c>
      <c r="I63" s="1"/>
      <c r="J63" s="5">
        <f t="shared" si="29"/>
        <v>2.9727831600011544E-3</v>
      </c>
      <c r="K63" s="1"/>
      <c r="L63" s="1">
        <f t="shared" si="30"/>
        <v>-261.25</v>
      </c>
      <c r="M63" s="1"/>
      <c r="N63" s="5">
        <f t="shared" si="31"/>
        <v>-0.84546925566343045</v>
      </c>
      <c r="O63" s="13"/>
      <c r="P63" s="1">
        <f>SUM(OSRRefP22_9x_0)</f>
        <v>908.35</v>
      </c>
      <c r="Q63" s="1"/>
      <c r="R63" s="5">
        <f t="shared" si="32"/>
        <v>3.7976733747538314E-3</v>
      </c>
      <c r="S63" s="1"/>
      <c r="T63" s="1">
        <f>SUM(OSRRefT22_9x_0)</f>
        <v>719</v>
      </c>
      <c r="U63" s="1"/>
      <c r="V63" s="5">
        <f t="shared" si="33"/>
        <v>2.9698103699665017E-3</v>
      </c>
      <c r="W63" s="1"/>
      <c r="X63" s="1">
        <f t="shared" si="34"/>
        <v>189.35000000000002</v>
      </c>
      <c r="Y63" s="1"/>
      <c r="Z63" s="5">
        <f t="shared" si="35"/>
        <v>0.26335187760778861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6">
        <v>47.75</v>
      </c>
      <c r="E64" s="2"/>
      <c r="F64" s="7">
        <f t="shared" si="28"/>
        <v>4.6060438626563572E-4</v>
      </c>
      <c r="G64" s="2"/>
      <c r="H64" s="6">
        <v>309</v>
      </c>
      <c r="I64" s="2"/>
      <c r="J64" s="7">
        <f t="shared" si="29"/>
        <v>2.9727831600011544E-3</v>
      </c>
      <c r="K64" s="2"/>
      <c r="L64" s="6">
        <f t="shared" si="30"/>
        <v>-261.25</v>
      </c>
      <c r="M64" s="2"/>
      <c r="N64" s="7">
        <f t="shared" si="31"/>
        <v>-0.84546925566343045</v>
      </c>
      <c r="O64" s="11"/>
      <c r="P64" s="6">
        <v>908.35</v>
      </c>
      <c r="Q64" s="2"/>
      <c r="R64" s="7">
        <f t="shared" si="32"/>
        <v>3.7976733747538314E-3</v>
      </c>
      <c r="S64" s="2"/>
      <c r="T64" s="6">
        <v>719</v>
      </c>
      <c r="U64" s="2"/>
      <c r="V64" s="7">
        <f t="shared" si="33"/>
        <v>2.9698103699665017E-3</v>
      </c>
      <c r="W64" s="2"/>
      <c r="X64" s="6">
        <f t="shared" si="34"/>
        <v>189.35000000000002</v>
      </c>
      <c r="Y64" s="2"/>
      <c r="Z64" s="7">
        <f t="shared" si="35"/>
        <v>0.26335187760778861</v>
      </c>
    </row>
    <row r="65" spans="1:26" s="26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SUM(OSRRefD22_10x_0)</f>
        <v>22.83</v>
      </c>
      <c r="E65" s="1"/>
      <c r="F65" s="5">
        <f t="shared" si="28"/>
        <v>2.2022195054333953E-4</v>
      </c>
      <c r="G65" s="1"/>
      <c r="H65" s="1">
        <f>SUM(OSRRefH22_10x_0)</f>
        <v>103</v>
      </c>
      <c r="I65" s="1"/>
      <c r="J65" s="5">
        <f t="shared" si="29"/>
        <v>9.9092772000038479E-4</v>
      </c>
      <c r="K65" s="1"/>
      <c r="L65" s="1">
        <f t="shared" si="30"/>
        <v>-80.17</v>
      </c>
      <c r="M65" s="1"/>
      <c r="N65" s="5">
        <f t="shared" si="31"/>
        <v>-0.77834951456310686</v>
      </c>
      <c r="O65" s="13"/>
      <c r="P65" s="1">
        <f>SUM(OSRRefP22_10x_0)</f>
        <v>1040.72</v>
      </c>
      <c r="Q65" s="1"/>
      <c r="R65" s="5">
        <f t="shared" si="32"/>
        <v>4.3510922382053261E-3</v>
      </c>
      <c r="S65" s="1"/>
      <c r="T65" s="1">
        <f>SUM(OSRRefT22_10x_0)</f>
        <v>239</v>
      </c>
      <c r="U65" s="1"/>
      <c r="V65" s="5">
        <f t="shared" si="33"/>
        <v>9.8718314105979686E-4</v>
      </c>
      <c r="W65" s="1"/>
      <c r="X65" s="1">
        <f t="shared" si="34"/>
        <v>801.72</v>
      </c>
      <c r="Y65" s="1"/>
      <c r="Z65" s="5">
        <f t="shared" si="35"/>
        <v>3.3544769874476987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437.31</v>
      </c>
      <c r="Q66" s="2"/>
      <c r="R66" s="7">
        <f t="shared" si="32"/>
        <v>1.8283266841125096E-3</v>
      </c>
      <c r="S66" s="2"/>
      <c r="T66" s="6">
        <v>0</v>
      </c>
      <c r="U66" s="2"/>
      <c r="V66" s="7">
        <f t="shared" si="33"/>
        <v>0</v>
      </c>
      <c r="W66" s="2"/>
      <c r="X66" s="6">
        <f t="shared" si="34"/>
        <v>437.31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22.83</v>
      </c>
      <c r="E67" s="2"/>
      <c r="F67" s="7">
        <f t="shared" si="28"/>
        <v>2.2022195054333953E-4</v>
      </c>
      <c r="G67" s="2"/>
      <c r="H67" s="6"/>
      <c r="I67" s="2"/>
      <c r="J67" s="7">
        <f t="shared" si="29"/>
        <v>0</v>
      </c>
      <c r="K67" s="2"/>
      <c r="L67" s="6">
        <f t="shared" si="30"/>
        <v>22.83</v>
      </c>
      <c r="M67" s="2"/>
      <c r="N67" s="7">
        <f t="shared" si="31"/>
        <v>0</v>
      </c>
      <c r="O67" s="11"/>
      <c r="P67" s="6">
        <v>22.83</v>
      </c>
      <c r="Q67" s="2"/>
      <c r="R67" s="7">
        <f t="shared" si="32"/>
        <v>9.5448762201387087E-5</v>
      </c>
      <c r="S67" s="2"/>
      <c r="T67" s="6"/>
      <c r="U67" s="2"/>
      <c r="V67" s="7">
        <f t="shared" si="33"/>
        <v>0</v>
      </c>
      <c r="W67" s="2"/>
      <c r="X67" s="6">
        <f t="shared" si="34"/>
        <v>22.83</v>
      </c>
      <c r="Y67" s="2"/>
      <c r="Z67" s="7">
        <f t="shared" si="35"/>
        <v>0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103</v>
      </c>
      <c r="I68" s="2"/>
      <c r="J68" s="7">
        <f t="shared" si="29"/>
        <v>9.9092772000038479E-4</v>
      </c>
      <c r="K68" s="2"/>
      <c r="L68" s="6">
        <f t="shared" si="30"/>
        <v>-103</v>
      </c>
      <c r="M68" s="2"/>
      <c r="N68" s="7">
        <f t="shared" si="31"/>
        <v>-1</v>
      </c>
      <c r="O68" s="11"/>
      <c r="P68" s="6">
        <v>580.58000000000004</v>
      </c>
      <c r="Q68" s="2"/>
      <c r="R68" s="7">
        <f t="shared" si="32"/>
        <v>2.4273167918914293E-3</v>
      </c>
      <c r="S68" s="2"/>
      <c r="T68" s="6">
        <v>239</v>
      </c>
      <c r="U68" s="2"/>
      <c r="V68" s="7">
        <f t="shared" si="33"/>
        <v>9.8718314105979686E-4</v>
      </c>
      <c r="W68" s="2"/>
      <c r="X68" s="6">
        <f t="shared" si="34"/>
        <v>341.58000000000004</v>
      </c>
      <c r="Y68" s="2"/>
      <c r="Z68" s="7">
        <f t="shared" si="35"/>
        <v>1.4292050209205023</v>
      </c>
    </row>
    <row r="69" spans="1:26" s="26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172.25</v>
      </c>
      <c r="E69" s="1"/>
      <c r="F69" s="5">
        <f t="shared" ref="F69:F76" si="36">IF(D$12=0,0,D69/D$12)</f>
        <v>1.6615519483613771E-3</v>
      </c>
      <c r="G69" s="1"/>
      <c r="H69" s="1">
        <f>SUM(OSRRefH22_11x_0)</f>
        <v>0</v>
      </c>
      <c r="I69" s="1"/>
      <c r="J69" s="5">
        <f t="shared" ref="J69:J76" si="37">IF(H$12=0,0,H69/H$12)</f>
        <v>0</v>
      </c>
      <c r="K69" s="1"/>
      <c r="L69" s="1">
        <f t="shared" ref="L69:L76" si="38">+D69-H69</f>
        <v>172.25</v>
      </c>
      <c r="M69" s="1"/>
      <c r="N69" s="5">
        <f t="shared" ref="N69:N76" si="39">IF(H69=0,0,L69/H69)</f>
        <v>0</v>
      </c>
      <c r="O69" s="13"/>
      <c r="P69" s="1">
        <f>SUM(OSRRefP22_11x_0)</f>
        <v>629.11</v>
      </c>
      <c r="Q69" s="1"/>
      <c r="R69" s="5">
        <f t="shared" ref="R69:R76" si="40">IF(P$12=0,0,P69/P$12)</f>
        <v>2.6302133503510574E-3</v>
      </c>
      <c r="S69" s="1"/>
      <c r="T69" s="1">
        <f>SUM(OSRRefT22_11x_0)</f>
        <v>0</v>
      </c>
      <c r="U69" s="1"/>
      <c r="V69" s="5">
        <f t="shared" ref="V69:V76" si="41">IF(T$12=0,0,T69/T$12)</f>
        <v>0</v>
      </c>
      <c r="W69" s="1"/>
      <c r="X69" s="1">
        <f t="shared" ref="X69:X76" si="42">+P69-T69</f>
        <v>629.11</v>
      </c>
      <c r="Y69" s="1"/>
      <c r="Z69" s="5">
        <f t="shared" ref="Z69:Z76" si="43">IF(T69=0,0,X69/T69)</f>
        <v>0</v>
      </c>
    </row>
    <row r="70" spans="1:26" s="24" customFormat="1" hidden="1" outlineLevel="2" x14ac:dyDescent="0.25">
      <c r="A70" s="27"/>
      <c r="B70" s="11" t="str">
        <f>CONCATENATE("          ", "6286", " - ", "LAUNDRY EXPENSE")</f>
        <v xml:space="preserve">          6286 - LAUNDRY EXPENSE</v>
      </c>
      <c r="C70" s="11"/>
      <c r="D70" s="6">
        <v>172.25</v>
      </c>
      <c r="E70" s="2"/>
      <c r="F70" s="7">
        <f t="shared" si="36"/>
        <v>1.6615519483613771E-3</v>
      </c>
      <c r="G70" s="2"/>
      <c r="H70" s="6"/>
      <c r="I70" s="2"/>
      <c r="J70" s="7">
        <f t="shared" si="37"/>
        <v>0</v>
      </c>
      <c r="K70" s="2"/>
      <c r="L70" s="6">
        <f t="shared" si="38"/>
        <v>172.25</v>
      </c>
      <c r="M70" s="2"/>
      <c r="N70" s="7">
        <f t="shared" si="39"/>
        <v>0</v>
      </c>
      <c r="O70" s="11"/>
      <c r="P70" s="6">
        <v>629.11</v>
      </c>
      <c r="Q70" s="2"/>
      <c r="R70" s="7">
        <f t="shared" si="40"/>
        <v>2.6302133503510574E-3</v>
      </c>
      <c r="S70" s="2"/>
      <c r="T70" s="6"/>
      <c r="U70" s="2"/>
      <c r="V70" s="7">
        <f t="shared" si="41"/>
        <v>0</v>
      </c>
      <c r="W70" s="2"/>
      <c r="X70" s="6">
        <f t="shared" si="42"/>
        <v>629.11</v>
      </c>
      <c r="Y70" s="2"/>
      <c r="Z70" s="7">
        <f t="shared" si="43"/>
        <v>0</v>
      </c>
    </row>
    <row r="71" spans="1:26" s="26" customFormat="1" outlineLevel="1" collapsed="1" x14ac:dyDescent="0.25">
      <c r="A71" s="25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330.16999999999996</v>
      </c>
      <c r="E71" s="1"/>
      <c r="F71" s="5">
        <f t="shared" si="36"/>
        <v>3.1848743500172759E-3</v>
      </c>
      <c r="G71" s="1"/>
      <c r="H71" s="1">
        <f>SUM(OSRRefH22_12x_0)</f>
        <v>515</v>
      </c>
      <c r="I71" s="1"/>
      <c r="J71" s="5">
        <f t="shared" si="37"/>
        <v>4.9546386000019239E-3</v>
      </c>
      <c r="K71" s="1"/>
      <c r="L71" s="1">
        <f t="shared" si="38"/>
        <v>-184.83000000000004</v>
      </c>
      <c r="M71" s="1"/>
      <c r="N71" s="5">
        <f t="shared" si="39"/>
        <v>-0.35889320388349522</v>
      </c>
      <c r="O71" s="13"/>
      <c r="P71" s="1">
        <f>SUM(OSRRefP22_12x_0)</f>
        <v>3059.16</v>
      </c>
      <c r="Q71" s="1"/>
      <c r="R71" s="5">
        <f t="shared" si="40"/>
        <v>1.2789883284099664E-2</v>
      </c>
      <c r="S71" s="1"/>
      <c r="T71" s="1">
        <f>SUM(OSRRefT22_12x_0)</f>
        <v>1199</v>
      </c>
      <c r="U71" s="1"/>
      <c r="V71" s="5">
        <f t="shared" si="41"/>
        <v>4.9524375988732067E-3</v>
      </c>
      <c r="W71" s="1"/>
      <c r="X71" s="1">
        <f t="shared" si="42"/>
        <v>1860.1599999999999</v>
      </c>
      <c r="Y71" s="1"/>
      <c r="Z71" s="5">
        <f t="shared" si="43"/>
        <v>1.5514261884904086</v>
      </c>
    </row>
    <row r="72" spans="1:26" s="24" customFormat="1" hidden="1" outlineLevel="2" x14ac:dyDescent="0.25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>
        <v>354.82</v>
      </c>
      <c r="Q72" s="2"/>
      <c r="R72" s="7">
        <f t="shared" si="40"/>
        <v>1.483448524060279E-3</v>
      </c>
      <c r="S72" s="2"/>
      <c r="T72" s="6"/>
      <c r="U72" s="2"/>
      <c r="V72" s="7">
        <f t="shared" si="41"/>
        <v>0</v>
      </c>
      <c r="W72" s="2"/>
      <c r="X72" s="6">
        <f t="shared" si="42"/>
        <v>354.82</v>
      </c>
      <c r="Y72" s="2"/>
      <c r="Z72" s="7">
        <f t="shared" si="43"/>
        <v>0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6">
        <v>39.979999999999997</v>
      </c>
      <c r="E73" s="2"/>
      <c r="F73" s="7">
        <f t="shared" si="36"/>
        <v>3.8565368299267253E-4</v>
      </c>
      <c r="G73" s="2"/>
      <c r="H73" s="6"/>
      <c r="I73" s="2"/>
      <c r="J73" s="7">
        <f t="shared" si="37"/>
        <v>0</v>
      </c>
      <c r="K73" s="2"/>
      <c r="L73" s="6">
        <f t="shared" si="38"/>
        <v>39.979999999999997</v>
      </c>
      <c r="M73" s="2"/>
      <c r="N73" s="7">
        <f t="shared" si="39"/>
        <v>0</v>
      </c>
      <c r="O73" s="11"/>
      <c r="P73" s="6">
        <v>151.25</v>
      </c>
      <c r="Q73" s="2"/>
      <c r="R73" s="7">
        <f t="shared" si="40"/>
        <v>6.3235327564431878E-4</v>
      </c>
      <c r="S73" s="2"/>
      <c r="T73" s="6"/>
      <c r="U73" s="2"/>
      <c r="V73" s="7">
        <f t="shared" si="41"/>
        <v>0</v>
      </c>
      <c r="W73" s="2"/>
      <c r="X73" s="6">
        <f t="shared" si="42"/>
        <v>151.25</v>
      </c>
      <c r="Y73" s="2"/>
      <c r="Z73" s="7">
        <f t="shared" si="43"/>
        <v>0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>
        <v>131.03</v>
      </c>
      <c r="E74" s="2"/>
      <c r="F74" s="7">
        <f t="shared" si="36"/>
        <v>1.2639370205735339E-3</v>
      </c>
      <c r="G74" s="2"/>
      <c r="H74" s="6"/>
      <c r="I74" s="2"/>
      <c r="J74" s="7">
        <f t="shared" si="37"/>
        <v>0</v>
      </c>
      <c r="K74" s="2"/>
      <c r="L74" s="6">
        <f t="shared" si="38"/>
        <v>131.03</v>
      </c>
      <c r="M74" s="2"/>
      <c r="N74" s="7">
        <f t="shared" si="39"/>
        <v>0</v>
      </c>
      <c r="O74" s="11"/>
      <c r="P74" s="6">
        <v>261.22000000000003</v>
      </c>
      <c r="Q74" s="2"/>
      <c r="R74" s="7">
        <f t="shared" si="40"/>
        <v>1.0921211415789024E-3</v>
      </c>
      <c r="S74" s="2"/>
      <c r="T74" s="6"/>
      <c r="U74" s="2"/>
      <c r="V74" s="7">
        <f t="shared" si="41"/>
        <v>0</v>
      </c>
      <c r="W74" s="2"/>
      <c r="X74" s="6">
        <f t="shared" si="42"/>
        <v>261.22000000000003</v>
      </c>
      <c r="Y74" s="2"/>
      <c r="Z74" s="7">
        <f t="shared" si="43"/>
        <v>0</v>
      </c>
    </row>
    <row r="75" spans="1:26" s="24" customFormat="1" hidden="1" outlineLevel="2" x14ac:dyDescent="0.25">
      <c r="A75" s="27"/>
      <c r="B75" s="11" t="str">
        <f>CONCATENATE("          ", "6245", " - ", "PRINTING")</f>
        <v xml:space="preserve">          6245 - PRINTING</v>
      </c>
      <c r="C75" s="11"/>
      <c r="D75" s="6">
        <v>8.76</v>
      </c>
      <c r="E75" s="2"/>
      <c r="F75" s="7">
        <f t="shared" si="36"/>
        <v>8.4500406778784682E-5</v>
      </c>
      <c r="G75" s="2"/>
      <c r="H75" s="6"/>
      <c r="I75" s="2"/>
      <c r="J75" s="7">
        <f t="shared" si="37"/>
        <v>0</v>
      </c>
      <c r="K75" s="2"/>
      <c r="L75" s="6">
        <f t="shared" si="38"/>
        <v>8.76</v>
      </c>
      <c r="M75" s="2"/>
      <c r="N75" s="7">
        <f t="shared" si="39"/>
        <v>0</v>
      </c>
      <c r="O75" s="11"/>
      <c r="P75" s="6">
        <v>44.3</v>
      </c>
      <c r="Q75" s="2"/>
      <c r="R75" s="7">
        <f t="shared" si="40"/>
        <v>1.852115709821046E-4</v>
      </c>
      <c r="S75" s="2"/>
      <c r="T75" s="6"/>
      <c r="U75" s="2"/>
      <c r="V75" s="7">
        <f t="shared" si="41"/>
        <v>0</v>
      </c>
      <c r="W75" s="2"/>
      <c r="X75" s="6">
        <f t="shared" si="42"/>
        <v>44.3</v>
      </c>
      <c r="Y75" s="2"/>
      <c r="Z75" s="7">
        <f t="shared" si="43"/>
        <v>0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6">
        <v>150.4</v>
      </c>
      <c r="E76" s="2"/>
      <c r="F76" s="7">
        <f t="shared" si="36"/>
        <v>1.450783239672285E-3</v>
      </c>
      <c r="G76" s="2"/>
      <c r="H76" s="6">
        <v>515</v>
      </c>
      <c r="I76" s="2"/>
      <c r="J76" s="7">
        <f t="shared" si="37"/>
        <v>4.9546386000019239E-3</v>
      </c>
      <c r="K76" s="2"/>
      <c r="L76" s="6">
        <f t="shared" si="38"/>
        <v>-364.6</v>
      </c>
      <c r="M76" s="2"/>
      <c r="N76" s="7">
        <f t="shared" si="39"/>
        <v>-0.70796116504854378</v>
      </c>
      <c r="O76" s="11"/>
      <c r="P76" s="6">
        <v>2247.5700000000002</v>
      </c>
      <c r="Q76" s="2"/>
      <c r="R76" s="7">
        <f t="shared" si="40"/>
        <v>9.3967487718340618E-3</v>
      </c>
      <c r="S76" s="2"/>
      <c r="T76" s="6">
        <v>1199</v>
      </c>
      <c r="U76" s="2"/>
      <c r="V76" s="7">
        <f t="shared" si="41"/>
        <v>4.9524375988732067E-3</v>
      </c>
      <c r="W76" s="2"/>
      <c r="X76" s="6">
        <f t="shared" si="42"/>
        <v>1048.5700000000002</v>
      </c>
      <c r="Y76" s="2"/>
      <c r="Z76" s="7">
        <f t="shared" si="43"/>
        <v>0.87453711426188507</v>
      </c>
    </row>
    <row r="77" spans="1:26" s="26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124.25</v>
      </c>
      <c r="E77" s="1"/>
      <c r="F77" s="5">
        <f t="shared" ref="F77:F80" si="44">IF(D$12=0,0,D77/D$12)</f>
        <v>1.1985360208063925E-3</v>
      </c>
      <c r="G77" s="1"/>
      <c r="H77" s="1">
        <f>SUM(OSRRefH22_13x_0)</f>
        <v>75</v>
      </c>
      <c r="I77" s="1"/>
      <c r="J77" s="5">
        <f t="shared" ref="J77:J80" si="45">IF(H$12=0,0,H77/H$12)</f>
        <v>7.215493106798919E-4</v>
      </c>
      <c r="K77" s="1"/>
      <c r="L77" s="1">
        <f t="shared" ref="L77:L80" si="46">+D77-H77</f>
        <v>49.25</v>
      </c>
      <c r="M77" s="1"/>
      <c r="N77" s="5">
        <f t="shared" ref="N77:N80" si="47">IF(H77=0,0,L77/H77)</f>
        <v>0.65666666666666662</v>
      </c>
      <c r="O77" s="13"/>
      <c r="P77" s="1">
        <f>SUM(OSRRefP22_13x_0)</f>
        <v>447.85</v>
      </c>
      <c r="Q77" s="1"/>
      <c r="R77" s="5">
        <f t="shared" ref="R77:R80" si="48">IF(P$12=0,0,P77/P$12)</f>
        <v>1.8723928231226988E-3</v>
      </c>
      <c r="S77" s="1"/>
      <c r="T77" s="1">
        <f>SUM(OSRRefT22_13x_0)</f>
        <v>300</v>
      </c>
      <c r="U77" s="1"/>
      <c r="V77" s="5">
        <f t="shared" ref="V77:V80" si="49">IF(T$12=0,0,T77/T$12)</f>
        <v>1.2391420180666907E-3</v>
      </c>
      <c r="W77" s="1"/>
      <c r="X77" s="1">
        <f t="shared" ref="X77:X80" si="50">+P77-T77</f>
        <v>147.85000000000002</v>
      </c>
      <c r="Y77" s="1"/>
      <c r="Z77" s="5">
        <f t="shared" ref="Z77:Z80" si="51">IF(T77=0,0,X77/T77)</f>
        <v>0.4928333333333334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124.25</v>
      </c>
      <c r="E78" s="2"/>
      <c r="F78" s="7">
        <f t="shared" si="44"/>
        <v>1.1985360208063925E-3</v>
      </c>
      <c r="G78" s="2"/>
      <c r="H78" s="6">
        <v>75</v>
      </c>
      <c r="I78" s="2"/>
      <c r="J78" s="7">
        <f t="shared" si="45"/>
        <v>7.215493106798919E-4</v>
      </c>
      <c r="K78" s="2"/>
      <c r="L78" s="6">
        <f t="shared" si="46"/>
        <v>49.25</v>
      </c>
      <c r="M78" s="2"/>
      <c r="N78" s="7">
        <f t="shared" si="47"/>
        <v>0.65666666666666662</v>
      </c>
      <c r="O78" s="11"/>
      <c r="P78" s="6">
        <v>447.85</v>
      </c>
      <c r="Q78" s="2"/>
      <c r="R78" s="7">
        <f t="shared" si="48"/>
        <v>1.8723928231226988E-3</v>
      </c>
      <c r="S78" s="2"/>
      <c r="T78" s="6">
        <v>300</v>
      </c>
      <c r="U78" s="2"/>
      <c r="V78" s="7">
        <f t="shared" si="49"/>
        <v>1.2391420180666907E-3</v>
      </c>
      <c r="W78" s="2"/>
      <c r="X78" s="6">
        <f t="shared" si="50"/>
        <v>147.85000000000002</v>
      </c>
      <c r="Y78" s="2"/>
      <c r="Z78" s="7">
        <f t="shared" si="51"/>
        <v>0.4928333333333334</v>
      </c>
    </row>
    <row r="79" spans="1:26" s="26" customFormat="1" outlineLevel="1" collapsed="1" x14ac:dyDescent="0.25">
      <c r="A79" s="25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SUM(OSRRefD22_14x_0)</f>
        <v>0</v>
      </c>
      <c r="E79" s="1"/>
      <c r="F79" s="5">
        <f t="shared" si="44"/>
        <v>0</v>
      </c>
      <c r="G79" s="1"/>
      <c r="H79" s="1">
        <f>SUM(OSRRefH22_14x_0)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SUM(OSRRefP22_14x_0)</f>
        <v>96</v>
      </c>
      <c r="Q79" s="1"/>
      <c r="R79" s="5">
        <f t="shared" si="48"/>
        <v>4.0136141792961722E-4</v>
      </c>
      <c r="S79" s="1"/>
      <c r="T79" s="1">
        <f>SUM(OSRRefT22_14x_0)</f>
        <v>500</v>
      </c>
      <c r="U79" s="1"/>
      <c r="V79" s="5">
        <f t="shared" si="49"/>
        <v>2.0652366967778175E-3</v>
      </c>
      <c r="W79" s="1"/>
      <c r="X79" s="1">
        <f t="shared" si="50"/>
        <v>-404</v>
      </c>
      <c r="Y79" s="1"/>
      <c r="Z79" s="5">
        <f t="shared" si="51"/>
        <v>-0.80800000000000005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96</v>
      </c>
      <c r="Q80" s="2"/>
      <c r="R80" s="7">
        <f t="shared" si="48"/>
        <v>4.0136141792961722E-4</v>
      </c>
      <c r="S80" s="2"/>
      <c r="T80" s="6">
        <v>500</v>
      </c>
      <c r="U80" s="2"/>
      <c r="V80" s="7">
        <f t="shared" si="49"/>
        <v>2.0652366967778175E-3</v>
      </c>
      <c r="W80" s="2"/>
      <c r="X80" s="6">
        <f t="shared" si="50"/>
        <v>-404</v>
      </c>
      <c r="Y80" s="2"/>
      <c r="Z80" s="7">
        <f t="shared" si="51"/>
        <v>-0.80800000000000005</v>
      </c>
    </row>
    <row r="81" spans="1:26" s="61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2">
        <f>+D25-D27+D82</f>
        <v>26631.070000000003</v>
      </c>
      <c r="E84" s="14"/>
      <c r="F84" s="20">
        <f>IF(D$12=0,0,D84/D$12)</f>
        <v>0.25688769953816093</v>
      </c>
      <c r="G84" s="14"/>
      <c r="H84" s="22">
        <f>+H25-H27+H82</f>
        <v>27963.440372999998</v>
      </c>
      <c r="I84" s="14"/>
      <c r="J84" s="20">
        <f>IF(H$12=0,0,H84/H$12)</f>
        <v>0.26902668167168542</v>
      </c>
      <c r="K84" s="16"/>
      <c r="L84" s="22">
        <f>+D84-H84</f>
        <v>-1332.3703729999943</v>
      </c>
      <c r="M84" s="16"/>
      <c r="N84" s="20">
        <f>IF(H84=0,0,L84/H84)</f>
        <v>-4.7646868741031585E-2</v>
      </c>
      <c r="O84" s="29"/>
      <c r="P84" s="22">
        <f>+P25-P27+P82</f>
        <v>45341.149999999965</v>
      </c>
      <c r="Q84" s="14"/>
      <c r="R84" s="20">
        <f>IF(P$12=0,0,P84/P$12)</f>
        <v>0.18956446098499427</v>
      </c>
      <c r="S84" s="14"/>
      <c r="T84" s="22">
        <f>+T25-T27+T82</f>
        <v>46078.550257299998</v>
      </c>
      <c r="U84" s="14"/>
      <c r="V84" s="20">
        <f>IF(T$12=0,0,T84/T$12)</f>
        <v>0.19032622585139383</v>
      </c>
      <c r="W84" s="16"/>
      <c r="X84" s="22">
        <f>+P84-T84</f>
        <v>-737.40025730003254</v>
      </c>
      <c r="Y84" s="16"/>
      <c r="Z84" s="20">
        <f>IF(T84=0,0,X84/T84)</f>
        <v>-1.6003113231263386E-2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>
        <v>9520.67</v>
      </c>
      <c r="E86" s="4"/>
      <c r="F86" s="12">
        <f>IF(D$12=0,0,D86/D$12)</f>
        <v>9.1837955229060728E-2</v>
      </c>
      <c r="G86" s="4"/>
      <c r="H86" s="4">
        <v>11680</v>
      </c>
      <c r="I86" s="4"/>
      <c r="J86" s="12">
        <f>IF(H$12=0,0,H86/H$12)</f>
        <v>0.1123692793165485</v>
      </c>
      <c r="K86" s="4"/>
      <c r="L86" s="4">
        <f>+D86-H86</f>
        <v>-2159.33</v>
      </c>
      <c r="M86" s="4"/>
      <c r="N86" s="12">
        <f>IF(H86=0,0,L86/H86)</f>
        <v>-0.18487414383561643</v>
      </c>
      <c r="O86" s="10"/>
      <c r="P86" s="4">
        <v>24077.070000000003</v>
      </c>
      <c r="Q86" s="4"/>
      <c r="R86" s="12">
        <f>IF(P$12=0,0,P86/P$12)</f>
        <v>0.10066257244573594</v>
      </c>
      <c r="S86" s="4"/>
      <c r="T86" s="4">
        <v>29155</v>
      </c>
      <c r="U86" s="4"/>
      <c r="V86" s="12">
        <f>IF(T$12=0,0,T86/T$12)</f>
        <v>0.12042395178911455</v>
      </c>
      <c r="W86" s="4"/>
      <c r="X86" s="4">
        <f>+P86-T86</f>
        <v>-5077.9299999999967</v>
      </c>
      <c r="Y86" s="4"/>
      <c r="Z86" s="12">
        <f>IF(T86=0,0,X86/T86)</f>
        <v>-0.17417012519293421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1">
        <f>+D84-D86</f>
        <v>17110.400000000001</v>
      </c>
      <c r="E88" s="14"/>
      <c r="F88" s="33">
        <f>IF(D$12=0,0,D88/D$12)</f>
        <v>0.16504974430910019</v>
      </c>
      <c r="G88" s="14"/>
      <c r="H88" s="31">
        <f>+H84-H86</f>
        <v>16283.440372999998</v>
      </c>
      <c r="I88" s="14"/>
      <c r="J88" s="33">
        <f>IF(H$12=0,0,H88/H$12)</f>
        <v>0.15665740235513692</v>
      </c>
      <c r="K88" s="16"/>
      <c r="L88" s="31">
        <f>D88-H88</f>
        <v>826.95962700000382</v>
      </c>
      <c r="M88" s="16"/>
      <c r="N88" s="33">
        <f>IF(H88=0,0,L88/H88)</f>
        <v>5.078531367187044E-2</v>
      </c>
      <c r="O88" s="29"/>
      <c r="P88" s="31">
        <f>+P84-P86</f>
        <v>21264.079999999962</v>
      </c>
      <c r="Q88" s="14"/>
      <c r="R88" s="33">
        <f>IF(P$12=0,0,P88/P$12)</f>
        <v>8.8901888539258331E-2</v>
      </c>
      <c r="S88" s="14"/>
      <c r="T88" s="31">
        <f>+T84-T86</f>
        <v>16923.550257299998</v>
      </c>
      <c r="U88" s="14"/>
      <c r="V88" s="33">
        <f>IF(T$12=0,0,T88/T$12)</f>
        <v>6.9902274062279265E-2</v>
      </c>
      <c r="W88" s="16"/>
      <c r="X88" s="31">
        <f>P88-T88</f>
        <v>4340.5297426999641</v>
      </c>
      <c r="Y88" s="16"/>
      <c r="Z88" s="33">
        <f>IF(T88=0,0,X88/T88)</f>
        <v>0.25647867478797309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2">
        <f>SUM(D88:D90)</f>
        <v>17110.400000000001</v>
      </c>
      <c r="E91" s="14"/>
      <c r="F91" s="34">
        <f>IF(D$12=0,0,D91/D$12)</f>
        <v>0.16504974430910019</v>
      </c>
      <c r="G91" s="14"/>
      <c r="H91" s="32">
        <f>SUM(H88:H90)</f>
        <v>16283.440372999998</v>
      </c>
      <c r="I91" s="14"/>
      <c r="J91" s="34">
        <f>IF(H$12=0,0,H91/H$12)</f>
        <v>0.15665740235513692</v>
      </c>
      <c r="K91" s="16"/>
      <c r="L91" s="32">
        <f>+D91-H91</f>
        <v>826.95962700000382</v>
      </c>
      <c r="M91" s="16"/>
      <c r="N91" s="34">
        <f>IF(H91=0,0,L91/H91)</f>
        <v>5.078531367187044E-2</v>
      </c>
      <c r="O91" s="29"/>
      <c r="P91" s="32">
        <f>SUM(P88:P90)</f>
        <v>21264.079999999962</v>
      </c>
      <c r="Q91" s="14"/>
      <c r="R91" s="34">
        <f>IF(P$12=0,0,P91/P$12)</f>
        <v>8.8901888539258331E-2</v>
      </c>
      <c r="S91" s="14"/>
      <c r="T91" s="32">
        <f>SUM(T88:T90)</f>
        <v>16923.550257299998</v>
      </c>
      <c r="U91" s="14"/>
      <c r="V91" s="34">
        <f>IF(T$12=0,0,T91/T$12)</f>
        <v>6.9902274062279265E-2</v>
      </c>
      <c r="W91" s="16"/>
      <c r="X91" s="32">
        <f>+P91-T91</f>
        <v>4340.5297426999641</v>
      </c>
      <c r="Y91" s="16"/>
      <c r="Z91" s="34">
        <f>IF(T91=0,0,X91/T91)</f>
        <v>0.25647867478797309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0">
        <v>43791.348180868059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4" t="s">
        <v>314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5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","321", " - ", "Student Union C-Store")</f>
        <v>Department 321 - Student Union C-Store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62250.740000000005</v>
      </c>
      <c r="E12" s="4"/>
      <c r="F12" s="12"/>
      <c r="G12" s="4"/>
      <c r="H12" s="4">
        <f>SUM(OSRRefH13x_0)</f>
        <v>52561</v>
      </c>
      <c r="I12" s="4"/>
      <c r="J12" s="12"/>
      <c r="K12" s="4"/>
      <c r="L12" s="4">
        <f t="shared" ref="L12:L15" si="0">+D12-H12</f>
        <v>9689.7400000000052</v>
      </c>
      <c r="M12" s="4"/>
      <c r="N12" s="12">
        <f t="shared" ref="N12:N15" si="1">IF(H12=0,0,L12/H12)</f>
        <v>0.18435227640265606</v>
      </c>
      <c r="O12" s="10"/>
      <c r="P12" s="4">
        <f>SUM(OSRRefP13x_0)</f>
        <v>134186.04999999999</v>
      </c>
      <c r="Q12" s="4"/>
      <c r="R12" s="12"/>
      <c r="S12" s="4"/>
      <c r="T12" s="4">
        <f>SUM(OSRRefT13x_0)</f>
        <v>122129.99999999999</v>
      </c>
      <c r="U12" s="4"/>
      <c r="V12" s="12"/>
      <c r="W12" s="4"/>
      <c r="X12" s="4">
        <f t="shared" ref="X12:X15" si="2">+P12-T12</f>
        <v>12056.050000000003</v>
      </c>
      <c r="Y12" s="4"/>
      <c r="Z12" s="12">
        <f t="shared" ref="Z12:Z15" si="3">IF(T12=0,0,X12/T12)</f>
        <v>9.8714893965446693E-2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--13667.44</f>
        <v>13667.44</v>
      </c>
      <c r="E13" s="2"/>
      <c r="F13" s="19"/>
      <c r="G13" s="2"/>
      <c r="H13" s="2"/>
      <c r="I13" s="2"/>
      <c r="J13" s="19"/>
      <c r="K13" s="2"/>
      <c r="L13" s="2">
        <f t="shared" si="0"/>
        <v>13667.44</v>
      </c>
      <c r="M13" s="2"/>
      <c r="N13" s="19">
        <f t="shared" si="1"/>
        <v>0</v>
      </c>
      <c r="O13" s="11"/>
      <c r="P13" s="2">
        <f>--31189.72</f>
        <v>31189.72</v>
      </c>
      <c r="Q13" s="2"/>
      <c r="R13" s="19"/>
      <c r="S13" s="2"/>
      <c r="T13" s="2"/>
      <c r="U13" s="2"/>
      <c r="V13" s="19"/>
      <c r="W13" s="2"/>
      <c r="X13" s="2">
        <f t="shared" si="2"/>
        <v>31189.72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52561</v>
      </c>
      <c r="I14" s="2"/>
      <c r="J14" s="19"/>
      <c r="K14" s="2"/>
      <c r="L14" s="2">
        <f t="shared" si="0"/>
        <v>-52561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122129.99999999999</v>
      </c>
      <c r="U14" s="2"/>
      <c r="V14" s="19"/>
      <c r="W14" s="2"/>
      <c r="X14" s="2">
        <f t="shared" si="2"/>
        <v>-122129.99999999999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--48583.3</f>
        <v>48583.3</v>
      </c>
      <c r="E15" s="2"/>
      <c r="F15" s="19"/>
      <c r="G15" s="2"/>
      <c r="H15" s="2"/>
      <c r="I15" s="2"/>
      <c r="J15" s="19"/>
      <c r="K15" s="2"/>
      <c r="L15" s="2">
        <f t="shared" si="0"/>
        <v>48583.3</v>
      </c>
      <c r="M15" s="2"/>
      <c r="N15" s="19">
        <f t="shared" si="1"/>
        <v>0</v>
      </c>
      <c r="O15" s="11"/>
      <c r="P15" s="2">
        <f>--102996.33</f>
        <v>102996.33</v>
      </c>
      <c r="Q15" s="2"/>
      <c r="R15" s="19"/>
      <c r="S15" s="2"/>
      <c r="T15" s="2"/>
      <c r="U15" s="2"/>
      <c r="V15" s="19"/>
      <c r="W15" s="2"/>
      <c r="X15" s="2">
        <f t="shared" si="2"/>
        <v>102996.33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31771.040000000001</v>
      </c>
      <c r="E17" s="4"/>
      <c r="F17" s="12">
        <f t="shared" ref="F17:F20" si="4">IF(D$12=0,0,D17/D$12)</f>
        <v>0.51037208553665381</v>
      </c>
      <c r="G17" s="4"/>
      <c r="H17" s="4">
        <f>SUM(OSRRefH16x_0)</f>
        <v>25124</v>
      </c>
      <c r="I17" s="4"/>
      <c r="J17" s="12">
        <f t="shared" ref="J17:J20" si="5">IF(H$12=0,0,H17/H$12)</f>
        <v>0.47799699396891232</v>
      </c>
      <c r="K17" s="4"/>
      <c r="L17" s="4">
        <f t="shared" ref="L17:L20" si="6">+D17-H17</f>
        <v>6647.0400000000009</v>
      </c>
      <c r="M17" s="4"/>
      <c r="N17" s="12">
        <f t="shared" ref="N17:N20" si="7">IF(H17=0,0,L17/H17)</f>
        <v>0.26456933609297884</v>
      </c>
      <c r="O17" s="10"/>
      <c r="P17" s="4">
        <f>SUM(OSRRefP16x_0)</f>
        <v>65694.209999999992</v>
      </c>
      <c r="Q17" s="4"/>
      <c r="R17" s="12">
        <f t="shared" ref="R17:R20" si="8">IF(P$12=0,0,P17/P$12)</f>
        <v>0.48957555573027151</v>
      </c>
      <c r="S17" s="4"/>
      <c r="T17" s="4">
        <f>SUM(OSRRefT16x_0)</f>
        <v>58378</v>
      </c>
      <c r="U17" s="4"/>
      <c r="V17" s="12">
        <f t="shared" ref="V17:V20" si="9">IF(T$12=0,0,T17/T$12)</f>
        <v>0.47799885368050443</v>
      </c>
      <c r="W17" s="4"/>
      <c r="X17" s="4">
        <f t="shared" ref="X17:X20" si="10">+P17-T17</f>
        <v>7316.2099999999919</v>
      </c>
      <c r="Y17" s="4"/>
      <c r="Z17" s="12">
        <f t="shared" ref="Z17:Z20" si="11">IF(T17=0,0,X17/T17)</f>
        <v>0.12532477988283244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25124</v>
      </c>
      <c r="I18" s="2"/>
      <c r="J18" s="19">
        <f t="shared" si="5"/>
        <v>0.47799699396891232</v>
      </c>
      <c r="K18" s="2"/>
      <c r="L18" s="2">
        <f t="shared" si="6"/>
        <v>-25124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58378</v>
      </c>
      <c r="U18" s="2"/>
      <c r="V18" s="19">
        <f t="shared" si="9"/>
        <v>0.47799885368050443</v>
      </c>
      <c r="W18" s="2"/>
      <c r="X18" s="2">
        <f t="shared" si="10"/>
        <v>-58378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27866.799999999999</v>
      </c>
      <c r="E19" s="2"/>
      <c r="F19" s="19">
        <f t="shared" si="4"/>
        <v>0.44765411624022455</v>
      </c>
      <c r="G19" s="2"/>
      <c r="H19" s="2"/>
      <c r="I19" s="2"/>
      <c r="J19" s="19">
        <f t="shared" si="5"/>
        <v>0</v>
      </c>
      <c r="K19" s="2"/>
      <c r="L19" s="2">
        <f t="shared" si="6"/>
        <v>27866.799999999999</v>
      </c>
      <c r="M19" s="2"/>
      <c r="N19" s="19">
        <f t="shared" si="7"/>
        <v>0</v>
      </c>
      <c r="O19" s="11"/>
      <c r="P19" s="2">
        <v>66697.2</v>
      </c>
      <c r="Q19" s="2"/>
      <c r="R19" s="19">
        <f t="shared" si="8"/>
        <v>0.49705017771966609</v>
      </c>
      <c r="S19" s="2"/>
      <c r="T19" s="2"/>
      <c r="U19" s="2"/>
      <c r="V19" s="19">
        <f t="shared" si="9"/>
        <v>0</v>
      </c>
      <c r="W19" s="2"/>
      <c r="X19" s="2">
        <f t="shared" si="10"/>
        <v>66697.2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3904.24</v>
      </c>
      <c r="E20" s="2"/>
      <c r="F20" s="19">
        <f t="shared" si="4"/>
        <v>6.2717969296429241E-2</v>
      </c>
      <c r="G20" s="2"/>
      <c r="H20" s="2"/>
      <c r="I20" s="2"/>
      <c r="J20" s="19">
        <f t="shared" si="5"/>
        <v>0</v>
      </c>
      <c r="K20" s="2"/>
      <c r="L20" s="2">
        <f t="shared" si="6"/>
        <v>3904.24</v>
      </c>
      <c r="M20" s="2"/>
      <c r="N20" s="19">
        <f t="shared" si="7"/>
        <v>0</v>
      </c>
      <c r="O20" s="11"/>
      <c r="P20" s="2">
        <v>-1002.99</v>
      </c>
      <c r="Q20" s="2"/>
      <c r="R20" s="19">
        <f t="shared" si="8"/>
        <v>-7.4746219893945766E-3</v>
      </c>
      <c r="S20" s="2"/>
      <c r="T20" s="2"/>
      <c r="U20" s="2"/>
      <c r="V20" s="19">
        <f t="shared" si="9"/>
        <v>0</v>
      </c>
      <c r="W20" s="2"/>
      <c r="X20" s="2">
        <f t="shared" si="10"/>
        <v>-1002.99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30479.700000000004</v>
      </c>
      <c r="E22" s="14"/>
      <c r="F22" s="20">
        <f>IF(D$12=0,0,D22/D$12)</f>
        <v>0.48962791446334619</v>
      </c>
      <c r="G22" s="14"/>
      <c r="H22" s="22">
        <f>H12-H17</f>
        <v>27437</v>
      </c>
      <c r="I22" s="14"/>
      <c r="J22" s="20">
        <f>IF(H$12=0,0,H22/H$12)</f>
        <v>0.52200300603108774</v>
      </c>
      <c r="K22" s="16"/>
      <c r="L22" s="22">
        <f>+D22-H22</f>
        <v>3042.7000000000044</v>
      </c>
      <c r="M22" s="16"/>
      <c r="N22" s="20">
        <f>IF(H22=0,0,L22/H22)</f>
        <v>0.11089769289645385</v>
      </c>
      <c r="O22" s="29"/>
      <c r="P22" s="22">
        <f>P12-P17</f>
        <v>68491.839999999997</v>
      </c>
      <c r="Q22" s="14"/>
      <c r="R22" s="20">
        <f>IF(P$12=0,0,P22/P$12)</f>
        <v>0.51042444426972855</v>
      </c>
      <c r="S22" s="14"/>
      <c r="T22" s="22">
        <f>T12-T17</f>
        <v>63751.999999999985</v>
      </c>
      <c r="U22" s="14"/>
      <c r="V22" s="20">
        <f>IF(T$12=0,0,T22/T$12)</f>
        <v>0.52200114631949557</v>
      </c>
      <c r="W22" s="16"/>
      <c r="X22" s="22">
        <f>+P22-T22</f>
        <v>4739.8400000000111</v>
      </c>
      <c r="Y22" s="16"/>
      <c r="Z22" s="20">
        <f>IF(T22=0,0,X22/T22)</f>
        <v>7.4348098883172481E-2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16290.52</v>
      </c>
      <c r="E24" s="21"/>
      <c r="F24" s="35">
        <f t="shared" ref="F24:F33" si="12">IF(D$12=0,0,D24/D$12)</f>
        <v>0.26169198952494377</v>
      </c>
      <c r="G24" s="21"/>
      <c r="H24" s="21">
        <f>SUM(OSRRefH22x_0)</f>
        <v>20069.551131730768</v>
      </c>
      <c r="I24" s="21"/>
      <c r="J24" s="35">
        <f t="shared" ref="J24:J33" si="13">IF(H$12=0,0,H24/H$12)</f>
        <v>0.38183351024011658</v>
      </c>
      <c r="K24" s="4"/>
      <c r="L24" s="21">
        <f t="shared" ref="L24:L33" si="14">+D24-H24</f>
        <v>-3779.0311317307678</v>
      </c>
      <c r="M24" s="4"/>
      <c r="N24" s="35">
        <f t="shared" ref="N24:N33" si="15">IF(H24=0,0,L24/H24)</f>
        <v>-0.18829674400420285</v>
      </c>
      <c r="O24" s="10"/>
      <c r="P24" s="21">
        <f>SUM(OSRRefP22x_0)</f>
        <v>53247.88</v>
      </c>
      <c r="Q24" s="21"/>
      <c r="R24" s="35">
        <f t="shared" ref="R24:R33" si="16">IF(P$12=0,0,P24/P$12)</f>
        <v>0.39682127911209847</v>
      </c>
      <c r="S24" s="21"/>
      <c r="T24" s="21">
        <f>SUM(OSRRefT22x_0)</f>
        <v>53974.585324230778</v>
      </c>
      <c r="U24" s="21"/>
      <c r="V24" s="35">
        <f t="shared" ref="V24:V33" si="17">IF(T$12=0,0,T24/T$12)</f>
        <v>0.44194371017956918</v>
      </c>
      <c r="W24" s="4"/>
      <c r="X24" s="21">
        <f t="shared" ref="X24:X33" si="18">+P24-T24</f>
        <v>-726.70532423078112</v>
      </c>
      <c r="Y24" s="4"/>
      <c r="Z24" s="35">
        <f t="shared" ref="Z24:Z33" si="19">IF(T24=0,0,X24/T24)</f>
        <v>-1.3463842656046155E-2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1835.59</v>
      </c>
      <c r="E25" s="1"/>
      <c r="F25" s="5">
        <f t="shared" si="12"/>
        <v>2.9487039029576192E-2</v>
      </c>
      <c r="G25" s="1"/>
      <c r="H25" s="1">
        <f>SUM(OSRRefH22_0x_0)</f>
        <v>1639.6328624999996</v>
      </c>
      <c r="I25" s="1"/>
      <c r="J25" s="5">
        <f t="shared" si="13"/>
        <v>3.1194856690321716E-2</v>
      </c>
      <c r="K25" s="1"/>
      <c r="L25" s="1">
        <f t="shared" si="14"/>
        <v>195.95713750000027</v>
      </c>
      <c r="M25" s="1"/>
      <c r="N25" s="5">
        <f t="shared" si="15"/>
        <v>0.11951281410718878</v>
      </c>
      <c r="O25" s="13"/>
      <c r="P25" s="1">
        <f>SUM(OSRRefP22_0x_0)</f>
        <v>6509.73</v>
      </c>
      <c r="Q25" s="1"/>
      <c r="R25" s="5">
        <f t="shared" si="16"/>
        <v>4.8512717976272497E-2</v>
      </c>
      <c r="S25" s="1"/>
      <c r="T25" s="1">
        <f>SUM(OSRRefT22_0x_0)</f>
        <v>5870.2795550000001</v>
      </c>
      <c r="U25" s="1"/>
      <c r="V25" s="5">
        <f t="shared" si="17"/>
        <v>4.8065827847375751E-2</v>
      </c>
      <c r="W25" s="1"/>
      <c r="X25" s="1">
        <f t="shared" si="18"/>
        <v>639.45044499999949</v>
      </c>
      <c r="Y25" s="1"/>
      <c r="Z25" s="5">
        <f t="shared" si="19"/>
        <v>0.1089301521348074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390.65</v>
      </c>
      <c r="E26" s="2"/>
      <c r="F26" s="7">
        <f t="shared" si="12"/>
        <v>6.2754274085737765E-3</v>
      </c>
      <c r="G26" s="2"/>
      <c r="H26" s="6">
        <v>189.18363173076901</v>
      </c>
      <c r="I26" s="2"/>
      <c r="J26" s="7">
        <f t="shared" si="13"/>
        <v>3.5993156852184892E-3</v>
      </c>
      <c r="K26" s="2"/>
      <c r="L26" s="6">
        <f t="shared" si="14"/>
        <v>201.46636826923097</v>
      </c>
      <c r="M26" s="2"/>
      <c r="N26" s="7">
        <f t="shared" si="15"/>
        <v>1.0649249431681371</v>
      </c>
      <c r="O26" s="11"/>
      <c r="P26" s="6">
        <v>1244.96</v>
      </c>
      <c r="Q26" s="2"/>
      <c r="R26" s="7">
        <f t="shared" si="16"/>
        <v>9.2778645768319453E-3</v>
      </c>
      <c r="S26" s="2"/>
      <c r="T26" s="6">
        <v>817.66712423076808</v>
      </c>
      <c r="U26" s="2"/>
      <c r="V26" s="7">
        <f t="shared" si="17"/>
        <v>6.6950554673771241E-3</v>
      </c>
      <c r="W26" s="2"/>
      <c r="X26" s="6">
        <f t="shared" si="18"/>
        <v>427.29287576923196</v>
      </c>
      <c r="Y26" s="2"/>
      <c r="Z26" s="7">
        <f t="shared" si="19"/>
        <v>0.52257558498663348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108.19</v>
      </c>
      <c r="E27" s="2"/>
      <c r="F27" s="7">
        <f t="shared" si="12"/>
        <v>1.7379713076503185E-3</v>
      </c>
      <c r="G27" s="2"/>
      <c r="H27" s="6">
        <v>183.340865384615</v>
      </c>
      <c r="I27" s="2"/>
      <c r="J27" s="7">
        <f t="shared" si="13"/>
        <v>3.4881540568979853E-3</v>
      </c>
      <c r="K27" s="2"/>
      <c r="L27" s="6">
        <f t="shared" si="14"/>
        <v>-75.150865384615003</v>
      </c>
      <c r="M27" s="2"/>
      <c r="N27" s="7">
        <f t="shared" si="15"/>
        <v>-0.40989697101604972</v>
      </c>
      <c r="O27" s="11"/>
      <c r="P27" s="6">
        <v>360.62</v>
      </c>
      <c r="Q27" s="2"/>
      <c r="R27" s="7">
        <f t="shared" si="16"/>
        <v>2.6874626684368461E-3</v>
      </c>
      <c r="S27" s="2"/>
      <c r="T27" s="6">
        <v>496.0951153846147</v>
      </c>
      <c r="U27" s="2"/>
      <c r="V27" s="7">
        <f t="shared" si="17"/>
        <v>4.062025017478218E-3</v>
      </c>
      <c r="W27" s="2"/>
      <c r="X27" s="6">
        <f t="shared" si="18"/>
        <v>-135.4751153846147</v>
      </c>
      <c r="Y27" s="2"/>
      <c r="Z27" s="7">
        <f t="shared" si="19"/>
        <v>-0.27308294555487206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935.3</v>
      </c>
      <c r="E28" s="2"/>
      <c r="F28" s="7">
        <f t="shared" si="12"/>
        <v>1.5024720991268536E-2</v>
      </c>
      <c r="G28" s="2"/>
      <c r="H28" s="6">
        <v>690.5</v>
      </c>
      <c r="I28" s="2"/>
      <c r="J28" s="7">
        <f t="shared" si="13"/>
        <v>1.3137116873727669E-2</v>
      </c>
      <c r="K28" s="2"/>
      <c r="L28" s="6">
        <f t="shared" si="14"/>
        <v>244.79999999999995</v>
      </c>
      <c r="M28" s="2"/>
      <c r="N28" s="7">
        <f t="shared" si="15"/>
        <v>0.3545257060101375</v>
      </c>
      <c r="O28" s="11"/>
      <c r="P28" s="6">
        <v>3741.2</v>
      </c>
      <c r="Q28" s="2"/>
      <c r="R28" s="7">
        <f t="shared" si="16"/>
        <v>2.7880692516099849E-2</v>
      </c>
      <c r="S28" s="2"/>
      <c r="T28" s="6">
        <v>2762</v>
      </c>
      <c r="U28" s="2"/>
      <c r="V28" s="7">
        <f t="shared" si="17"/>
        <v>2.2615246049291739E-2</v>
      </c>
      <c r="W28" s="2"/>
      <c r="X28" s="6">
        <f t="shared" si="18"/>
        <v>979.19999999999982</v>
      </c>
      <c r="Y28" s="2"/>
      <c r="Z28" s="7">
        <f t="shared" si="19"/>
        <v>0.3545257060101375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23.62</v>
      </c>
      <c r="E29" s="2"/>
      <c r="F29" s="7">
        <f t="shared" si="12"/>
        <v>3.7943324047232211E-4</v>
      </c>
      <c r="G29" s="2"/>
      <c r="H29" s="6">
        <v>25.088750000000001</v>
      </c>
      <c r="I29" s="2"/>
      <c r="J29" s="7">
        <f t="shared" si="13"/>
        <v>4.7732634462814636E-4</v>
      </c>
      <c r="K29" s="2"/>
      <c r="L29" s="6">
        <f t="shared" si="14"/>
        <v>-1.46875</v>
      </c>
      <c r="M29" s="2"/>
      <c r="N29" s="7">
        <f t="shared" si="15"/>
        <v>-5.8542175277763939E-2</v>
      </c>
      <c r="O29" s="11"/>
      <c r="P29" s="6">
        <v>57.83</v>
      </c>
      <c r="Q29" s="2"/>
      <c r="R29" s="7">
        <f t="shared" si="16"/>
        <v>4.3096879295575065E-4</v>
      </c>
      <c r="S29" s="2"/>
      <c r="T29" s="6">
        <v>67.886700000000005</v>
      </c>
      <c r="U29" s="2"/>
      <c r="V29" s="7">
        <f t="shared" si="17"/>
        <v>5.558560550233359E-4</v>
      </c>
      <c r="W29" s="2"/>
      <c r="X29" s="6">
        <f t="shared" si="18"/>
        <v>-10.056700000000006</v>
      </c>
      <c r="Y29" s="2"/>
      <c r="Z29" s="7">
        <f t="shared" si="19"/>
        <v>-0.14813947356404134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2.1543519000737981E-3</v>
      </c>
      <c r="G30" s="2"/>
      <c r="H30" s="6">
        <v>212.59365384615401</v>
      </c>
      <c r="I30" s="2"/>
      <c r="J30" s="7">
        <f t="shared" si="13"/>
        <v>4.0447033702964942E-3</v>
      </c>
      <c r="K30" s="2"/>
      <c r="L30" s="6">
        <f t="shared" si="14"/>
        <v>-78.483653846153999</v>
      </c>
      <c r="M30" s="2"/>
      <c r="N30" s="7">
        <f t="shared" si="15"/>
        <v>-0.36917213861402304</v>
      </c>
      <c r="O30" s="11"/>
      <c r="P30" s="6">
        <v>536.44000000000005</v>
      </c>
      <c r="Q30" s="2"/>
      <c r="R30" s="7">
        <f t="shared" si="16"/>
        <v>3.997732998325833E-3</v>
      </c>
      <c r="S30" s="2"/>
      <c r="T30" s="6">
        <v>765.33715384615402</v>
      </c>
      <c r="U30" s="2"/>
      <c r="V30" s="7">
        <f t="shared" si="17"/>
        <v>6.266577858398052E-3</v>
      </c>
      <c r="W30" s="2"/>
      <c r="X30" s="6">
        <f t="shared" si="18"/>
        <v>-228.89715384615397</v>
      </c>
      <c r="Y30" s="2"/>
      <c r="Z30" s="7">
        <f t="shared" si="19"/>
        <v>-0.29908015401558075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110.88</v>
      </c>
      <c r="E32" s="2"/>
      <c r="F32" s="7">
        <f t="shared" si="12"/>
        <v>1.781183645367107E-3</v>
      </c>
      <c r="G32" s="2"/>
      <c r="H32" s="6">
        <v>49.440384615384602</v>
      </c>
      <c r="I32" s="2"/>
      <c r="J32" s="7">
        <f t="shared" si="13"/>
        <v>9.4062869076662543E-4</v>
      </c>
      <c r="K32" s="2"/>
      <c r="L32" s="6">
        <f t="shared" si="14"/>
        <v>61.439615384615394</v>
      </c>
      <c r="M32" s="2"/>
      <c r="N32" s="7">
        <f t="shared" si="15"/>
        <v>1.2427009996499285</v>
      </c>
      <c r="O32" s="11"/>
      <c r="P32" s="6">
        <v>258.72000000000003</v>
      </c>
      <c r="Q32" s="2"/>
      <c r="R32" s="7">
        <f t="shared" si="16"/>
        <v>1.9280692739670037E-3</v>
      </c>
      <c r="S32" s="2"/>
      <c r="T32" s="6">
        <v>177.98538461538459</v>
      </c>
      <c r="U32" s="2"/>
      <c r="V32" s="7">
        <f t="shared" si="17"/>
        <v>1.4573436879995465E-3</v>
      </c>
      <c r="W32" s="2"/>
      <c r="X32" s="6">
        <f t="shared" si="18"/>
        <v>80.734615384615438</v>
      </c>
      <c r="Y32" s="2"/>
      <c r="Z32" s="7">
        <f t="shared" si="19"/>
        <v>0.45360249977310185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132.84</v>
      </c>
      <c r="E33" s="2"/>
      <c r="F33" s="7">
        <f t="shared" si="12"/>
        <v>2.1339505361703329E-3</v>
      </c>
      <c r="G33" s="2"/>
      <c r="H33" s="6">
        <v>289.48557692307702</v>
      </c>
      <c r="I33" s="2"/>
      <c r="J33" s="7">
        <f t="shared" si="13"/>
        <v>5.5076116687863058E-3</v>
      </c>
      <c r="K33" s="2"/>
      <c r="L33" s="6">
        <f t="shared" si="14"/>
        <v>-156.64557692307702</v>
      </c>
      <c r="M33" s="2"/>
      <c r="N33" s="7">
        <f t="shared" si="15"/>
        <v>-0.54111703452742776</v>
      </c>
      <c r="O33" s="11"/>
      <c r="P33" s="6">
        <v>309.95999999999998</v>
      </c>
      <c r="Q33" s="2"/>
      <c r="R33" s="7">
        <f t="shared" si="16"/>
        <v>2.3099271496552737E-3</v>
      </c>
      <c r="S33" s="2"/>
      <c r="T33" s="6">
        <v>783.30807692307803</v>
      </c>
      <c r="U33" s="2"/>
      <c r="V33" s="7">
        <f t="shared" si="17"/>
        <v>6.4137237118077305E-3</v>
      </c>
      <c r="W33" s="2"/>
      <c r="X33" s="6">
        <f t="shared" si="18"/>
        <v>-473.34807692307805</v>
      </c>
      <c r="Y33" s="2"/>
      <c r="Z33" s="7">
        <f t="shared" si="19"/>
        <v>-0.60429362452439195</v>
      </c>
    </row>
    <row r="34" spans="1:26" s="26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8942.18</v>
      </c>
      <c r="E34" s="1"/>
      <c r="F34" s="5">
        <f t="shared" ref="F34:F44" si="20">IF(D$12=0,0,D34/D$12)</f>
        <v>0.143647770291566</v>
      </c>
      <c r="G34" s="1"/>
      <c r="H34" s="1">
        <f>SUM(OSRRefH22_1x_0)</f>
        <v>9525.9182692307695</v>
      </c>
      <c r="I34" s="1"/>
      <c r="J34" s="5">
        <f t="shared" ref="J34:J44" si="21">IF(H$12=0,0,H34/H$12)</f>
        <v>0.18123548389929359</v>
      </c>
      <c r="K34" s="1"/>
      <c r="L34" s="1">
        <f t="shared" ref="L34:L44" si="22">+D34-H34</f>
        <v>-583.73826923076922</v>
      </c>
      <c r="M34" s="1"/>
      <c r="N34" s="5">
        <f t="shared" ref="N34:N44" si="23">IF(H34=0,0,L34/H34)</f>
        <v>-6.1278949990183663E-2</v>
      </c>
      <c r="O34" s="13"/>
      <c r="P34" s="1">
        <f>SUM(OSRRefP22_1x_0)</f>
        <v>25638.870000000003</v>
      </c>
      <c r="Q34" s="1"/>
      <c r="R34" s="5">
        <f t="shared" ref="R34:R44" si="24">IF(P$12=0,0,P34/P$12)</f>
        <v>0.19106956349039267</v>
      </c>
      <c r="S34" s="1"/>
      <c r="T34" s="1">
        <f>SUM(OSRRefT22_1x_0)</f>
        <v>25665.305769230778</v>
      </c>
      <c r="U34" s="1"/>
      <c r="V34" s="5">
        <f t="shared" ref="V34:V44" si="25">IF(T$12=0,0,T34/T$12)</f>
        <v>0.21014743117359191</v>
      </c>
      <c r="W34" s="1"/>
      <c r="X34" s="1">
        <f t="shared" ref="X34:X44" si="26">+P34-T34</f>
        <v>-26.435769230774895</v>
      </c>
      <c r="Y34" s="1"/>
      <c r="Z34" s="5">
        <f t="shared" ref="Z34:Z44" si="27">IF(T34=0,0,X34/T34)</f>
        <v>-1.030019648644428E-3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2348.41826923077</v>
      </c>
      <c r="I35" s="2"/>
      <c r="J35" s="7">
        <f t="shared" si="21"/>
        <v>4.4679862811414735E-2</v>
      </c>
      <c r="K35" s="2"/>
      <c r="L35" s="6">
        <f t="shared" si="22"/>
        <v>-2348.41826923077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8454.3057692307793</v>
      </c>
      <c r="U35" s="2"/>
      <c r="V35" s="7">
        <f t="shared" si="25"/>
        <v>6.9223825179978549E-2</v>
      </c>
      <c r="W35" s="2"/>
      <c r="X35" s="6">
        <f t="shared" si="26"/>
        <v>-8454.3057692307793</v>
      </c>
      <c r="Y35" s="2"/>
      <c r="Z35" s="7">
        <f t="shared" si="27"/>
        <v>-1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>
        <v>2400</v>
      </c>
      <c r="E36" s="2"/>
      <c r="F36" s="7">
        <f t="shared" si="20"/>
        <v>3.8553758557729592E-2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2400</v>
      </c>
      <c r="M36" s="2"/>
      <c r="N36" s="7">
        <f t="shared" si="23"/>
        <v>0</v>
      </c>
      <c r="O36" s="11"/>
      <c r="P36" s="6">
        <v>8448</v>
      </c>
      <c r="Q36" s="2"/>
      <c r="R36" s="7">
        <f t="shared" si="24"/>
        <v>6.2957364047902156E-2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8448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1708.78</v>
      </c>
      <c r="Q39" s="2"/>
      <c r="R39" s="7">
        <f t="shared" si="24"/>
        <v>1.273440868108123E-2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1708.78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>
        <v>2226.4699999999998</v>
      </c>
      <c r="E40" s="2"/>
      <c r="F40" s="7">
        <f t="shared" si="20"/>
        <v>3.5766161173345079E-2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2226.4699999999998</v>
      </c>
      <c r="M40" s="2"/>
      <c r="N40" s="7">
        <f t="shared" si="23"/>
        <v>0</v>
      </c>
      <c r="O40" s="11"/>
      <c r="P40" s="6">
        <v>4526.25</v>
      </c>
      <c r="Q40" s="2"/>
      <c r="R40" s="7">
        <f t="shared" si="24"/>
        <v>3.3731151636105246E-2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4526.25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3925.71</v>
      </c>
      <c r="E41" s="2"/>
      <c r="F41" s="7">
        <f t="shared" si="20"/>
        <v>6.3062864794860271E-2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3925.71</v>
      </c>
      <c r="M41" s="2"/>
      <c r="N41" s="7">
        <f t="shared" si="23"/>
        <v>0</v>
      </c>
      <c r="O41" s="11"/>
      <c r="P41" s="6">
        <v>10372.530000000001</v>
      </c>
      <c r="Q41" s="2"/>
      <c r="R41" s="7">
        <f t="shared" si="24"/>
        <v>7.729961497488004E-2</v>
      </c>
      <c r="S41" s="2"/>
      <c r="T41" s="6">
        <v>1785</v>
      </c>
      <c r="U41" s="2"/>
      <c r="V41" s="7">
        <f t="shared" si="25"/>
        <v>1.4615573569147632E-2</v>
      </c>
      <c r="W41" s="2"/>
      <c r="X41" s="6">
        <f t="shared" si="26"/>
        <v>8587.5300000000007</v>
      </c>
      <c r="Y41" s="2"/>
      <c r="Z41" s="7">
        <f t="shared" si="27"/>
        <v>4.8109411764705889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>
        <v>390</v>
      </c>
      <c r="E42" s="2"/>
      <c r="F42" s="7">
        <f t="shared" si="20"/>
        <v>6.2649857656310584E-3</v>
      </c>
      <c r="G42" s="2"/>
      <c r="H42" s="6">
        <v>7177.5</v>
      </c>
      <c r="I42" s="2"/>
      <c r="J42" s="7">
        <f t="shared" si="21"/>
        <v>0.13655562108787886</v>
      </c>
      <c r="K42" s="2"/>
      <c r="L42" s="6">
        <f t="shared" si="22"/>
        <v>-6787.5</v>
      </c>
      <c r="M42" s="2"/>
      <c r="N42" s="7">
        <f t="shared" si="23"/>
        <v>-0.9456635318704284</v>
      </c>
      <c r="O42" s="11"/>
      <c r="P42" s="6">
        <v>583.30999999999995</v>
      </c>
      <c r="Q42" s="2"/>
      <c r="R42" s="7">
        <f t="shared" si="24"/>
        <v>4.347024150423982E-3</v>
      </c>
      <c r="S42" s="2"/>
      <c r="T42" s="6">
        <v>15426</v>
      </c>
      <c r="U42" s="2"/>
      <c r="V42" s="7">
        <f t="shared" si="25"/>
        <v>0.12630803242446575</v>
      </c>
      <c r="W42" s="2"/>
      <c r="X42" s="6">
        <f t="shared" si="26"/>
        <v>-14842.69</v>
      </c>
      <c r="Y42" s="2"/>
      <c r="Z42" s="7">
        <f t="shared" si="27"/>
        <v>-0.96218656813172565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8">IF(D$12=0,0,D45/D$12)</f>
        <v>0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0</v>
      </c>
      <c r="M45" s="1"/>
      <c r="N45" s="5">
        <f t="shared" ref="N45:N62" si="31">IF(H45=0,0,L45/H45)</f>
        <v>0</v>
      </c>
      <c r="O45" s="13"/>
      <c r="P45" s="1">
        <f>SUM(OSRRefP22_2x_0)</f>
        <v>0</v>
      </c>
      <c r="Q45" s="1"/>
      <c r="R45" s="5">
        <f t="shared" ref="R45:R62" si="32">IF(P$12=0,0,P45/P$12)</f>
        <v>0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0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0</v>
      </c>
      <c r="Y46" s="2"/>
      <c r="Z46" s="7">
        <f t="shared" si="35"/>
        <v>0</v>
      </c>
    </row>
    <row r="47" spans="1:26" s="26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-13.45</v>
      </c>
      <c r="E47" s="1"/>
      <c r="F47" s="5">
        <f t="shared" si="28"/>
        <v>-2.1606168858394291E-4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-13.45</v>
      </c>
      <c r="M47" s="1"/>
      <c r="N47" s="5">
        <f t="shared" si="31"/>
        <v>0</v>
      </c>
      <c r="O47" s="13"/>
      <c r="P47" s="1">
        <f>SUM(OSRRefP22_3x_0)</f>
        <v>-39.770000000000003</v>
      </c>
      <c r="Q47" s="1"/>
      <c r="R47" s="5">
        <f t="shared" si="32"/>
        <v>-2.9637954168857349E-4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-39.770000000000003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-13.45</v>
      </c>
      <c r="E48" s="2"/>
      <c r="F48" s="7">
        <f t="shared" si="28"/>
        <v>-2.1606168858394291E-4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-13.45</v>
      </c>
      <c r="M48" s="2"/>
      <c r="N48" s="7">
        <f t="shared" si="31"/>
        <v>0</v>
      </c>
      <c r="O48" s="11"/>
      <c r="P48" s="6">
        <v>-39.770000000000003</v>
      </c>
      <c r="Q48" s="2"/>
      <c r="R48" s="7">
        <f t="shared" si="32"/>
        <v>-2.9637954168857349E-4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-39.770000000000003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2111.5500000000002</v>
      </c>
      <c r="E49" s="1"/>
      <c r="F49" s="5">
        <f t="shared" si="28"/>
        <v>3.392007870107247E-2</v>
      </c>
      <c r="G49" s="1"/>
      <c r="H49" s="1">
        <f>SUM(OSRRefH22_4x_0)</f>
        <v>1614</v>
      </c>
      <c r="I49" s="1"/>
      <c r="J49" s="5">
        <f t="shared" si="29"/>
        <v>3.0707178326135346E-2</v>
      </c>
      <c r="K49" s="1"/>
      <c r="L49" s="1">
        <f t="shared" si="30"/>
        <v>497.55000000000018</v>
      </c>
      <c r="M49" s="1"/>
      <c r="N49" s="5">
        <f t="shared" si="31"/>
        <v>0.30827137546468414</v>
      </c>
      <c r="O49" s="13"/>
      <c r="P49" s="1">
        <f>SUM(OSRRefP22_4x_0)</f>
        <v>4545.5600000000004</v>
      </c>
      <c r="Q49" s="1"/>
      <c r="R49" s="5">
        <f t="shared" si="32"/>
        <v>3.3875056311740308E-2</v>
      </c>
      <c r="S49" s="1"/>
      <c r="T49" s="1">
        <f>SUM(OSRRefT22_4x_0)</f>
        <v>3750</v>
      </c>
      <c r="U49" s="1"/>
      <c r="V49" s="5">
        <f t="shared" si="33"/>
        <v>3.0704986489805949E-2</v>
      </c>
      <c r="W49" s="1"/>
      <c r="X49" s="1">
        <f t="shared" si="34"/>
        <v>795.5600000000004</v>
      </c>
      <c r="Y49" s="1"/>
      <c r="Z49" s="5">
        <f t="shared" si="35"/>
        <v>0.21214933333333344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2111.5500000000002</v>
      </c>
      <c r="E50" s="2"/>
      <c r="F50" s="7">
        <f t="shared" si="28"/>
        <v>3.392007870107247E-2</v>
      </c>
      <c r="G50" s="2"/>
      <c r="H50" s="6">
        <v>1614</v>
      </c>
      <c r="I50" s="2"/>
      <c r="J50" s="7">
        <f t="shared" si="29"/>
        <v>3.0707178326135346E-2</v>
      </c>
      <c r="K50" s="2"/>
      <c r="L50" s="6">
        <f t="shared" si="30"/>
        <v>497.55000000000018</v>
      </c>
      <c r="M50" s="2"/>
      <c r="N50" s="7">
        <f t="shared" si="31"/>
        <v>0.30827137546468414</v>
      </c>
      <c r="O50" s="11"/>
      <c r="P50" s="6">
        <v>4545.5600000000004</v>
      </c>
      <c r="Q50" s="2"/>
      <c r="R50" s="7">
        <f t="shared" si="32"/>
        <v>3.3875056311740308E-2</v>
      </c>
      <c r="S50" s="2"/>
      <c r="T50" s="6">
        <v>3750</v>
      </c>
      <c r="U50" s="2"/>
      <c r="V50" s="7">
        <f t="shared" si="33"/>
        <v>3.0704986489805949E-2</v>
      </c>
      <c r="W50" s="2"/>
      <c r="X50" s="6">
        <f t="shared" si="34"/>
        <v>795.5600000000004</v>
      </c>
      <c r="Y50" s="2"/>
      <c r="Z50" s="7">
        <f t="shared" si="35"/>
        <v>0.21214933333333344</v>
      </c>
    </row>
    <row r="51" spans="1:26" s="26" customFormat="1" outlineLevel="1" collapsed="1" x14ac:dyDescent="0.25">
      <c r="A51" s="25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1.5563831048434121E-2</v>
      </c>
      <c r="G51" s="1"/>
      <c r="H51" s="1">
        <f>SUM(OSRRefH22_5x_0)</f>
        <v>969</v>
      </c>
      <c r="I51" s="1"/>
      <c r="J51" s="5">
        <f t="shared" si="29"/>
        <v>1.8435722303609139E-2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3875.44</v>
      </c>
      <c r="Q51" s="1"/>
      <c r="R51" s="5">
        <f t="shared" si="32"/>
        <v>2.8881094569815569E-2</v>
      </c>
      <c r="S51" s="1"/>
      <c r="T51" s="1">
        <f>SUM(OSRRefT22_5x_0)</f>
        <v>3876</v>
      </c>
      <c r="U51" s="1"/>
      <c r="V51" s="5">
        <f t="shared" si="33"/>
        <v>3.173667403586343E-2</v>
      </c>
      <c r="W51" s="1"/>
      <c r="X51" s="1">
        <f t="shared" si="34"/>
        <v>-0.55999999999994543</v>
      </c>
      <c r="Y51" s="1"/>
      <c r="Z51" s="5">
        <f t="shared" si="35"/>
        <v>-1.4447884416923256E-4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968.86</v>
      </c>
      <c r="E52" s="2"/>
      <c r="F52" s="7">
        <f t="shared" si="28"/>
        <v>1.5563831048434121E-2</v>
      </c>
      <c r="G52" s="2"/>
      <c r="H52" s="6">
        <v>969</v>
      </c>
      <c r="I52" s="2"/>
      <c r="J52" s="7">
        <f t="shared" si="29"/>
        <v>1.8435722303609139E-2</v>
      </c>
      <c r="K52" s="2"/>
      <c r="L52" s="6">
        <f t="shared" si="30"/>
        <v>-0.13999999999998636</v>
      </c>
      <c r="M52" s="2"/>
      <c r="N52" s="7">
        <f t="shared" si="31"/>
        <v>-1.4447884416923256E-4</v>
      </c>
      <c r="O52" s="11"/>
      <c r="P52" s="6">
        <v>3875.44</v>
      </c>
      <c r="Q52" s="2"/>
      <c r="R52" s="7">
        <f t="shared" si="32"/>
        <v>2.8881094569815569E-2</v>
      </c>
      <c r="S52" s="2"/>
      <c r="T52" s="6">
        <v>3876</v>
      </c>
      <c r="U52" s="2"/>
      <c r="V52" s="7">
        <f t="shared" si="33"/>
        <v>3.173667403586343E-2</v>
      </c>
      <c r="W52" s="2"/>
      <c r="X52" s="6">
        <f t="shared" si="34"/>
        <v>-0.55999999999994543</v>
      </c>
      <c r="Y52" s="2"/>
      <c r="Z52" s="7">
        <f t="shared" si="35"/>
        <v>-1.4447884416923256E-4</v>
      </c>
    </row>
    <row r="53" spans="1:26" s="26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6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284.89</v>
      </c>
      <c r="E55" s="1"/>
      <c r="F55" s="5">
        <f t="shared" si="28"/>
        <v>4.5764917814631592E-3</v>
      </c>
      <c r="G55" s="1"/>
      <c r="H55" s="1">
        <f>SUM(OSRRefH22_7x_0)</f>
        <v>364</v>
      </c>
      <c r="I55" s="1"/>
      <c r="J55" s="5">
        <f t="shared" si="29"/>
        <v>6.9252868096116894E-3</v>
      </c>
      <c r="K55" s="1"/>
      <c r="L55" s="1">
        <f t="shared" si="30"/>
        <v>-79.110000000000014</v>
      </c>
      <c r="M55" s="1"/>
      <c r="N55" s="5">
        <f t="shared" si="31"/>
        <v>-0.21733516483516488</v>
      </c>
      <c r="O55" s="13"/>
      <c r="P55" s="1">
        <f>SUM(OSRRefP22_7x_0)</f>
        <v>1031.19</v>
      </c>
      <c r="Q55" s="1"/>
      <c r="R55" s="5">
        <f t="shared" si="32"/>
        <v>7.6847779631340225E-3</v>
      </c>
      <c r="S55" s="1"/>
      <c r="T55" s="1">
        <f>SUM(OSRRefT22_7x_0)</f>
        <v>846</v>
      </c>
      <c r="U55" s="1"/>
      <c r="V55" s="5">
        <f t="shared" si="33"/>
        <v>6.9270449521002218E-3</v>
      </c>
      <c r="W55" s="1"/>
      <c r="X55" s="1">
        <f t="shared" si="34"/>
        <v>185.19000000000005</v>
      </c>
      <c r="Y55" s="1"/>
      <c r="Z55" s="5">
        <f t="shared" si="35"/>
        <v>0.21890070921985821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>
        <v>284.89</v>
      </c>
      <c r="E56" s="2"/>
      <c r="F56" s="7">
        <f t="shared" si="28"/>
        <v>4.5764917814631592E-3</v>
      </c>
      <c r="G56" s="2"/>
      <c r="H56" s="6">
        <v>364</v>
      </c>
      <c r="I56" s="2"/>
      <c r="J56" s="7">
        <f t="shared" si="29"/>
        <v>6.9252868096116894E-3</v>
      </c>
      <c r="K56" s="2"/>
      <c r="L56" s="6">
        <f t="shared" si="30"/>
        <v>-79.110000000000014</v>
      </c>
      <c r="M56" s="2"/>
      <c r="N56" s="7">
        <f t="shared" si="31"/>
        <v>-0.21733516483516488</v>
      </c>
      <c r="O56" s="11"/>
      <c r="P56" s="6">
        <v>1031.19</v>
      </c>
      <c r="Q56" s="2"/>
      <c r="R56" s="7">
        <f t="shared" si="32"/>
        <v>7.6847779631340225E-3</v>
      </c>
      <c r="S56" s="2"/>
      <c r="T56" s="6">
        <v>846</v>
      </c>
      <c r="U56" s="2"/>
      <c r="V56" s="7">
        <f t="shared" si="33"/>
        <v>6.9270449521002218E-3</v>
      </c>
      <c r="W56" s="2"/>
      <c r="X56" s="6">
        <f t="shared" si="34"/>
        <v>185.19000000000005</v>
      </c>
      <c r="Y56" s="2"/>
      <c r="Z56" s="7">
        <f t="shared" si="35"/>
        <v>0.21890070921985821</v>
      </c>
    </row>
    <row r="57" spans="1:26" s="26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366.17999999999995</v>
      </c>
      <c r="E59" s="1"/>
      <c r="F59" s="5">
        <f t="shared" si="28"/>
        <v>5.8823397119455913E-3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366.17999999999995</v>
      </c>
      <c r="M59" s="1"/>
      <c r="N59" s="5">
        <f t="shared" si="31"/>
        <v>0</v>
      </c>
      <c r="O59" s="13"/>
      <c r="P59" s="1">
        <f>SUM(OSRRefP22_9x_0)</f>
        <v>839.91</v>
      </c>
      <c r="Q59" s="1"/>
      <c r="R59" s="5">
        <f t="shared" si="32"/>
        <v>6.2592944646630557E-3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839.91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437.31</v>
      </c>
      <c r="Q60" s="2"/>
      <c r="R60" s="7">
        <f t="shared" si="32"/>
        <v>3.258982584255219E-3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437.31</v>
      </c>
      <c r="Y60" s="2"/>
      <c r="Z60" s="7">
        <f t="shared" si="35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45.65</v>
      </c>
      <c r="E61" s="2"/>
      <c r="F61" s="7">
        <f t="shared" si="28"/>
        <v>7.333246159001482E-4</v>
      </c>
      <c r="G61" s="2"/>
      <c r="H61" s="6"/>
      <c r="I61" s="2"/>
      <c r="J61" s="7">
        <f t="shared" si="29"/>
        <v>0</v>
      </c>
      <c r="K61" s="2"/>
      <c r="L61" s="6">
        <f t="shared" si="30"/>
        <v>45.65</v>
      </c>
      <c r="M61" s="2"/>
      <c r="N61" s="7">
        <f t="shared" si="31"/>
        <v>0</v>
      </c>
      <c r="O61" s="11"/>
      <c r="P61" s="6">
        <v>45.65</v>
      </c>
      <c r="Q61" s="2"/>
      <c r="R61" s="7">
        <f t="shared" si="32"/>
        <v>3.4019929791509625E-4</v>
      </c>
      <c r="S61" s="2"/>
      <c r="T61" s="6"/>
      <c r="U61" s="2"/>
      <c r="V61" s="7">
        <f t="shared" si="33"/>
        <v>0</v>
      </c>
      <c r="W61" s="2"/>
      <c r="X61" s="6">
        <f t="shared" si="34"/>
        <v>45.65</v>
      </c>
      <c r="Y61" s="2"/>
      <c r="Z61" s="7">
        <f t="shared" si="35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320.52999999999997</v>
      </c>
      <c r="E62" s="2"/>
      <c r="F62" s="7">
        <f t="shared" si="28"/>
        <v>5.149015096045444E-3</v>
      </c>
      <c r="G62" s="2"/>
      <c r="H62" s="6"/>
      <c r="I62" s="2"/>
      <c r="J62" s="7">
        <f t="shared" si="29"/>
        <v>0</v>
      </c>
      <c r="K62" s="2"/>
      <c r="L62" s="6">
        <f t="shared" si="30"/>
        <v>320.52999999999997</v>
      </c>
      <c r="M62" s="2"/>
      <c r="N62" s="7">
        <f t="shared" si="31"/>
        <v>0</v>
      </c>
      <c r="O62" s="11"/>
      <c r="P62" s="6">
        <v>356.95</v>
      </c>
      <c r="Q62" s="2"/>
      <c r="R62" s="7">
        <f t="shared" si="32"/>
        <v>2.6601125824927407E-3</v>
      </c>
      <c r="S62" s="2"/>
      <c r="T62" s="6"/>
      <c r="U62" s="2"/>
      <c r="V62" s="7">
        <f t="shared" si="33"/>
        <v>0</v>
      </c>
      <c r="W62" s="2"/>
      <c r="X62" s="6">
        <f t="shared" si="34"/>
        <v>356.95</v>
      </c>
      <c r="Y62" s="2"/>
      <c r="Z62" s="7">
        <f t="shared" si="35"/>
        <v>0</v>
      </c>
    </row>
    <row r="63" spans="1:26" s="26" customFormat="1" outlineLevel="1" collapsed="1" x14ac:dyDescent="0.25">
      <c r="A63" s="25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0</v>
      </c>
      <c r="E63" s="1"/>
      <c r="F63" s="5">
        <f t="shared" ref="F63:F65" si="36">IF(D$12=0,0,D63/D$12)</f>
        <v>0</v>
      </c>
      <c r="G63" s="1"/>
      <c r="H63" s="1">
        <f>SUM(OSRRefH22_10x_0)</f>
        <v>4685</v>
      </c>
      <c r="I63" s="1"/>
      <c r="J63" s="5">
        <f t="shared" ref="J63:J65" si="37">IF(H$12=0,0,H63/H$12)</f>
        <v>8.9134529403930671E-2</v>
      </c>
      <c r="K63" s="1"/>
      <c r="L63" s="1">
        <f t="shared" ref="L63:L65" si="38">+D63-H63</f>
        <v>-4685</v>
      </c>
      <c r="M63" s="1"/>
      <c r="N63" s="5">
        <f t="shared" ref="N63:N65" si="39">IF(H63=0,0,L63/H63)</f>
        <v>-1</v>
      </c>
      <c r="O63" s="13"/>
      <c r="P63" s="1">
        <f>SUM(OSRRefP22_10x_0)</f>
        <v>5673.45</v>
      </c>
      <c r="Q63" s="1"/>
      <c r="R63" s="5">
        <f t="shared" ref="R63:R65" si="40">IF(P$12=0,0,P63/P$12)</f>
        <v>4.2280475503973777E-2</v>
      </c>
      <c r="S63" s="1"/>
      <c r="T63" s="1">
        <f>SUM(OSRRefT22_10x_0)</f>
        <v>10885</v>
      </c>
      <c r="U63" s="1"/>
      <c r="V63" s="5">
        <f t="shared" ref="V63:V65" si="41">IF(T$12=0,0,T63/T$12)</f>
        <v>8.9126340784410063E-2</v>
      </c>
      <c r="W63" s="1"/>
      <c r="X63" s="1">
        <f t="shared" ref="X63:X65" si="42">+P63-T63</f>
        <v>-5211.55</v>
      </c>
      <c r="Y63" s="1"/>
      <c r="Z63" s="5">
        <f t="shared" ref="Z63:Z65" si="43">IF(T63=0,0,X63/T63)</f>
        <v>-0.47878272852549381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5673.45</v>
      </c>
      <c r="Q64" s="2"/>
      <c r="R64" s="7">
        <f t="shared" si="40"/>
        <v>4.2280475503973777E-2</v>
      </c>
      <c r="S64" s="2"/>
      <c r="T64" s="6"/>
      <c r="U64" s="2"/>
      <c r="V64" s="7">
        <f t="shared" si="41"/>
        <v>0</v>
      </c>
      <c r="W64" s="2"/>
      <c r="X64" s="6">
        <f t="shared" si="42"/>
        <v>5673.45</v>
      </c>
      <c r="Y64" s="2"/>
      <c r="Z64" s="7">
        <f t="shared" si="43"/>
        <v>0</v>
      </c>
    </row>
    <row r="65" spans="1:26" s="24" customFormat="1" hidden="1" outlineLevel="2" x14ac:dyDescent="0.25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4685</v>
      </c>
      <c r="I65" s="2"/>
      <c r="J65" s="7">
        <f t="shared" si="37"/>
        <v>8.9134529403930671E-2</v>
      </c>
      <c r="K65" s="2"/>
      <c r="L65" s="6">
        <f t="shared" si="38"/>
        <v>-4685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10885</v>
      </c>
      <c r="U65" s="2"/>
      <c r="V65" s="7">
        <f t="shared" si="41"/>
        <v>8.9126340784410063E-2</v>
      </c>
      <c r="W65" s="2"/>
      <c r="X65" s="6">
        <f t="shared" si="42"/>
        <v>-10885</v>
      </c>
      <c r="Y65" s="2"/>
      <c r="Z65" s="7">
        <f t="shared" si="43"/>
        <v>-1</v>
      </c>
    </row>
    <row r="66" spans="1:26" s="26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244.22</v>
      </c>
      <c r="E66" s="1"/>
      <c r="F66" s="5">
        <f t="shared" ref="F66:F69" si="44">IF(D$12=0,0,D66/D$12)</f>
        <v>3.9231662145703004E-3</v>
      </c>
      <c r="G66" s="1"/>
      <c r="H66" s="1">
        <f>SUM(OSRRefH22_11x_0)</f>
        <v>312</v>
      </c>
      <c r="I66" s="1"/>
      <c r="J66" s="5">
        <f t="shared" ref="J66:J69" si="45">IF(H$12=0,0,H66/H$12)</f>
        <v>5.9359601225243055E-3</v>
      </c>
      <c r="K66" s="1"/>
      <c r="L66" s="1">
        <f t="shared" ref="L66:L69" si="46">+D66-H66</f>
        <v>-67.78</v>
      </c>
      <c r="M66" s="1"/>
      <c r="N66" s="5">
        <f t="shared" ref="N66:N69" si="47">IF(H66=0,0,L66/H66)</f>
        <v>-0.21724358974358976</v>
      </c>
      <c r="O66" s="13"/>
      <c r="P66" s="1">
        <f>SUM(OSRRefP22_11x_0)</f>
        <v>807.76</v>
      </c>
      <c r="Q66" s="1"/>
      <c r="R66" s="5">
        <f t="shared" ref="R66:R69" si="48">IF(P$12=0,0,P66/P$12)</f>
        <v>6.0197017499210989E-3</v>
      </c>
      <c r="S66" s="1"/>
      <c r="T66" s="1">
        <f>SUM(OSRRefT22_11x_0)</f>
        <v>726</v>
      </c>
      <c r="U66" s="1"/>
      <c r="V66" s="5">
        <f t="shared" ref="V66:V69" si="49">IF(T$12=0,0,T66/T$12)</f>
        <v>5.9444853844264319E-3</v>
      </c>
      <c r="W66" s="1"/>
      <c r="X66" s="1">
        <f t="shared" ref="X66:X69" si="50">+P66-T66</f>
        <v>81.759999999999991</v>
      </c>
      <c r="Y66" s="1"/>
      <c r="Z66" s="5">
        <f t="shared" ref="Z66:Z69" si="51">IF(T66=0,0,X66/T66)</f>
        <v>0.11261707988980715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>
        <v>41</v>
      </c>
      <c r="Q67" s="2"/>
      <c r="R67" s="7">
        <f t="shared" si="48"/>
        <v>3.0554591926657058E-4</v>
      </c>
      <c r="S67" s="2"/>
      <c r="T67" s="6"/>
      <c r="U67" s="2"/>
      <c r="V67" s="7">
        <f t="shared" si="49"/>
        <v>0</v>
      </c>
      <c r="W67" s="2"/>
      <c r="X67" s="6">
        <f t="shared" si="50"/>
        <v>41</v>
      </c>
      <c r="Y67" s="2"/>
      <c r="Z67" s="7">
        <f t="shared" si="51"/>
        <v>0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22.62</v>
      </c>
      <c r="E68" s="2"/>
      <c r="F68" s="7">
        <f t="shared" si="44"/>
        <v>3.6336917440660141E-4</v>
      </c>
      <c r="G68" s="2"/>
      <c r="H68" s="6">
        <v>312</v>
      </c>
      <c r="I68" s="2"/>
      <c r="J68" s="7">
        <f t="shared" si="45"/>
        <v>5.9359601225243055E-3</v>
      </c>
      <c r="K68" s="2"/>
      <c r="L68" s="6">
        <f t="shared" si="46"/>
        <v>-289.38</v>
      </c>
      <c r="M68" s="2"/>
      <c r="N68" s="7">
        <f t="shared" si="47"/>
        <v>-0.92749999999999999</v>
      </c>
      <c r="O68" s="11"/>
      <c r="P68" s="6">
        <v>90.48</v>
      </c>
      <c r="Q68" s="2"/>
      <c r="R68" s="7">
        <f t="shared" si="48"/>
        <v>6.7428767744486114E-4</v>
      </c>
      <c r="S68" s="2"/>
      <c r="T68" s="6">
        <v>726</v>
      </c>
      <c r="U68" s="2"/>
      <c r="V68" s="7">
        <f t="shared" si="49"/>
        <v>5.9444853844264319E-3</v>
      </c>
      <c r="W68" s="2"/>
      <c r="X68" s="6">
        <f t="shared" si="50"/>
        <v>-635.52</v>
      </c>
      <c r="Y68" s="2"/>
      <c r="Z68" s="7">
        <f t="shared" si="51"/>
        <v>-0.87537190082644623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>
        <v>221.6</v>
      </c>
      <c r="E69" s="2"/>
      <c r="F69" s="7">
        <f t="shared" si="44"/>
        <v>3.5597970401636987E-3</v>
      </c>
      <c r="G69" s="2"/>
      <c r="H69" s="6"/>
      <c r="I69" s="2"/>
      <c r="J69" s="7">
        <f t="shared" si="45"/>
        <v>0</v>
      </c>
      <c r="K69" s="2"/>
      <c r="L69" s="6">
        <f t="shared" si="46"/>
        <v>221.6</v>
      </c>
      <c r="M69" s="2"/>
      <c r="N69" s="7">
        <f t="shared" si="47"/>
        <v>0</v>
      </c>
      <c r="O69" s="11"/>
      <c r="P69" s="6">
        <v>676.28</v>
      </c>
      <c r="Q69" s="2"/>
      <c r="R69" s="7">
        <f t="shared" si="48"/>
        <v>5.0398681532096666E-3</v>
      </c>
      <c r="S69" s="2"/>
      <c r="T69" s="6"/>
      <c r="U69" s="2"/>
      <c r="V69" s="7">
        <f t="shared" si="49"/>
        <v>0</v>
      </c>
      <c r="W69" s="2"/>
      <c r="X69" s="6">
        <f t="shared" si="50"/>
        <v>676.28</v>
      </c>
      <c r="Y69" s="2"/>
      <c r="Z69" s="7">
        <f t="shared" si="51"/>
        <v>0</v>
      </c>
    </row>
    <row r="70" spans="1:26" s="26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1446</v>
      </c>
      <c r="E70" s="1"/>
      <c r="F70" s="5">
        <f t="shared" ref="F70:F73" si="52">IF(D$12=0,0,D70/D$12)</f>
        <v>2.3228639531032078E-2</v>
      </c>
      <c r="G70" s="1"/>
      <c r="H70" s="1">
        <f>SUM(OSRRefH22_12x_0)</f>
        <v>833</v>
      </c>
      <c r="I70" s="1"/>
      <c r="J70" s="5">
        <f t="shared" ref="J70:J73" si="53">IF(H$12=0,0,H70/H$12)</f>
        <v>1.5848252506611364E-2</v>
      </c>
      <c r="K70" s="1"/>
      <c r="L70" s="1">
        <f t="shared" ref="L70:L73" si="54">+D70-H70</f>
        <v>613</v>
      </c>
      <c r="M70" s="1"/>
      <c r="N70" s="5">
        <f t="shared" ref="N70:N73" si="55">IF(H70=0,0,L70/H70)</f>
        <v>0.73589435774309719</v>
      </c>
      <c r="O70" s="13"/>
      <c r="P70" s="1">
        <f>SUM(OSRRefP22_12x_0)</f>
        <v>4939.62</v>
      </c>
      <c r="Q70" s="1"/>
      <c r="R70" s="5">
        <f t="shared" ref="R70:R73" si="56">IF(P$12=0,0,P70/P$12)</f>
        <v>3.6811725212866762E-2</v>
      </c>
      <c r="S70" s="1"/>
      <c r="T70" s="1">
        <f>SUM(OSRRefT22_12x_0)</f>
        <v>1935</v>
      </c>
      <c r="U70" s="1"/>
      <c r="V70" s="5">
        <f t="shared" ref="V70:V73" si="57">IF(T$12=0,0,T70/T$12)</f>
        <v>1.584377302873987E-2</v>
      </c>
      <c r="W70" s="1"/>
      <c r="X70" s="1">
        <f t="shared" ref="X70:X73" si="58">+P70-T70</f>
        <v>3004.62</v>
      </c>
      <c r="Y70" s="1"/>
      <c r="Z70" s="5">
        <f t="shared" ref="Z70:Z73" si="59">IF(T70=0,0,X70/T70)</f>
        <v>1.5527751937984495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354.71</v>
      </c>
      <c r="Q71" s="2"/>
      <c r="R71" s="7">
        <f t="shared" si="56"/>
        <v>2.6434193420254936E-3</v>
      </c>
      <c r="S71" s="2"/>
      <c r="T71" s="6"/>
      <c r="U71" s="2"/>
      <c r="V71" s="7">
        <f t="shared" si="57"/>
        <v>0</v>
      </c>
      <c r="W71" s="2"/>
      <c r="X71" s="6">
        <f t="shared" si="58"/>
        <v>354.71</v>
      </c>
      <c r="Y71" s="2"/>
      <c r="Z71" s="7">
        <f t="shared" si="59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20.93</v>
      </c>
      <c r="Q72" s="2"/>
      <c r="R72" s="7">
        <f t="shared" si="56"/>
        <v>1.5597746561583713E-4</v>
      </c>
      <c r="S72" s="2"/>
      <c r="T72" s="6"/>
      <c r="U72" s="2"/>
      <c r="V72" s="7">
        <f t="shared" si="57"/>
        <v>0</v>
      </c>
      <c r="W72" s="2"/>
      <c r="X72" s="6">
        <f t="shared" si="58"/>
        <v>20.93</v>
      </c>
      <c r="Y72" s="2"/>
      <c r="Z72" s="7">
        <f t="shared" si="59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>
        <v>1446</v>
      </c>
      <c r="E73" s="2"/>
      <c r="F73" s="7">
        <f t="shared" si="52"/>
        <v>2.3228639531032078E-2</v>
      </c>
      <c r="G73" s="2"/>
      <c r="H73" s="6">
        <v>833</v>
      </c>
      <c r="I73" s="2"/>
      <c r="J73" s="7">
        <f t="shared" si="53"/>
        <v>1.5848252506611364E-2</v>
      </c>
      <c r="K73" s="2"/>
      <c r="L73" s="6">
        <f t="shared" si="54"/>
        <v>613</v>
      </c>
      <c r="M73" s="2"/>
      <c r="N73" s="7">
        <f t="shared" si="55"/>
        <v>0.73589435774309719</v>
      </c>
      <c r="O73" s="11"/>
      <c r="P73" s="6">
        <v>4563.9799999999996</v>
      </c>
      <c r="Q73" s="2"/>
      <c r="R73" s="7">
        <f t="shared" si="56"/>
        <v>3.4012328405225431E-2</v>
      </c>
      <c r="S73" s="2"/>
      <c r="T73" s="6">
        <v>1935</v>
      </c>
      <c r="U73" s="2"/>
      <c r="V73" s="7">
        <f t="shared" si="57"/>
        <v>1.584377302873987E-2</v>
      </c>
      <c r="W73" s="2"/>
      <c r="X73" s="6">
        <f t="shared" si="58"/>
        <v>2628.9799999999996</v>
      </c>
      <c r="Y73" s="2"/>
      <c r="Z73" s="7">
        <f t="shared" si="59"/>
        <v>1.3586459948320411</v>
      </c>
    </row>
    <row r="74" spans="1:26" s="26" customFormat="1" outlineLevel="1" collapsed="1" x14ac:dyDescent="0.25">
      <c r="A74" s="25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52.5</v>
      </c>
      <c r="E74" s="1"/>
      <c r="F74" s="5">
        <f t="shared" ref="F74:F77" si="60">IF(D$12=0,0,D74/D$12)</f>
        <v>8.4336346845033481E-4</v>
      </c>
      <c r="G74" s="1"/>
      <c r="H74" s="1">
        <f>SUM(OSRRefH22_13x_0)</f>
        <v>75</v>
      </c>
      <c r="I74" s="1"/>
      <c r="J74" s="5">
        <f t="shared" ref="J74:J77" si="61">IF(H$12=0,0,H74/H$12)</f>
        <v>1.4269134909914195E-3</v>
      </c>
      <c r="K74" s="1"/>
      <c r="L74" s="1">
        <f t="shared" ref="L74:L77" si="62">+D74-H74</f>
        <v>-22.5</v>
      </c>
      <c r="M74" s="1"/>
      <c r="N74" s="5">
        <f t="shared" ref="N74:N77" si="63">IF(H74=0,0,L74/H74)</f>
        <v>-0.3</v>
      </c>
      <c r="O74" s="13"/>
      <c r="P74" s="1">
        <f>SUM(OSRRefP22_13x_0)</f>
        <v>225</v>
      </c>
      <c r="Q74" s="1"/>
      <c r="R74" s="5">
        <f t="shared" ref="R74:R77" si="64">IF(P$12=0,0,P74/P$12)</f>
        <v>1.676776386218985E-3</v>
      </c>
      <c r="S74" s="1"/>
      <c r="T74" s="1">
        <f>SUM(OSRRefT22_13x_0)</f>
        <v>300</v>
      </c>
      <c r="U74" s="1"/>
      <c r="V74" s="5">
        <f t="shared" ref="V74:V77" si="65">IF(T$12=0,0,T74/T$12)</f>
        <v>2.4563989191844758E-3</v>
      </c>
      <c r="W74" s="1"/>
      <c r="X74" s="1">
        <f t="shared" ref="X74:X77" si="66">+P74-T74</f>
        <v>-75</v>
      </c>
      <c r="Y74" s="1"/>
      <c r="Z74" s="5">
        <f t="shared" ref="Z74:Z77" si="67">IF(T74=0,0,X74/T74)</f>
        <v>-0.25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6">
        <v>52.5</v>
      </c>
      <c r="E75" s="2"/>
      <c r="F75" s="7">
        <f t="shared" si="60"/>
        <v>8.4336346845033481E-4</v>
      </c>
      <c r="G75" s="2"/>
      <c r="H75" s="6">
        <v>75</v>
      </c>
      <c r="I75" s="2"/>
      <c r="J75" s="7">
        <f t="shared" si="61"/>
        <v>1.4269134909914195E-3</v>
      </c>
      <c r="K75" s="2"/>
      <c r="L75" s="6">
        <f t="shared" si="62"/>
        <v>-22.5</v>
      </c>
      <c r="M75" s="2"/>
      <c r="N75" s="7">
        <f t="shared" si="63"/>
        <v>-0.3</v>
      </c>
      <c r="O75" s="11"/>
      <c r="P75" s="6">
        <v>225</v>
      </c>
      <c r="Q75" s="2"/>
      <c r="R75" s="7">
        <f t="shared" si="64"/>
        <v>1.676776386218985E-3</v>
      </c>
      <c r="S75" s="2"/>
      <c r="T75" s="6">
        <v>300</v>
      </c>
      <c r="U75" s="2"/>
      <c r="V75" s="7">
        <f t="shared" si="65"/>
        <v>2.4563989191844758E-3</v>
      </c>
      <c r="W75" s="2"/>
      <c r="X75" s="6">
        <f t="shared" si="66"/>
        <v>-75</v>
      </c>
      <c r="Y75" s="2"/>
      <c r="Z75" s="7">
        <f t="shared" si="67"/>
        <v>-0.25</v>
      </c>
    </row>
    <row r="76" spans="1:26" s="26" customFormat="1" outlineLevel="1" collapsed="1" x14ac:dyDescent="0.25">
      <c r="A76" s="25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SUM(OSRRefD22_14x_0)</f>
        <v>52</v>
      </c>
      <c r="E76" s="1"/>
      <c r="F76" s="5">
        <f t="shared" si="60"/>
        <v>8.3533143541747446E-4</v>
      </c>
      <c r="G76" s="1"/>
      <c r="H76" s="1">
        <f>SUM(OSRRefH22_14x_0)</f>
        <v>52</v>
      </c>
      <c r="I76" s="1"/>
      <c r="J76" s="5">
        <f t="shared" si="61"/>
        <v>9.8932668708738417E-4</v>
      </c>
      <c r="K76" s="1"/>
      <c r="L76" s="1">
        <f t="shared" si="62"/>
        <v>0</v>
      </c>
      <c r="M76" s="1"/>
      <c r="N76" s="5">
        <f t="shared" si="63"/>
        <v>0</v>
      </c>
      <c r="O76" s="13"/>
      <c r="P76" s="1">
        <f>SUM(OSRRefP22_14x_0)</f>
        <v>-798.88</v>
      </c>
      <c r="Q76" s="1"/>
      <c r="R76" s="5">
        <f t="shared" si="64"/>
        <v>-5.9535249752116562E-3</v>
      </c>
      <c r="S76" s="1"/>
      <c r="T76" s="1">
        <f>SUM(OSRRefT22_14x_0)</f>
        <v>121</v>
      </c>
      <c r="U76" s="1"/>
      <c r="V76" s="5">
        <f t="shared" si="65"/>
        <v>9.9074756407107191E-4</v>
      </c>
      <c r="W76" s="1"/>
      <c r="X76" s="1">
        <f t="shared" si="66"/>
        <v>-919.88</v>
      </c>
      <c r="Y76" s="1"/>
      <c r="Z76" s="5">
        <f t="shared" si="67"/>
        <v>-7.6023140495867771</v>
      </c>
    </row>
    <row r="77" spans="1:26" s="24" customFormat="1" hidden="1" outlineLevel="2" x14ac:dyDescent="0.25">
      <c r="A77" s="27"/>
      <c r="B77" s="11" t="str">
        <f>CONCATENATE("          ", "6274", " - ", "UTILITIES")</f>
        <v xml:space="preserve">          6274 - UTILITIES</v>
      </c>
      <c r="C77" s="11"/>
      <c r="D77" s="6">
        <v>52</v>
      </c>
      <c r="E77" s="2"/>
      <c r="F77" s="7">
        <f t="shared" si="60"/>
        <v>8.3533143541747446E-4</v>
      </c>
      <c r="G77" s="2"/>
      <c r="H77" s="6">
        <v>52</v>
      </c>
      <c r="I77" s="2"/>
      <c r="J77" s="7">
        <f t="shared" si="61"/>
        <v>9.8932668708738417E-4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-798.88</v>
      </c>
      <c r="Q77" s="2"/>
      <c r="R77" s="7">
        <f t="shared" si="64"/>
        <v>-5.9535249752116562E-3</v>
      </c>
      <c r="S77" s="2"/>
      <c r="T77" s="6">
        <v>121</v>
      </c>
      <c r="U77" s="2"/>
      <c r="V77" s="7">
        <f t="shared" si="65"/>
        <v>9.9074756407107191E-4</v>
      </c>
      <c r="W77" s="2"/>
      <c r="X77" s="6">
        <f t="shared" si="66"/>
        <v>-919.88</v>
      </c>
      <c r="Y77" s="2"/>
      <c r="Z77" s="7">
        <f t="shared" si="67"/>
        <v>-7.6023140495867771</v>
      </c>
    </row>
    <row r="78" spans="1:26" s="61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2">
        <f>+D22-D24+D79</f>
        <v>14189.180000000004</v>
      </c>
      <c r="E81" s="14"/>
      <c r="F81" s="20">
        <f>IF(D$12=0,0,D81/D$12)</f>
        <v>0.2279359249384024</v>
      </c>
      <c r="G81" s="14"/>
      <c r="H81" s="22">
        <f>+H22-H24+H79</f>
        <v>7367.4488682692318</v>
      </c>
      <c r="I81" s="14"/>
      <c r="J81" s="20">
        <f>IF(H$12=0,0,H81/H$12)</f>
        <v>0.1401694957909711</v>
      </c>
      <c r="K81" s="16"/>
      <c r="L81" s="22">
        <f>+D81-H81</f>
        <v>6821.7311317307722</v>
      </c>
      <c r="M81" s="16"/>
      <c r="N81" s="20">
        <f>IF(H81=0,0,L81/H81)</f>
        <v>0.92592853424625665</v>
      </c>
      <c r="O81" s="29"/>
      <c r="P81" s="22">
        <f>+P22-P24+P79</f>
        <v>15243.96</v>
      </c>
      <c r="Q81" s="14"/>
      <c r="R81" s="20">
        <f>IF(P$12=0,0,P81/P$12)</f>
        <v>0.11360316515763003</v>
      </c>
      <c r="S81" s="14"/>
      <c r="T81" s="22">
        <f>+T22-T24+T79</f>
        <v>9777.414675769207</v>
      </c>
      <c r="U81" s="14"/>
      <c r="V81" s="20">
        <f>IF(T$12=0,0,T81/T$12)</f>
        <v>8.0057436139926372E-2</v>
      </c>
      <c r="W81" s="16"/>
      <c r="X81" s="22">
        <f>+P81-T81</f>
        <v>5466.5453242307922</v>
      </c>
      <c r="Y81" s="16"/>
      <c r="Z81" s="20">
        <f>IF(T81=0,0,X81/T81)</f>
        <v>0.55909926146205202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5780.7</v>
      </c>
      <c r="E83" s="4"/>
      <c r="F83" s="12">
        <f>IF(D$12=0,0,D83/D$12)</f>
        <v>9.2861546706111436E-2</v>
      </c>
      <c r="G83" s="4"/>
      <c r="H83" s="4">
        <v>5908</v>
      </c>
      <c r="I83" s="4"/>
      <c r="J83" s="12">
        <f>IF(H$12=0,0,H83/H$12)</f>
        <v>0.11240273206369741</v>
      </c>
      <c r="K83" s="4"/>
      <c r="L83" s="4">
        <f>+D83-H83</f>
        <v>-127.30000000000018</v>
      </c>
      <c r="M83" s="4"/>
      <c r="N83" s="12">
        <f>IF(H83=0,0,L83/H83)</f>
        <v>-2.1547054840893733E-2</v>
      </c>
      <c r="O83" s="10"/>
      <c r="P83" s="4">
        <v>13507.51</v>
      </c>
      <c r="Q83" s="4"/>
      <c r="R83" s="12">
        <f>IF(P$12=0,0,P83/P$12)</f>
        <v>0.10066255024274134</v>
      </c>
      <c r="S83" s="4"/>
      <c r="T83" s="4">
        <v>14708</v>
      </c>
      <c r="U83" s="4"/>
      <c r="V83" s="12">
        <f>IF(T$12=0,0,T83/T$12)</f>
        <v>0.12042905101121756</v>
      </c>
      <c r="W83" s="4"/>
      <c r="X83" s="4">
        <f>+P83-T83</f>
        <v>-1200.4899999999998</v>
      </c>
      <c r="Y83" s="4"/>
      <c r="Z83" s="12">
        <f>IF(T83=0,0,X83/T83)</f>
        <v>-8.1621566494424785E-2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1">
        <f>+D81-D83</f>
        <v>8408.4800000000032</v>
      </c>
      <c r="E85" s="14"/>
      <c r="F85" s="33">
        <f>IF(D$12=0,0,D85/D$12)</f>
        <v>0.13507437823229093</v>
      </c>
      <c r="G85" s="14"/>
      <c r="H85" s="31">
        <f>+H81-H83</f>
        <v>1459.4488682692318</v>
      </c>
      <c r="I85" s="14"/>
      <c r="J85" s="33">
        <f>IF(H$12=0,0,H85/H$12)</f>
        <v>2.7766763727273679E-2</v>
      </c>
      <c r="K85" s="16"/>
      <c r="L85" s="31">
        <f>D85-H85</f>
        <v>6949.0311317307714</v>
      </c>
      <c r="M85" s="16"/>
      <c r="N85" s="33">
        <f>IF(H85=0,0,L85/H85)</f>
        <v>4.7614077360391969</v>
      </c>
      <c r="O85" s="29"/>
      <c r="P85" s="31">
        <f>+P81-P83</f>
        <v>1736.4499999999989</v>
      </c>
      <c r="Q85" s="14"/>
      <c r="R85" s="33">
        <f>IF(P$12=0,0,P85/P$12)</f>
        <v>1.2940614914888687E-2</v>
      </c>
      <c r="S85" s="14"/>
      <c r="T85" s="31">
        <f>+T81-T83</f>
        <v>-4930.585324230793</v>
      </c>
      <c r="U85" s="14"/>
      <c r="V85" s="33">
        <f>IF(T$12=0,0,T85/T$12)</f>
        <v>-4.0371614871291192E-2</v>
      </c>
      <c r="W85" s="16"/>
      <c r="X85" s="31">
        <f>P85-T85</f>
        <v>6667.035324230792</v>
      </c>
      <c r="Y85" s="16"/>
      <c r="Z85" s="33">
        <f>IF(T85=0,0,X85/T85)</f>
        <v>-1.3521792821364262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2">
        <f>SUM(D85:D87)</f>
        <v>8408.4800000000032</v>
      </c>
      <c r="E88" s="14"/>
      <c r="F88" s="34">
        <f>IF(D$12=0,0,D88/D$12)</f>
        <v>0.13507437823229093</v>
      </c>
      <c r="G88" s="14"/>
      <c r="H88" s="32">
        <f>SUM(H85:H87)</f>
        <v>1459.4488682692318</v>
      </c>
      <c r="I88" s="14"/>
      <c r="J88" s="34">
        <f>IF(H$12=0,0,H88/H$12)</f>
        <v>2.7766763727273679E-2</v>
      </c>
      <c r="K88" s="16"/>
      <c r="L88" s="32">
        <f>+D88-H88</f>
        <v>6949.0311317307714</v>
      </c>
      <c r="M88" s="16"/>
      <c r="N88" s="34">
        <f>IF(H88=0,0,L88/H88)</f>
        <v>4.7614077360391969</v>
      </c>
      <c r="O88" s="29"/>
      <c r="P88" s="32">
        <f>SUM(P85:P87)</f>
        <v>1736.4499999999989</v>
      </c>
      <c r="Q88" s="14"/>
      <c r="R88" s="34">
        <f>IF(P$12=0,0,P88/P$12)</f>
        <v>1.2940614914888687E-2</v>
      </c>
      <c r="S88" s="14"/>
      <c r="T88" s="32">
        <f>SUM(T85:T87)</f>
        <v>-4930.585324230793</v>
      </c>
      <c r="U88" s="14"/>
      <c r="V88" s="34">
        <f>IF(T$12=0,0,T88/T$12)</f>
        <v>-4.0371614871291192E-2</v>
      </c>
      <c r="W88" s="16"/>
      <c r="X88" s="32">
        <f>+P88-T88</f>
        <v>6667.035324230792</v>
      </c>
      <c r="Y88" s="16"/>
      <c r="Z88" s="34">
        <f>IF(T88=0,0,X88/T88)</f>
        <v>-1.3521792821364262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0">
        <v>43791.348289814814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4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5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160518.82</v>
      </c>
      <c r="E12" s="4"/>
      <c r="F12" s="12"/>
      <c r="G12" s="4"/>
      <c r="H12" s="4">
        <f>SUM(OSRRefH13x_0)</f>
        <v>162272</v>
      </c>
      <c r="I12" s="4"/>
      <c r="J12" s="12"/>
      <c r="K12" s="4"/>
      <c r="L12" s="4">
        <f t="shared" ref="L12:L15" si="0">+D12-H12</f>
        <v>-1753.179999999993</v>
      </c>
      <c r="M12" s="4"/>
      <c r="N12" s="12">
        <f t="shared" ref="N12:N15" si="1">IF(H12=0,0,L12/H12)</f>
        <v>-1.0803958785249415E-2</v>
      </c>
      <c r="O12" s="10"/>
      <c r="P12" s="4">
        <f>SUM(OSRRefP13x_0)</f>
        <v>322630.39</v>
      </c>
      <c r="Q12" s="4"/>
      <c r="R12" s="12"/>
      <c r="S12" s="4"/>
      <c r="T12" s="4">
        <f>SUM(OSRRefT13x_0)</f>
        <v>338464</v>
      </c>
      <c r="U12" s="4"/>
      <c r="V12" s="12"/>
      <c r="W12" s="4"/>
      <c r="X12" s="4">
        <f t="shared" ref="X12:X15" si="2">+P12-T12</f>
        <v>-15833.609999999986</v>
      </c>
      <c r="Y12" s="4"/>
      <c r="Z12" s="12">
        <f t="shared" ref="Z12:Z15" si="3">IF(T12=0,0,X12/T12)</f>
        <v>-4.6780780230689191E-2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--19988.01</f>
        <v>19988.009999999998</v>
      </c>
      <c r="E13" s="2"/>
      <c r="F13" s="19"/>
      <c r="G13" s="2"/>
      <c r="H13" s="2"/>
      <c r="I13" s="2"/>
      <c r="J13" s="19"/>
      <c r="K13" s="2"/>
      <c r="L13" s="2">
        <f t="shared" si="0"/>
        <v>19988.009999999998</v>
      </c>
      <c r="M13" s="2"/>
      <c r="N13" s="19">
        <f t="shared" si="1"/>
        <v>0</v>
      </c>
      <c r="O13" s="11"/>
      <c r="P13" s="2">
        <f>--43246.11</f>
        <v>43246.11</v>
      </c>
      <c r="Q13" s="2"/>
      <c r="R13" s="19"/>
      <c r="S13" s="2"/>
      <c r="T13" s="2"/>
      <c r="U13" s="2"/>
      <c r="V13" s="19"/>
      <c r="W13" s="2"/>
      <c r="X13" s="2">
        <f t="shared" si="2"/>
        <v>43246.11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162272</v>
      </c>
      <c r="I14" s="2"/>
      <c r="J14" s="19"/>
      <c r="K14" s="2"/>
      <c r="L14" s="2">
        <f t="shared" si="0"/>
        <v>-162272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338464</v>
      </c>
      <c r="U14" s="2"/>
      <c r="V14" s="19"/>
      <c r="W14" s="2"/>
      <c r="X14" s="2">
        <f t="shared" si="2"/>
        <v>-338464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--140530.81</f>
        <v>140530.81</v>
      </c>
      <c r="E15" s="2"/>
      <c r="F15" s="19"/>
      <c r="G15" s="2"/>
      <c r="H15" s="2"/>
      <c r="I15" s="2"/>
      <c r="J15" s="19"/>
      <c r="K15" s="2"/>
      <c r="L15" s="2">
        <f t="shared" si="0"/>
        <v>140530.81</v>
      </c>
      <c r="M15" s="2"/>
      <c r="N15" s="19">
        <f t="shared" si="1"/>
        <v>0</v>
      </c>
      <c r="O15" s="11"/>
      <c r="P15" s="2">
        <f>--279384.28</f>
        <v>279384.28000000003</v>
      </c>
      <c r="Q15" s="2"/>
      <c r="R15" s="19"/>
      <c r="S15" s="2"/>
      <c r="T15" s="2"/>
      <c r="U15" s="2"/>
      <c r="V15" s="19"/>
      <c r="W15" s="2"/>
      <c r="X15" s="2">
        <f t="shared" si="2"/>
        <v>279384.28000000003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83981.89</v>
      </c>
      <c r="E17" s="4"/>
      <c r="F17" s="12">
        <f t="shared" ref="F17:F20" si="4">IF(D$12=0,0,D17/D$12)</f>
        <v>0.52319030254520926</v>
      </c>
      <c r="G17" s="4"/>
      <c r="H17" s="4">
        <f>SUM(OSRRefH16x_0)</f>
        <v>77891</v>
      </c>
      <c r="I17" s="4"/>
      <c r="J17" s="12">
        <f t="shared" ref="J17:J20" si="5">IF(H$12=0,0,H17/H$12)</f>
        <v>0.48000271149674623</v>
      </c>
      <c r="K17" s="4"/>
      <c r="L17" s="4">
        <f t="shared" ref="L17:L20" si="6">+D17-H17</f>
        <v>6090.8899999999994</v>
      </c>
      <c r="M17" s="4"/>
      <c r="N17" s="12">
        <f t="shared" ref="N17:N20" si="7">IF(H17=0,0,L17/H17)</f>
        <v>7.8197609479914235E-2</v>
      </c>
      <c r="O17" s="10"/>
      <c r="P17" s="4">
        <f>SUM(OSRRefP16x_0)</f>
        <v>164482.16</v>
      </c>
      <c r="Q17" s="4"/>
      <c r="R17" s="12">
        <f t="shared" ref="R17:R20" si="8">IF(P$12=0,0,P17/P$12)</f>
        <v>0.50981607777246274</v>
      </c>
      <c r="S17" s="4"/>
      <c r="T17" s="4">
        <f>SUM(OSRRefT16x_0)</f>
        <v>162463</v>
      </c>
      <c r="U17" s="4"/>
      <c r="V17" s="12">
        <f t="shared" ref="V17:V20" si="9">IF(T$12=0,0,T17/T$12)</f>
        <v>0.48000082726671078</v>
      </c>
      <c r="W17" s="4"/>
      <c r="X17" s="4">
        <f t="shared" ref="X17:X20" si="10">+P17-T17</f>
        <v>2019.1600000000035</v>
      </c>
      <c r="Y17" s="4"/>
      <c r="Z17" s="12">
        <f t="shared" ref="Z17:Z20" si="11">IF(T17=0,0,X17/T17)</f>
        <v>1.2428429857875354E-2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77891</v>
      </c>
      <c r="I18" s="2"/>
      <c r="J18" s="19">
        <f t="shared" si="5"/>
        <v>0.48000271149674623</v>
      </c>
      <c r="K18" s="2"/>
      <c r="L18" s="2">
        <f t="shared" si="6"/>
        <v>-77891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162463</v>
      </c>
      <c r="U18" s="2"/>
      <c r="V18" s="19">
        <f t="shared" si="9"/>
        <v>0.48000082726671078</v>
      </c>
      <c r="W18" s="2"/>
      <c r="X18" s="2">
        <f t="shared" si="10"/>
        <v>-162463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80257.929999999993</v>
      </c>
      <c r="E19" s="2"/>
      <c r="F19" s="19">
        <f t="shared" si="4"/>
        <v>0.49999077989733531</v>
      </c>
      <c r="G19" s="2"/>
      <c r="H19" s="2"/>
      <c r="I19" s="2"/>
      <c r="J19" s="19">
        <f t="shared" si="5"/>
        <v>0</v>
      </c>
      <c r="K19" s="2"/>
      <c r="L19" s="2">
        <f t="shared" si="6"/>
        <v>80257.929999999993</v>
      </c>
      <c r="M19" s="2"/>
      <c r="N19" s="19">
        <f t="shared" si="7"/>
        <v>0</v>
      </c>
      <c r="O19" s="11"/>
      <c r="P19" s="2">
        <v>181640.14</v>
      </c>
      <c r="Q19" s="2"/>
      <c r="R19" s="19">
        <f t="shared" si="8"/>
        <v>0.56299761470083465</v>
      </c>
      <c r="S19" s="2"/>
      <c r="T19" s="2"/>
      <c r="U19" s="2"/>
      <c r="V19" s="19">
        <f t="shared" si="9"/>
        <v>0</v>
      </c>
      <c r="W19" s="2"/>
      <c r="X19" s="2">
        <f t="shared" si="10"/>
        <v>181640.14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3723.96</v>
      </c>
      <c r="E20" s="2"/>
      <c r="F20" s="19">
        <f t="shared" si="4"/>
        <v>2.3199522647873939E-2</v>
      </c>
      <c r="G20" s="2"/>
      <c r="H20" s="2"/>
      <c r="I20" s="2"/>
      <c r="J20" s="19">
        <f t="shared" si="5"/>
        <v>0</v>
      </c>
      <c r="K20" s="2"/>
      <c r="L20" s="2">
        <f t="shared" si="6"/>
        <v>3723.96</v>
      </c>
      <c r="M20" s="2"/>
      <c r="N20" s="19">
        <f t="shared" si="7"/>
        <v>0</v>
      </c>
      <c r="O20" s="11"/>
      <c r="P20" s="2">
        <v>-17157.98</v>
      </c>
      <c r="Q20" s="2"/>
      <c r="R20" s="19">
        <f t="shared" si="8"/>
        <v>-5.3181536928371811E-2</v>
      </c>
      <c r="S20" s="2"/>
      <c r="T20" s="2"/>
      <c r="U20" s="2"/>
      <c r="V20" s="19">
        <f t="shared" si="9"/>
        <v>0</v>
      </c>
      <c r="W20" s="2"/>
      <c r="X20" s="2">
        <f t="shared" si="10"/>
        <v>-17157.98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76536.930000000008</v>
      </c>
      <c r="E22" s="14"/>
      <c r="F22" s="20">
        <f>IF(D$12=0,0,D22/D$12)</f>
        <v>0.47680969745479068</v>
      </c>
      <c r="G22" s="14"/>
      <c r="H22" s="22">
        <f>H12-H17</f>
        <v>84381</v>
      </c>
      <c r="I22" s="14"/>
      <c r="J22" s="20">
        <f>IF(H$12=0,0,H22/H$12)</f>
        <v>0.51999728850325377</v>
      </c>
      <c r="K22" s="16"/>
      <c r="L22" s="22">
        <f>+D22-H22</f>
        <v>-7844.0699999999924</v>
      </c>
      <c r="M22" s="16"/>
      <c r="N22" s="20">
        <f>IF(H22=0,0,L22/H22)</f>
        <v>-9.2960145056351459E-2</v>
      </c>
      <c r="O22" s="29"/>
      <c r="P22" s="22">
        <f>P12-P17</f>
        <v>158148.23000000001</v>
      </c>
      <c r="Q22" s="14"/>
      <c r="R22" s="20">
        <f>IF(P$12=0,0,P22/P$12)</f>
        <v>0.49018392222753721</v>
      </c>
      <c r="S22" s="14"/>
      <c r="T22" s="22">
        <f>T12-T17</f>
        <v>176001</v>
      </c>
      <c r="U22" s="14"/>
      <c r="V22" s="20">
        <f>IF(T$12=0,0,T22/T$12)</f>
        <v>0.51999917273328922</v>
      </c>
      <c r="W22" s="16"/>
      <c r="X22" s="22">
        <f>+P22-T22</f>
        <v>-17852.76999999999</v>
      </c>
      <c r="Y22" s="16"/>
      <c r="Z22" s="20">
        <f>IF(T22=0,0,X22/T22)</f>
        <v>-0.10143561684308607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40200.589999999997</v>
      </c>
      <c r="E24" s="21"/>
      <c r="F24" s="35">
        <f t="shared" ref="F24:F34" si="12">IF(D$12=0,0,D24/D$12)</f>
        <v>0.25044159930904047</v>
      </c>
      <c r="G24" s="21"/>
      <c r="H24" s="21">
        <f>SUM(OSRRefH22x_0)</f>
        <v>41556.187263461543</v>
      </c>
      <c r="I24" s="21"/>
      <c r="J24" s="35">
        <f t="shared" ref="J24:J34" si="13">IF(H$12=0,0,H24/H$12)</f>
        <v>0.25608969670344572</v>
      </c>
      <c r="K24" s="4"/>
      <c r="L24" s="21">
        <f t="shared" ref="L24:L34" si="14">+D24-H24</f>
        <v>-1355.5972634615464</v>
      </c>
      <c r="M24" s="4"/>
      <c r="N24" s="35">
        <f t="shared" ref="N24:N34" si="15">IF(H24=0,0,L24/H24)</f>
        <v>-3.262082863538978E-2</v>
      </c>
      <c r="O24" s="10"/>
      <c r="P24" s="21">
        <f>SUM(OSRRefP22x_0)</f>
        <v>116335.38000000002</v>
      </c>
      <c r="Q24" s="21"/>
      <c r="R24" s="35">
        <f t="shared" ref="R24:R34" si="16">IF(P$12=0,0,P24/P$12)</f>
        <v>0.3605840726907345</v>
      </c>
      <c r="S24" s="21"/>
      <c r="T24" s="21">
        <f>SUM(OSRRefT22x_0)</f>
        <v>111390.94271096154</v>
      </c>
      <c r="U24" s="21"/>
      <c r="V24" s="35">
        <f t="shared" ref="V24:V34" si="17">IF(T$12=0,0,T24/T$12)</f>
        <v>0.32910720995722303</v>
      </c>
      <c r="W24" s="4"/>
      <c r="X24" s="21">
        <f t="shared" ref="X24:X34" si="18">+P24-T24</f>
        <v>4944.4372890384839</v>
      </c>
      <c r="Y24" s="4"/>
      <c r="Z24" s="35">
        <f t="shared" ref="Z24:Z34" si="19">IF(T24=0,0,X24/T24)</f>
        <v>4.4388144751305009E-2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2591.04</v>
      </c>
      <c r="E25" s="1"/>
      <c r="F25" s="5">
        <f t="shared" si="12"/>
        <v>1.6141658654106727E-2</v>
      </c>
      <c r="G25" s="1"/>
      <c r="H25" s="1">
        <f>SUM(OSRRefH22_0x_0)</f>
        <v>2930.8507250000011</v>
      </c>
      <c r="I25" s="1"/>
      <c r="J25" s="5">
        <f t="shared" si="13"/>
        <v>1.8061345919197405E-2</v>
      </c>
      <c r="K25" s="1"/>
      <c r="L25" s="1">
        <f t="shared" si="14"/>
        <v>-339.81072500000118</v>
      </c>
      <c r="M25" s="1"/>
      <c r="N25" s="5">
        <f t="shared" si="15"/>
        <v>-0.11594269271424633</v>
      </c>
      <c r="O25" s="13"/>
      <c r="P25" s="1">
        <f>SUM(OSRRefP22_0x_0)</f>
        <v>9777.82</v>
      </c>
      <c r="Q25" s="1"/>
      <c r="R25" s="5">
        <f t="shared" si="16"/>
        <v>3.0306568454385216E-2</v>
      </c>
      <c r="S25" s="1"/>
      <c r="T25" s="1">
        <f>SUM(OSRRefT22_0x_0)</f>
        <v>9900.0811725000021</v>
      </c>
      <c r="U25" s="1"/>
      <c r="V25" s="5">
        <f t="shared" si="17"/>
        <v>2.9250027100371095E-2</v>
      </c>
      <c r="W25" s="1"/>
      <c r="X25" s="1">
        <f t="shared" si="18"/>
        <v>-122.26117250000243</v>
      </c>
      <c r="Y25" s="1"/>
      <c r="Z25" s="5">
        <f t="shared" si="19"/>
        <v>-1.2349512127194874E-2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868.61</v>
      </c>
      <c r="E26" s="2"/>
      <c r="F26" s="7">
        <f t="shared" si="12"/>
        <v>5.4112657942539076E-3</v>
      </c>
      <c r="G26" s="2"/>
      <c r="H26" s="6">
        <v>378.36726346153904</v>
      </c>
      <c r="I26" s="2"/>
      <c r="J26" s="7">
        <f t="shared" si="13"/>
        <v>2.3316854630591787E-3</v>
      </c>
      <c r="K26" s="2"/>
      <c r="L26" s="6">
        <f t="shared" si="14"/>
        <v>490.24273653846097</v>
      </c>
      <c r="M26" s="2"/>
      <c r="N26" s="7">
        <f t="shared" si="15"/>
        <v>1.2956795787601061</v>
      </c>
      <c r="O26" s="11"/>
      <c r="P26" s="6">
        <v>2808.11</v>
      </c>
      <c r="Q26" s="2"/>
      <c r="R26" s="7">
        <f t="shared" si="16"/>
        <v>8.7037987958914851E-3</v>
      </c>
      <c r="S26" s="2"/>
      <c r="T26" s="6">
        <v>1714.25581096154</v>
      </c>
      <c r="U26" s="2"/>
      <c r="V26" s="7">
        <f t="shared" si="17"/>
        <v>5.0648098792236097E-3</v>
      </c>
      <c r="W26" s="2"/>
      <c r="X26" s="6">
        <f t="shared" si="18"/>
        <v>1093.8541890384602</v>
      </c>
      <c r="Y26" s="2"/>
      <c r="Z26" s="7">
        <f t="shared" si="19"/>
        <v>0.63809274091065116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111.03</v>
      </c>
      <c r="E27" s="2"/>
      <c r="F27" s="7">
        <f t="shared" si="12"/>
        <v>6.9169459381772174E-4</v>
      </c>
      <c r="G27" s="2"/>
      <c r="H27" s="6">
        <v>502.76923076923094</v>
      </c>
      <c r="I27" s="2"/>
      <c r="J27" s="7">
        <f t="shared" si="13"/>
        <v>3.0983116666413856E-3</v>
      </c>
      <c r="K27" s="2"/>
      <c r="L27" s="6">
        <f t="shared" si="14"/>
        <v>-391.73923076923097</v>
      </c>
      <c r="M27" s="2"/>
      <c r="N27" s="7">
        <f t="shared" si="15"/>
        <v>-0.77916309669522654</v>
      </c>
      <c r="O27" s="11"/>
      <c r="P27" s="6">
        <v>890.31</v>
      </c>
      <c r="Q27" s="2"/>
      <c r="R27" s="7">
        <f t="shared" si="16"/>
        <v>2.7595354547970507E-3</v>
      </c>
      <c r="S27" s="2"/>
      <c r="T27" s="6">
        <v>1342.953980769232</v>
      </c>
      <c r="U27" s="2"/>
      <c r="V27" s="7">
        <f t="shared" si="17"/>
        <v>3.967789722892928E-3</v>
      </c>
      <c r="W27" s="2"/>
      <c r="X27" s="6">
        <f t="shared" si="18"/>
        <v>-452.64398076923203</v>
      </c>
      <c r="Y27" s="2"/>
      <c r="Z27" s="7">
        <f t="shared" si="19"/>
        <v>-0.33705099895527441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641.14</v>
      </c>
      <c r="E28" s="2"/>
      <c r="F28" s="7">
        <f t="shared" si="12"/>
        <v>3.9941733934999021E-3</v>
      </c>
      <c r="G28" s="2"/>
      <c r="H28" s="6">
        <v>663</v>
      </c>
      <c r="I28" s="2"/>
      <c r="J28" s="7">
        <f t="shared" si="13"/>
        <v>4.085732597120883E-3</v>
      </c>
      <c r="K28" s="2"/>
      <c r="L28" s="6">
        <f t="shared" si="14"/>
        <v>-21.860000000000014</v>
      </c>
      <c r="M28" s="2"/>
      <c r="N28" s="7">
        <f t="shared" si="15"/>
        <v>-3.2971342383107109E-2</v>
      </c>
      <c r="O28" s="11"/>
      <c r="P28" s="6">
        <v>2564.56</v>
      </c>
      <c r="Q28" s="2"/>
      <c r="R28" s="7">
        <f t="shared" si="16"/>
        <v>7.9489102065059651E-3</v>
      </c>
      <c r="S28" s="2"/>
      <c r="T28" s="6">
        <v>2652</v>
      </c>
      <c r="U28" s="2"/>
      <c r="V28" s="7">
        <f t="shared" si="17"/>
        <v>7.8353975607450121E-3</v>
      </c>
      <c r="W28" s="2"/>
      <c r="X28" s="6">
        <f t="shared" si="18"/>
        <v>-87.440000000000055</v>
      </c>
      <c r="Y28" s="2"/>
      <c r="Z28" s="7">
        <f t="shared" si="19"/>
        <v>-3.2971342383107109E-2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64.180000000000007</v>
      </c>
      <c r="E29" s="2"/>
      <c r="F29" s="7">
        <f t="shared" si="12"/>
        <v>3.9982850609043851E-4</v>
      </c>
      <c r="G29" s="2"/>
      <c r="H29" s="6">
        <v>68.8</v>
      </c>
      <c r="I29" s="2"/>
      <c r="J29" s="7">
        <f t="shared" si="13"/>
        <v>4.2397949122461052E-4</v>
      </c>
      <c r="K29" s="2"/>
      <c r="L29" s="6">
        <f t="shared" si="14"/>
        <v>-4.6199999999999903</v>
      </c>
      <c r="M29" s="2"/>
      <c r="N29" s="7">
        <f t="shared" si="15"/>
        <v>-6.7151162790697536E-2</v>
      </c>
      <c r="O29" s="11"/>
      <c r="P29" s="6">
        <v>167</v>
      </c>
      <c r="Q29" s="2"/>
      <c r="R29" s="7">
        <f t="shared" si="16"/>
        <v>5.1762017830992303E-4</v>
      </c>
      <c r="S29" s="2"/>
      <c r="T29" s="6">
        <v>183.77265</v>
      </c>
      <c r="U29" s="2"/>
      <c r="V29" s="7">
        <f t="shared" si="17"/>
        <v>5.4296069892218965E-4</v>
      </c>
      <c r="W29" s="2"/>
      <c r="X29" s="6">
        <f t="shared" si="18"/>
        <v>-16.772649999999999</v>
      </c>
      <c r="Y29" s="2"/>
      <c r="Z29" s="7">
        <f t="shared" si="19"/>
        <v>-9.1268477654319072E-2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8.3547835699265675E-4</v>
      </c>
      <c r="G30" s="2"/>
      <c r="H30" s="6">
        <v>425.18730769230802</v>
      </c>
      <c r="I30" s="2"/>
      <c r="J30" s="7">
        <f t="shared" si="13"/>
        <v>2.6202136393974809E-3</v>
      </c>
      <c r="K30" s="2"/>
      <c r="L30" s="6">
        <f t="shared" si="14"/>
        <v>-291.07730769230801</v>
      </c>
      <c r="M30" s="2"/>
      <c r="N30" s="7">
        <f t="shared" si="15"/>
        <v>-0.68458606930701149</v>
      </c>
      <c r="O30" s="11"/>
      <c r="P30" s="6">
        <v>938.77</v>
      </c>
      <c r="Q30" s="2"/>
      <c r="R30" s="7">
        <f t="shared" si="16"/>
        <v>2.909738292167703E-3</v>
      </c>
      <c r="S30" s="2"/>
      <c r="T30" s="6">
        <v>1530.674307692308</v>
      </c>
      <c r="U30" s="2"/>
      <c r="V30" s="7">
        <f t="shared" si="17"/>
        <v>4.522413927898707E-3</v>
      </c>
      <c r="W30" s="2"/>
      <c r="X30" s="6">
        <f t="shared" si="18"/>
        <v>-591.90430769230807</v>
      </c>
      <c r="Y30" s="2"/>
      <c r="Z30" s="7">
        <f t="shared" si="19"/>
        <v>-0.38669513476363326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331.92</v>
      </c>
      <c r="E32" s="2"/>
      <c r="F32" s="7">
        <f t="shared" si="12"/>
        <v>2.0677949165088553E-3</v>
      </c>
      <c r="G32" s="2"/>
      <c r="H32" s="6">
        <v>148.321153846154</v>
      </c>
      <c r="I32" s="2"/>
      <c r="J32" s="7">
        <f t="shared" si="13"/>
        <v>9.140280137433076E-4</v>
      </c>
      <c r="K32" s="2"/>
      <c r="L32" s="6">
        <f t="shared" si="14"/>
        <v>183.59884615384601</v>
      </c>
      <c r="M32" s="2"/>
      <c r="N32" s="7">
        <f t="shared" si="15"/>
        <v>1.2378466684818523</v>
      </c>
      <c r="O32" s="11"/>
      <c r="P32" s="6">
        <v>995.76</v>
      </c>
      <c r="Q32" s="2"/>
      <c r="R32" s="7">
        <f t="shared" si="16"/>
        <v>3.0863800524184963E-3</v>
      </c>
      <c r="S32" s="2"/>
      <c r="T32" s="6">
        <v>533.95615384615405</v>
      </c>
      <c r="U32" s="2"/>
      <c r="V32" s="7">
        <f t="shared" si="17"/>
        <v>1.5775862539181538E-3</v>
      </c>
      <c r="W32" s="2"/>
      <c r="X32" s="6">
        <f t="shared" si="18"/>
        <v>461.80384615384594</v>
      </c>
      <c r="Y32" s="2"/>
      <c r="Z32" s="7">
        <f t="shared" si="19"/>
        <v>0.86487222373487815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265.68</v>
      </c>
      <c r="E33" s="2"/>
      <c r="F33" s="7">
        <f t="shared" si="12"/>
        <v>1.6551330242771532E-3</v>
      </c>
      <c r="G33" s="2"/>
      <c r="H33" s="6">
        <v>744.40576923076901</v>
      </c>
      <c r="I33" s="2"/>
      <c r="J33" s="7">
        <f t="shared" si="13"/>
        <v>4.5873950480105567E-3</v>
      </c>
      <c r="K33" s="2"/>
      <c r="L33" s="6">
        <f t="shared" si="14"/>
        <v>-478.725769230769</v>
      </c>
      <c r="M33" s="2"/>
      <c r="N33" s="7">
        <f t="shared" si="15"/>
        <v>-0.64309787620998671</v>
      </c>
      <c r="O33" s="11"/>
      <c r="P33" s="6">
        <v>797.04</v>
      </c>
      <c r="Q33" s="2"/>
      <c r="R33" s="7">
        <f t="shared" si="16"/>
        <v>2.470443035449946E-3</v>
      </c>
      <c r="S33" s="2"/>
      <c r="T33" s="6">
        <v>1942.4682692307681</v>
      </c>
      <c r="U33" s="2"/>
      <c r="V33" s="7">
        <f t="shared" si="17"/>
        <v>5.7390690567704931E-3</v>
      </c>
      <c r="W33" s="2"/>
      <c r="X33" s="6">
        <f t="shared" si="18"/>
        <v>-1145.4282692307681</v>
      </c>
      <c r="Y33" s="2"/>
      <c r="Z33" s="7">
        <f t="shared" si="19"/>
        <v>-0.58967669504550835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174.37</v>
      </c>
      <c r="E34" s="2"/>
      <c r="F34" s="7">
        <f t="shared" si="12"/>
        <v>1.0862900686660916E-3</v>
      </c>
      <c r="G34" s="2"/>
      <c r="H34" s="6"/>
      <c r="I34" s="2"/>
      <c r="J34" s="7">
        <f t="shared" si="13"/>
        <v>0</v>
      </c>
      <c r="K34" s="2"/>
      <c r="L34" s="6">
        <f t="shared" si="14"/>
        <v>174.37</v>
      </c>
      <c r="M34" s="2"/>
      <c r="N34" s="7">
        <f t="shared" si="15"/>
        <v>0</v>
      </c>
      <c r="O34" s="11"/>
      <c r="P34" s="6">
        <v>616.27</v>
      </c>
      <c r="Q34" s="2"/>
      <c r="R34" s="7">
        <f t="shared" si="16"/>
        <v>1.910142438844648E-3</v>
      </c>
      <c r="S34" s="2"/>
      <c r="T34" s="6"/>
      <c r="U34" s="2"/>
      <c r="V34" s="7">
        <f t="shared" si="17"/>
        <v>0</v>
      </c>
      <c r="W34" s="2"/>
      <c r="X34" s="6">
        <f t="shared" si="18"/>
        <v>616.27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25481.08</v>
      </c>
      <c r="E35" s="1"/>
      <c r="F35" s="5">
        <f t="shared" ref="F35:F45" si="20">IF(D$12=0,0,D35/D$12)</f>
        <v>0.15874200919244236</v>
      </c>
      <c r="G35" s="1"/>
      <c r="H35" s="1">
        <f>SUM(OSRRefH22_1x_0)</f>
        <v>26214.336538461539</v>
      </c>
      <c r="I35" s="1"/>
      <c r="J35" s="5">
        <f t="shared" ref="J35:J45" si="21">IF(H$12=0,0,H35/H$12)</f>
        <v>0.16154565506348315</v>
      </c>
      <c r="K35" s="1"/>
      <c r="L35" s="1">
        <f t="shared" ref="L35:L45" si="22">+D35-H35</f>
        <v>-733.25653846153727</v>
      </c>
      <c r="M35" s="1"/>
      <c r="N35" s="5">
        <f t="shared" ref="N35:N45" si="23">IF(H35=0,0,L35/H35)</f>
        <v>-2.7971584838155528E-2</v>
      </c>
      <c r="O35" s="13"/>
      <c r="P35" s="1">
        <f>SUM(OSRRefP22_1x_0)</f>
        <v>68998.070000000007</v>
      </c>
      <c r="Q35" s="1"/>
      <c r="R35" s="5">
        <f t="shared" ref="R35:R45" si="24">IF(P$12=0,0,P35/P$12)</f>
        <v>0.21386103770323683</v>
      </c>
      <c r="S35" s="1"/>
      <c r="T35" s="1">
        <f>SUM(OSRRefT22_1x_0)</f>
        <v>69791.86153846154</v>
      </c>
      <c r="U35" s="1"/>
      <c r="V35" s="5">
        <f t="shared" ref="V35:V45" si="25">IF(T$12=0,0,T35/T$12)</f>
        <v>0.2062017276237991</v>
      </c>
      <c r="W35" s="1"/>
      <c r="X35" s="1">
        <f t="shared" ref="X35:X45" si="26">+P35-T35</f>
        <v>-793.79153846153349</v>
      </c>
      <c r="Y35" s="1"/>
      <c r="Z35" s="5">
        <f t="shared" ref="Z35:Z45" si="27">IF(T35=0,0,X35/T35)</f>
        <v>-1.1373697748756616E-2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4696.8365384615399</v>
      </c>
      <c r="I36" s="2"/>
      <c r="J36" s="7">
        <f t="shared" si="21"/>
        <v>2.8944220435204719E-2</v>
      </c>
      <c r="K36" s="2"/>
      <c r="L36" s="6">
        <f t="shared" si="22"/>
        <v>-4696.8365384615399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16908.61153846154</v>
      </c>
      <c r="U36" s="2"/>
      <c r="V36" s="7">
        <f t="shared" si="25"/>
        <v>4.9956898040741528E-2</v>
      </c>
      <c r="W36" s="2"/>
      <c r="X36" s="6">
        <f t="shared" si="26"/>
        <v>-16908.61153846154</v>
      </c>
      <c r="Y36" s="2"/>
      <c r="Z36" s="7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4800</v>
      </c>
      <c r="E37" s="2"/>
      <c r="F37" s="7">
        <f t="shared" si="20"/>
        <v>2.9903035668963924E-2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4800</v>
      </c>
      <c r="M37" s="2"/>
      <c r="N37" s="7">
        <f t="shared" si="23"/>
        <v>0</v>
      </c>
      <c r="O37" s="11"/>
      <c r="P37" s="6">
        <v>15552</v>
      </c>
      <c r="Q37" s="2"/>
      <c r="R37" s="7">
        <f t="shared" si="24"/>
        <v>4.8203766545364804E-2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15552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2100</v>
      </c>
      <c r="E40" s="2"/>
      <c r="F40" s="7">
        <f t="shared" si="20"/>
        <v>1.3082578105171718E-2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2100</v>
      </c>
      <c r="M40" s="2"/>
      <c r="N40" s="7">
        <f t="shared" si="23"/>
        <v>0</v>
      </c>
      <c r="O40" s="11"/>
      <c r="P40" s="6">
        <v>5831</v>
      </c>
      <c r="Q40" s="2"/>
      <c r="R40" s="7">
        <f t="shared" si="24"/>
        <v>1.8073312932485992E-2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5831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17954.080000000002</v>
      </c>
      <c r="E42" s="2"/>
      <c r="F42" s="7">
        <f t="shared" si="20"/>
        <v>0.1118503113840483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17954.080000000002</v>
      </c>
      <c r="M42" s="2"/>
      <c r="N42" s="7">
        <f t="shared" si="23"/>
        <v>0</v>
      </c>
      <c r="O42" s="11"/>
      <c r="P42" s="6">
        <v>46523.07</v>
      </c>
      <c r="Q42" s="2"/>
      <c r="R42" s="7">
        <f t="shared" si="24"/>
        <v>0.14419928017320377</v>
      </c>
      <c r="S42" s="2"/>
      <c r="T42" s="6">
        <v>4601.25</v>
      </c>
      <c r="U42" s="2"/>
      <c r="V42" s="7">
        <f t="shared" si="25"/>
        <v>1.359450340361161E-2</v>
      </c>
      <c r="W42" s="2"/>
      <c r="X42" s="6">
        <f t="shared" si="26"/>
        <v>41921.82</v>
      </c>
      <c r="Y42" s="2"/>
      <c r="Z42" s="7">
        <f t="shared" si="27"/>
        <v>9.1109633251833735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627</v>
      </c>
      <c r="E43" s="2"/>
      <c r="F43" s="7">
        <f t="shared" si="20"/>
        <v>3.9060840342584127E-3</v>
      </c>
      <c r="G43" s="2"/>
      <c r="H43" s="6">
        <v>21517.5</v>
      </c>
      <c r="I43" s="2"/>
      <c r="J43" s="7">
        <f t="shared" si="21"/>
        <v>0.13260143462827845</v>
      </c>
      <c r="K43" s="2"/>
      <c r="L43" s="6">
        <f t="shared" si="22"/>
        <v>-20890.5</v>
      </c>
      <c r="M43" s="2"/>
      <c r="N43" s="7">
        <f t="shared" si="23"/>
        <v>-0.97086092715231787</v>
      </c>
      <c r="O43" s="11"/>
      <c r="P43" s="6">
        <v>1092</v>
      </c>
      <c r="Q43" s="2"/>
      <c r="R43" s="7">
        <f t="shared" si="24"/>
        <v>3.384678052182251E-3</v>
      </c>
      <c r="S43" s="2"/>
      <c r="T43" s="6">
        <v>48282</v>
      </c>
      <c r="U43" s="2"/>
      <c r="V43" s="7">
        <f t="shared" si="25"/>
        <v>0.14265032617944598</v>
      </c>
      <c r="W43" s="2"/>
      <c r="X43" s="6">
        <f t="shared" si="26"/>
        <v>-47190</v>
      </c>
      <c r="Y43" s="2"/>
      <c r="Z43" s="7">
        <f t="shared" si="27"/>
        <v>-0.97738287560581583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90</v>
      </c>
      <c r="E46" s="1"/>
      <c r="F46" s="5">
        <f t="shared" ref="F46:F54" si="28">IF(D$12=0,0,D46/D$12)</f>
        <v>5.6068191879307357E-4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90</v>
      </c>
      <c r="M46" s="1"/>
      <c r="N46" s="5">
        <f t="shared" ref="N46:N54" si="31">IF(H46=0,0,L46/H46)</f>
        <v>0</v>
      </c>
      <c r="O46" s="13"/>
      <c r="P46" s="1">
        <f>SUM(OSRRefP22_2x_0)</f>
        <v>150</v>
      </c>
      <c r="Q46" s="1"/>
      <c r="R46" s="5">
        <f t="shared" ref="R46:R54" si="32">IF(P$12=0,0,P46/P$12)</f>
        <v>4.6492830387118833E-4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150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90</v>
      </c>
      <c r="E47" s="2"/>
      <c r="F47" s="7">
        <f t="shared" si="28"/>
        <v>5.6068191879307357E-4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90</v>
      </c>
      <c r="M47" s="2"/>
      <c r="N47" s="7">
        <f t="shared" si="31"/>
        <v>0</v>
      </c>
      <c r="O47" s="11"/>
      <c r="P47" s="6">
        <v>150</v>
      </c>
      <c r="Q47" s="2"/>
      <c r="R47" s="7">
        <f t="shared" si="32"/>
        <v>4.6492830387118833E-4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150</v>
      </c>
      <c r="Y47" s="2"/>
      <c r="Z47" s="7">
        <f t="shared" si="35"/>
        <v>0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-6.73</v>
      </c>
      <c r="E48" s="1"/>
      <c r="F48" s="5">
        <f t="shared" si="28"/>
        <v>-4.1926547927526503E-5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-6.73</v>
      </c>
      <c r="M48" s="1"/>
      <c r="N48" s="5">
        <f t="shared" si="31"/>
        <v>0</v>
      </c>
      <c r="O48" s="13"/>
      <c r="P48" s="1">
        <f>SUM(OSRRefP22_3x_0)</f>
        <v>-31.81</v>
      </c>
      <c r="Q48" s="1"/>
      <c r="R48" s="5">
        <f t="shared" si="32"/>
        <v>-9.8595795640950002E-5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-31.81</v>
      </c>
      <c r="Y48" s="1"/>
      <c r="Z48" s="5">
        <f t="shared" si="35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-6.73</v>
      </c>
      <c r="E49" s="2"/>
      <c r="F49" s="7">
        <f t="shared" si="28"/>
        <v>-4.1926547927526503E-5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-6.73</v>
      </c>
      <c r="M49" s="2"/>
      <c r="N49" s="7">
        <f t="shared" si="31"/>
        <v>0</v>
      </c>
      <c r="O49" s="11"/>
      <c r="P49" s="6">
        <v>-31.81</v>
      </c>
      <c r="Q49" s="2"/>
      <c r="R49" s="7">
        <f t="shared" si="32"/>
        <v>-9.8595795640950002E-5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-31.81</v>
      </c>
      <c r="Y49" s="2"/>
      <c r="Z49" s="7">
        <f t="shared" si="35"/>
        <v>0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5365.54</v>
      </c>
      <c r="E50" s="1"/>
      <c r="F50" s="5">
        <f t="shared" si="28"/>
        <v>3.3426236250677643E-2</v>
      </c>
      <c r="G50" s="1"/>
      <c r="H50" s="1">
        <f>SUM(OSRRefH22_4x_0)</f>
        <v>4921</v>
      </c>
      <c r="I50" s="1"/>
      <c r="J50" s="5">
        <f t="shared" si="29"/>
        <v>3.032562610924867E-2</v>
      </c>
      <c r="K50" s="1"/>
      <c r="L50" s="1">
        <f t="shared" si="30"/>
        <v>444.53999999999996</v>
      </c>
      <c r="M50" s="1"/>
      <c r="N50" s="5">
        <f t="shared" si="31"/>
        <v>9.0335297703718745E-2</v>
      </c>
      <c r="O50" s="13"/>
      <c r="P50" s="1">
        <f>SUM(OSRRefP22_4x_0)</f>
        <v>10759.96</v>
      </c>
      <c r="Q50" s="1"/>
      <c r="R50" s="5">
        <f t="shared" si="32"/>
        <v>3.3350733016812205E-2</v>
      </c>
      <c r="S50" s="1"/>
      <c r="T50" s="1">
        <f>SUM(OSRRefT22_4x_0)</f>
        <v>10264</v>
      </c>
      <c r="U50" s="1"/>
      <c r="V50" s="5">
        <f t="shared" si="33"/>
        <v>3.0325233998298194E-2</v>
      </c>
      <c r="W50" s="1"/>
      <c r="X50" s="1">
        <f t="shared" si="34"/>
        <v>495.95999999999913</v>
      </c>
      <c r="Y50" s="1"/>
      <c r="Z50" s="5">
        <f t="shared" si="35"/>
        <v>4.8320342946219709E-2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5365.54</v>
      </c>
      <c r="E51" s="2"/>
      <c r="F51" s="7">
        <f t="shared" si="28"/>
        <v>3.3426236250677643E-2</v>
      </c>
      <c r="G51" s="2"/>
      <c r="H51" s="6">
        <v>4921</v>
      </c>
      <c r="I51" s="2"/>
      <c r="J51" s="7">
        <f t="shared" si="29"/>
        <v>3.032562610924867E-2</v>
      </c>
      <c r="K51" s="2"/>
      <c r="L51" s="6">
        <f t="shared" si="30"/>
        <v>444.53999999999996</v>
      </c>
      <c r="M51" s="2"/>
      <c r="N51" s="7">
        <f t="shared" si="31"/>
        <v>9.0335297703718745E-2</v>
      </c>
      <c r="O51" s="11"/>
      <c r="P51" s="6">
        <v>10759.96</v>
      </c>
      <c r="Q51" s="2"/>
      <c r="R51" s="7">
        <f t="shared" si="32"/>
        <v>3.3350733016812205E-2</v>
      </c>
      <c r="S51" s="2"/>
      <c r="T51" s="6">
        <v>10264</v>
      </c>
      <c r="U51" s="2"/>
      <c r="V51" s="7">
        <f t="shared" si="33"/>
        <v>3.0325233998298194E-2</v>
      </c>
      <c r="W51" s="2"/>
      <c r="X51" s="6">
        <f t="shared" si="34"/>
        <v>495.95999999999913</v>
      </c>
      <c r="Y51" s="2"/>
      <c r="Z51" s="7">
        <f t="shared" si="35"/>
        <v>4.8320342946219709E-2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1.1572350207907084E-2</v>
      </c>
      <c r="G52" s="1"/>
      <c r="H52" s="1">
        <f>SUM(OSRRefH22_5x_0)</f>
        <v>1941</v>
      </c>
      <c r="I52" s="1"/>
      <c r="J52" s="5">
        <f t="shared" si="29"/>
        <v>1.1961398146322225E-2</v>
      </c>
      <c r="K52" s="1"/>
      <c r="L52" s="1">
        <f t="shared" si="30"/>
        <v>-83.420000000000073</v>
      </c>
      <c r="M52" s="1"/>
      <c r="N52" s="5">
        <f t="shared" si="31"/>
        <v>-4.2977846470891333E-2</v>
      </c>
      <c r="O52" s="13"/>
      <c r="P52" s="1">
        <f>SUM(OSRRefP22_5x_0)</f>
        <v>7430.32</v>
      </c>
      <c r="Q52" s="1"/>
      <c r="R52" s="5">
        <f t="shared" si="32"/>
        <v>2.3030440498801118E-2</v>
      </c>
      <c r="S52" s="1"/>
      <c r="T52" s="1">
        <f>SUM(OSRRefT22_5x_0)</f>
        <v>7515</v>
      </c>
      <c r="U52" s="1"/>
      <c r="V52" s="5">
        <f t="shared" si="33"/>
        <v>2.2203247612744635E-2</v>
      </c>
      <c r="W52" s="1"/>
      <c r="X52" s="1">
        <f t="shared" si="34"/>
        <v>-84.680000000000291</v>
      </c>
      <c r="Y52" s="1"/>
      <c r="Z52" s="5">
        <f t="shared" si="35"/>
        <v>-1.1268130405854995E-2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1857.58</v>
      </c>
      <c r="E53" s="2"/>
      <c r="F53" s="7">
        <f t="shared" si="28"/>
        <v>1.1572350207907084E-2</v>
      </c>
      <c r="G53" s="2"/>
      <c r="H53" s="6">
        <v>1858</v>
      </c>
      <c r="I53" s="2"/>
      <c r="J53" s="7">
        <f t="shared" si="29"/>
        <v>1.1449911260106489E-2</v>
      </c>
      <c r="K53" s="2"/>
      <c r="L53" s="6">
        <f t="shared" si="30"/>
        <v>-0.42000000000007276</v>
      </c>
      <c r="M53" s="2"/>
      <c r="N53" s="7">
        <f t="shared" si="31"/>
        <v>-2.2604951560822E-4</v>
      </c>
      <c r="O53" s="11"/>
      <c r="P53" s="6">
        <v>7430.32</v>
      </c>
      <c r="Q53" s="2"/>
      <c r="R53" s="7">
        <f t="shared" si="32"/>
        <v>2.3030440498801118E-2</v>
      </c>
      <c r="S53" s="2"/>
      <c r="T53" s="6">
        <v>7432</v>
      </c>
      <c r="U53" s="2"/>
      <c r="V53" s="7">
        <f t="shared" si="33"/>
        <v>2.1958022123475467E-2</v>
      </c>
      <c r="W53" s="2"/>
      <c r="X53" s="6">
        <f t="shared" si="34"/>
        <v>-1.680000000000291</v>
      </c>
      <c r="Y53" s="2"/>
      <c r="Z53" s="7">
        <f t="shared" si="35"/>
        <v>-2.2604951560822E-4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83</v>
      </c>
      <c r="I54" s="2"/>
      <c r="J54" s="7">
        <f t="shared" si="29"/>
        <v>5.1148688621573655E-4</v>
      </c>
      <c r="K54" s="2"/>
      <c r="L54" s="6">
        <f t="shared" si="30"/>
        <v>-83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83</v>
      </c>
      <c r="U54" s="2"/>
      <c r="V54" s="7">
        <f t="shared" si="33"/>
        <v>2.4522548926916897E-4</v>
      </c>
      <c r="W54" s="2"/>
      <c r="X54" s="6">
        <f t="shared" si="34"/>
        <v>-83</v>
      </c>
      <c r="Y54" s="2"/>
      <c r="Z54" s="7">
        <f t="shared" si="35"/>
        <v>-1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6" customFormat="1" outlineLevel="1" collapsed="1" x14ac:dyDescent="0.25">
      <c r="A57" s="25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67.5</v>
      </c>
      <c r="E57" s="1"/>
      <c r="F57" s="5">
        <f t="shared" si="36"/>
        <v>4.2051143909480521E-4</v>
      </c>
      <c r="G57" s="1"/>
      <c r="H57" s="1">
        <f>SUM(OSRRefH22_7x_0)</f>
        <v>447</v>
      </c>
      <c r="I57" s="1"/>
      <c r="J57" s="5">
        <f t="shared" si="37"/>
        <v>2.7546341944389668E-3</v>
      </c>
      <c r="K57" s="1"/>
      <c r="L57" s="1">
        <f t="shared" si="38"/>
        <v>-379.5</v>
      </c>
      <c r="M57" s="1"/>
      <c r="N57" s="5">
        <f t="shared" si="39"/>
        <v>-0.84899328859060408</v>
      </c>
      <c r="O57" s="13"/>
      <c r="P57" s="1">
        <f>SUM(OSRRefP22_7x_0)</f>
        <v>927.55</v>
      </c>
      <c r="Q57" s="1"/>
      <c r="R57" s="5">
        <f t="shared" si="40"/>
        <v>2.874961655038138E-3</v>
      </c>
      <c r="S57" s="1"/>
      <c r="T57" s="1">
        <f>SUM(OSRRefT22_7x_0)</f>
        <v>934</v>
      </c>
      <c r="U57" s="1"/>
      <c r="V57" s="5">
        <f t="shared" si="41"/>
        <v>2.7595253852699254E-3</v>
      </c>
      <c r="W57" s="1"/>
      <c r="X57" s="1">
        <f t="shared" si="42"/>
        <v>-6.4500000000000455</v>
      </c>
      <c r="Y57" s="1"/>
      <c r="Z57" s="5">
        <f t="shared" si="43"/>
        <v>-6.9057815845824898E-3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>
        <v>67.5</v>
      </c>
      <c r="E58" s="2"/>
      <c r="F58" s="7">
        <f t="shared" si="36"/>
        <v>4.2051143909480521E-4</v>
      </c>
      <c r="G58" s="2"/>
      <c r="H58" s="6">
        <v>447</v>
      </c>
      <c r="I58" s="2"/>
      <c r="J58" s="7">
        <f t="shared" si="37"/>
        <v>2.7546341944389668E-3</v>
      </c>
      <c r="K58" s="2"/>
      <c r="L58" s="6">
        <f t="shared" si="38"/>
        <v>-379.5</v>
      </c>
      <c r="M58" s="2"/>
      <c r="N58" s="7">
        <f t="shared" si="39"/>
        <v>-0.84899328859060408</v>
      </c>
      <c r="O58" s="11"/>
      <c r="P58" s="6">
        <v>927.55</v>
      </c>
      <c r="Q58" s="2"/>
      <c r="R58" s="7">
        <f t="shared" si="40"/>
        <v>2.874961655038138E-3</v>
      </c>
      <c r="S58" s="2"/>
      <c r="T58" s="6">
        <v>934</v>
      </c>
      <c r="U58" s="2"/>
      <c r="V58" s="7">
        <f t="shared" si="41"/>
        <v>2.7595253852699254E-3</v>
      </c>
      <c r="W58" s="2"/>
      <c r="X58" s="6">
        <f t="shared" si="42"/>
        <v>-6.4500000000000455</v>
      </c>
      <c r="Y58" s="2"/>
      <c r="Z58" s="7">
        <f t="shared" si="43"/>
        <v>-6.9057815845824898E-3</v>
      </c>
    </row>
    <row r="59" spans="1:26" s="26" customFormat="1" outlineLevel="1" collapsed="1" x14ac:dyDescent="0.25">
      <c r="A59" s="25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7.1642689623559403E-3</v>
      </c>
      <c r="G59" s="1"/>
      <c r="H59" s="1">
        <f>SUM(OSRRefH22_8x_0)</f>
        <v>1150</v>
      </c>
      <c r="I59" s="1"/>
      <c r="J59" s="5">
        <f t="shared" si="37"/>
        <v>7.0868664957602053E-3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4600</v>
      </c>
      <c r="Q59" s="1"/>
      <c r="R59" s="5">
        <f t="shared" si="40"/>
        <v>1.4257801318716441E-2</v>
      </c>
      <c r="S59" s="1"/>
      <c r="T59" s="1">
        <f>SUM(OSRRefT22_8x_0)</f>
        <v>4600</v>
      </c>
      <c r="U59" s="1"/>
      <c r="V59" s="5">
        <f t="shared" si="41"/>
        <v>1.3590810248652737E-2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7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6"/>
        <v>7.1642689623559403E-3</v>
      </c>
      <c r="G60" s="2"/>
      <c r="H60" s="6">
        <v>1150</v>
      </c>
      <c r="I60" s="2"/>
      <c r="J60" s="7">
        <f t="shared" si="37"/>
        <v>7.0868664957602053E-3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4600</v>
      </c>
      <c r="Q60" s="2"/>
      <c r="R60" s="7">
        <f t="shared" si="40"/>
        <v>1.4257801318716441E-2</v>
      </c>
      <c r="S60" s="2"/>
      <c r="T60" s="6">
        <v>4600</v>
      </c>
      <c r="U60" s="2"/>
      <c r="V60" s="7">
        <f t="shared" si="41"/>
        <v>1.3590810248652737E-2</v>
      </c>
      <c r="W60" s="2"/>
      <c r="X60" s="6">
        <f t="shared" si="42"/>
        <v>0</v>
      </c>
      <c r="Y60" s="2"/>
      <c r="Z60" s="7">
        <f t="shared" si="43"/>
        <v>0</v>
      </c>
    </row>
    <row r="61" spans="1:26" s="26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389.01</v>
      </c>
      <c r="E61" s="1"/>
      <c r="F61" s="5">
        <f t="shared" si="36"/>
        <v>2.4234541469965948E-3</v>
      </c>
      <c r="G61" s="1"/>
      <c r="H61" s="1">
        <f>SUM(OSRRefH22_9x_0)</f>
        <v>746</v>
      </c>
      <c r="I61" s="1"/>
      <c r="J61" s="5">
        <f t="shared" si="37"/>
        <v>4.5972194833366203E-3</v>
      </c>
      <c r="K61" s="1"/>
      <c r="L61" s="1">
        <f t="shared" si="38"/>
        <v>-356.99</v>
      </c>
      <c r="M61" s="1"/>
      <c r="N61" s="5">
        <f t="shared" si="39"/>
        <v>-0.47853887399463807</v>
      </c>
      <c r="O61" s="13"/>
      <c r="P61" s="1">
        <f>SUM(OSRRefP22_9x_0)</f>
        <v>1538.28</v>
      </c>
      <c r="Q61" s="1"/>
      <c r="R61" s="5">
        <f t="shared" si="40"/>
        <v>4.7679327418598105E-3</v>
      </c>
      <c r="S61" s="1"/>
      <c r="T61" s="1">
        <f>SUM(OSRRefT22_9x_0)</f>
        <v>1555</v>
      </c>
      <c r="U61" s="1"/>
      <c r="V61" s="5">
        <f t="shared" si="41"/>
        <v>4.594284768838045E-3</v>
      </c>
      <c r="W61" s="1"/>
      <c r="X61" s="1">
        <f t="shared" si="42"/>
        <v>-16.720000000000027</v>
      </c>
      <c r="Y61" s="1"/>
      <c r="Z61" s="5">
        <f t="shared" si="43"/>
        <v>-1.0752411575562719E-2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68.48</v>
      </c>
      <c r="E63" s="2"/>
      <c r="F63" s="7">
        <f t="shared" si="36"/>
        <v>4.2661664221055204E-4</v>
      </c>
      <c r="G63" s="2"/>
      <c r="H63" s="6"/>
      <c r="I63" s="2"/>
      <c r="J63" s="7">
        <f t="shared" si="37"/>
        <v>0</v>
      </c>
      <c r="K63" s="2"/>
      <c r="L63" s="6">
        <f t="shared" si="38"/>
        <v>68.48</v>
      </c>
      <c r="M63" s="2"/>
      <c r="N63" s="7">
        <f t="shared" si="39"/>
        <v>0</v>
      </c>
      <c r="O63" s="11"/>
      <c r="P63" s="6">
        <v>68.48</v>
      </c>
      <c r="Q63" s="2"/>
      <c r="R63" s="7">
        <f t="shared" si="40"/>
        <v>2.1225526832732651E-4</v>
      </c>
      <c r="S63" s="2"/>
      <c r="T63" s="6"/>
      <c r="U63" s="2"/>
      <c r="V63" s="7">
        <f t="shared" si="41"/>
        <v>0</v>
      </c>
      <c r="W63" s="2"/>
      <c r="X63" s="6">
        <f t="shared" si="42"/>
        <v>68.48</v>
      </c>
      <c r="Y63" s="2"/>
      <c r="Z63" s="7">
        <f t="shared" si="43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320.52999999999997</v>
      </c>
      <c r="E64" s="2"/>
      <c r="F64" s="7">
        <f t="shared" si="36"/>
        <v>1.9968375047860428E-3</v>
      </c>
      <c r="G64" s="2"/>
      <c r="H64" s="6">
        <v>746</v>
      </c>
      <c r="I64" s="2"/>
      <c r="J64" s="7">
        <f t="shared" si="37"/>
        <v>4.5972194833366203E-3</v>
      </c>
      <c r="K64" s="2"/>
      <c r="L64" s="6">
        <f t="shared" si="38"/>
        <v>-425.47</v>
      </c>
      <c r="M64" s="2"/>
      <c r="N64" s="7">
        <f t="shared" si="39"/>
        <v>-0.57033512064343173</v>
      </c>
      <c r="O64" s="11"/>
      <c r="P64" s="6">
        <v>1469.8</v>
      </c>
      <c r="Q64" s="2"/>
      <c r="R64" s="7">
        <f t="shared" si="40"/>
        <v>4.5556774735324834E-3</v>
      </c>
      <c r="S64" s="2"/>
      <c r="T64" s="6">
        <v>1555</v>
      </c>
      <c r="U64" s="2"/>
      <c r="V64" s="7">
        <f t="shared" si="41"/>
        <v>4.594284768838045E-3</v>
      </c>
      <c r="W64" s="2"/>
      <c r="X64" s="6">
        <f t="shared" si="42"/>
        <v>-85.200000000000045</v>
      </c>
      <c r="Y64" s="2"/>
      <c r="Z64" s="7">
        <f t="shared" si="43"/>
        <v>-5.4790996784565948E-2</v>
      </c>
    </row>
    <row r="65" spans="1:26" s="26" customFormat="1" outlineLevel="1" collapsed="1" x14ac:dyDescent="0.25">
      <c r="A65" s="25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502.85</v>
      </c>
      <c r="E65" s="1"/>
      <c r="F65" s="5">
        <f t="shared" ref="F65:F68" si="44">IF(D$12=0,0,D65/D$12)</f>
        <v>3.1326544762788561E-3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502.85</v>
      </c>
      <c r="M65" s="1"/>
      <c r="N65" s="5">
        <f t="shared" ref="N65:N68" si="47">IF(H65=0,0,L65/H65)</f>
        <v>0</v>
      </c>
      <c r="O65" s="13"/>
      <c r="P65" s="1">
        <f>SUM(OSRRefP22_10x_0)</f>
        <v>2001.6599999999999</v>
      </c>
      <c r="Q65" s="1"/>
      <c r="R65" s="5">
        <f t="shared" ref="R65:R68" si="48">IF(P$12=0,0,P65/P$12)</f>
        <v>6.2041892581786847E-3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2001.6599999999999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116.81</v>
      </c>
      <c r="E66" s="2"/>
      <c r="F66" s="7">
        <f t="shared" si="44"/>
        <v>7.2770283260243252E-4</v>
      </c>
      <c r="G66" s="2"/>
      <c r="H66" s="6"/>
      <c r="I66" s="2"/>
      <c r="J66" s="7">
        <f t="shared" si="45"/>
        <v>0</v>
      </c>
      <c r="K66" s="2"/>
      <c r="L66" s="6">
        <f t="shared" si="46"/>
        <v>116.81</v>
      </c>
      <c r="M66" s="2"/>
      <c r="N66" s="7">
        <f t="shared" si="47"/>
        <v>0</v>
      </c>
      <c r="O66" s="11"/>
      <c r="P66" s="6">
        <v>584.04999999999995</v>
      </c>
      <c r="Q66" s="2"/>
      <c r="R66" s="7">
        <f t="shared" si="48"/>
        <v>1.8102758391731167E-3</v>
      </c>
      <c r="S66" s="2"/>
      <c r="T66" s="6"/>
      <c r="U66" s="2"/>
      <c r="V66" s="7">
        <f t="shared" si="49"/>
        <v>0</v>
      </c>
      <c r="W66" s="2"/>
      <c r="X66" s="6">
        <f t="shared" si="50"/>
        <v>584.04999999999995</v>
      </c>
      <c r="Y66" s="2"/>
      <c r="Z66" s="7">
        <f t="shared" si="51"/>
        <v>0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75.680000000000007</v>
      </c>
      <c r="E67" s="2"/>
      <c r="F67" s="7">
        <f t="shared" si="44"/>
        <v>4.714711957139979E-4</v>
      </c>
      <c r="G67" s="2"/>
      <c r="H67" s="6"/>
      <c r="I67" s="2"/>
      <c r="J67" s="7">
        <f t="shared" si="45"/>
        <v>0</v>
      </c>
      <c r="K67" s="2"/>
      <c r="L67" s="6">
        <f t="shared" si="46"/>
        <v>75.680000000000007</v>
      </c>
      <c r="M67" s="2"/>
      <c r="N67" s="7">
        <f t="shared" si="47"/>
        <v>0</v>
      </c>
      <c r="O67" s="11"/>
      <c r="P67" s="6">
        <v>127.04</v>
      </c>
      <c r="Q67" s="2"/>
      <c r="R67" s="7">
        <f t="shared" si="48"/>
        <v>3.9376327815863842E-4</v>
      </c>
      <c r="S67" s="2"/>
      <c r="T67" s="6"/>
      <c r="U67" s="2"/>
      <c r="V67" s="7">
        <f t="shared" si="49"/>
        <v>0</v>
      </c>
      <c r="W67" s="2"/>
      <c r="X67" s="6">
        <f t="shared" si="50"/>
        <v>127.04</v>
      </c>
      <c r="Y67" s="2"/>
      <c r="Z67" s="7">
        <f t="shared" si="51"/>
        <v>0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>
        <v>310.36</v>
      </c>
      <c r="E68" s="2"/>
      <c r="F68" s="7">
        <f t="shared" si="44"/>
        <v>1.9334804479624258E-3</v>
      </c>
      <c r="G68" s="2"/>
      <c r="H68" s="6"/>
      <c r="I68" s="2"/>
      <c r="J68" s="7">
        <f t="shared" si="45"/>
        <v>0</v>
      </c>
      <c r="K68" s="2"/>
      <c r="L68" s="6">
        <f t="shared" si="46"/>
        <v>310.36</v>
      </c>
      <c r="M68" s="2"/>
      <c r="N68" s="7">
        <f t="shared" si="47"/>
        <v>0</v>
      </c>
      <c r="O68" s="11"/>
      <c r="P68" s="6">
        <v>1290.57</v>
      </c>
      <c r="Q68" s="2"/>
      <c r="R68" s="7">
        <f t="shared" si="48"/>
        <v>4.0001501408469297E-3</v>
      </c>
      <c r="S68" s="2"/>
      <c r="T68" s="6"/>
      <c r="U68" s="2"/>
      <c r="V68" s="7">
        <f t="shared" si="49"/>
        <v>0</v>
      </c>
      <c r="W68" s="2"/>
      <c r="X68" s="6">
        <f t="shared" si="50"/>
        <v>1290.57</v>
      </c>
      <c r="Y68" s="2"/>
      <c r="Z68" s="7">
        <f t="shared" si="51"/>
        <v>0</v>
      </c>
    </row>
    <row r="69" spans="1:26" s="26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2494.7200000000003</v>
      </c>
      <c r="E69" s="1"/>
      <c r="F69" s="5">
        <f t="shared" ref="F69:F74" si="52">IF(D$12=0,0,D69/D$12)</f>
        <v>1.5541604405016186E-2</v>
      </c>
      <c r="G69" s="1"/>
      <c r="H69" s="1">
        <f>SUM(OSRRefH22_11x_0)</f>
        <v>3131</v>
      </c>
      <c r="I69" s="1"/>
      <c r="J69" s="5">
        <f t="shared" ref="J69:J74" si="53">IF(H$12=0,0,H69/H$12)</f>
        <v>1.9294764346282786E-2</v>
      </c>
      <c r="K69" s="1"/>
      <c r="L69" s="1">
        <f t="shared" ref="L69:L74" si="54">+D69-H69</f>
        <v>-636.27999999999975</v>
      </c>
      <c r="M69" s="1"/>
      <c r="N69" s="5">
        <f t="shared" ref="N69:N74" si="55">IF(H69=0,0,L69/H69)</f>
        <v>-0.20321941871606508</v>
      </c>
      <c r="O69" s="13"/>
      <c r="P69" s="1">
        <f>SUM(OSRRefP22_11x_0)</f>
        <v>9478.5300000000007</v>
      </c>
      <c r="Q69" s="1"/>
      <c r="R69" s="5">
        <f t="shared" ref="R69:R74" si="56">IF(P$12=0,0,P69/P$12)</f>
        <v>2.9378912507281165E-2</v>
      </c>
      <c r="S69" s="1"/>
      <c r="T69" s="1">
        <f>SUM(OSRRefT22_11x_0)</f>
        <v>6531</v>
      </c>
      <c r="U69" s="1"/>
      <c r="V69" s="5">
        <f t="shared" ref="V69:V74" si="57">IF(T$12=0,0,T69/T$12)</f>
        <v>1.9295996029119789E-2</v>
      </c>
      <c r="W69" s="1"/>
      <c r="X69" s="1">
        <f t="shared" ref="X69:X74" si="58">+P69-T69</f>
        <v>2947.5300000000007</v>
      </c>
      <c r="Y69" s="1"/>
      <c r="Z69" s="5">
        <f t="shared" ref="Z69:Z74" si="59">IF(T69=0,0,X69/T69)</f>
        <v>0.45131373449701434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354.71</v>
      </c>
      <c r="Q70" s="2"/>
      <c r="R70" s="7">
        <f t="shared" si="56"/>
        <v>1.0994314577743279E-3</v>
      </c>
      <c r="S70" s="2"/>
      <c r="T70" s="6"/>
      <c r="U70" s="2"/>
      <c r="V70" s="7">
        <f t="shared" si="57"/>
        <v>0</v>
      </c>
      <c r="W70" s="2"/>
      <c r="X70" s="6">
        <f t="shared" si="58"/>
        <v>354.71</v>
      </c>
      <c r="Y70" s="2"/>
      <c r="Z70" s="7">
        <f t="shared" si="59"/>
        <v>0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>
        <v>338.09</v>
      </c>
      <c r="E71" s="2"/>
      <c r="F71" s="7">
        <f t="shared" si="52"/>
        <v>2.1062327769416694E-3</v>
      </c>
      <c r="G71" s="2"/>
      <c r="H71" s="6"/>
      <c r="I71" s="2"/>
      <c r="J71" s="7">
        <f t="shared" si="53"/>
        <v>0</v>
      </c>
      <c r="K71" s="2"/>
      <c r="L71" s="6">
        <f t="shared" si="54"/>
        <v>338.09</v>
      </c>
      <c r="M71" s="2"/>
      <c r="N71" s="7">
        <f t="shared" si="55"/>
        <v>0</v>
      </c>
      <c r="O71" s="11"/>
      <c r="P71" s="6">
        <v>663.92</v>
      </c>
      <c r="Q71" s="2"/>
      <c r="R71" s="7">
        <f t="shared" si="56"/>
        <v>2.0578346633743955E-3</v>
      </c>
      <c r="S71" s="2"/>
      <c r="T71" s="6"/>
      <c r="U71" s="2"/>
      <c r="V71" s="7">
        <f t="shared" si="57"/>
        <v>0</v>
      </c>
      <c r="W71" s="2"/>
      <c r="X71" s="6">
        <f t="shared" si="58"/>
        <v>663.92</v>
      </c>
      <c r="Y71" s="2"/>
      <c r="Z71" s="7">
        <f t="shared" si="59"/>
        <v>0</v>
      </c>
    </row>
    <row r="72" spans="1:26" s="24" customFormat="1" hidden="1" outlineLevel="2" x14ac:dyDescent="0.25">
      <c r="A72" s="27"/>
      <c r="B72" s="11" t="str">
        <f>CONCATENATE("          ", "6241", " - ", "OFFICE EXPENSE")</f>
        <v xml:space="preserve">          6241 - OFFICE EXPENSE</v>
      </c>
      <c r="C72" s="11"/>
      <c r="D72" s="6">
        <v>337.46</v>
      </c>
      <c r="E72" s="2"/>
      <c r="F72" s="7">
        <f t="shared" si="52"/>
        <v>2.1023080035101178E-3</v>
      </c>
      <c r="G72" s="2"/>
      <c r="H72" s="6"/>
      <c r="I72" s="2"/>
      <c r="J72" s="7">
        <f t="shared" si="53"/>
        <v>0</v>
      </c>
      <c r="K72" s="2"/>
      <c r="L72" s="6">
        <f t="shared" si="54"/>
        <v>337.46</v>
      </c>
      <c r="M72" s="2"/>
      <c r="N72" s="7">
        <f t="shared" si="55"/>
        <v>0</v>
      </c>
      <c r="O72" s="11"/>
      <c r="P72" s="6">
        <v>872.95</v>
      </c>
      <c r="Q72" s="2"/>
      <c r="R72" s="7">
        <f t="shared" si="56"/>
        <v>2.7057277524290256E-3</v>
      </c>
      <c r="S72" s="2"/>
      <c r="T72" s="6"/>
      <c r="U72" s="2"/>
      <c r="V72" s="7">
        <f t="shared" si="57"/>
        <v>0</v>
      </c>
      <c r="W72" s="2"/>
      <c r="X72" s="6">
        <f t="shared" si="58"/>
        <v>872.95</v>
      </c>
      <c r="Y72" s="2"/>
      <c r="Z72" s="7">
        <f t="shared" si="59"/>
        <v>0</v>
      </c>
    </row>
    <row r="73" spans="1:26" s="24" customFormat="1" hidden="1" outlineLevel="2" x14ac:dyDescent="0.25">
      <c r="A73" s="27"/>
      <c r="B73" s="11" t="str">
        <f>CONCATENATE("          ", "6243", " - ", "PAPER SUPPLIES")</f>
        <v xml:space="preserve">          6243 - PAPER SUPPLIES</v>
      </c>
      <c r="C73" s="11"/>
      <c r="D73" s="6">
        <v>1436.33</v>
      </c>
      <c r="E73" s="2"/>
      <c r="F73" s="7">
        <f t="shared" si="52"/>
        <v>8.9480473380006142E-3</v>
      </c>
      <c r="G73" s="2"/>
      <c r="H73" s="6"/>
      <c r="I73" s="2"/>
      <c r="J73" s="7">
        <f t="shared" si="53"/>
        <v>0</v>
      </c>
      <c r="K73" s="2"/>
      <c r="L73" s="6">
        <f t="shared" si="54"/>
        <v>1436.33</v>
      </c>
      <c r="M73" s="2"/>
      <c r="N73" s="7">
        <f t="shared" si="55"/>
        <v>0</v>
      </c>
      <c r="O73" s="11"/>
      <c r="P73" s="6">
        <v>1591.98</v>
      </c>
      <c r="Q73" s="2"/>
      <c r="R73" s="7">
        <f t="shared" si="56"/>
        <v>4.9343770746456961E-3</v>
      </c>
      <c r="S73" s="2"/>
      <c r="T73" s="6"/>
      <c r="U73" s="2"/>
      <c r="V73" s="7">
        <f t="shared" si="57"/>
        <v>0</v>
      </c>
      <c r="W73" s="2"/>
      <c r="X73" s="6">
        <f t="shared" si="58"/>
        <v>1591.98</v>
      </c>
      <c r="Y73" s="2"/>
      <c r="Z73" s="7">
        <f t="shared" si="59"/>
        <v>0</v>
      </c>
    </row>
    <row r="74" spans="1:26" s="24" customFormat="1" hidden="1" outlineLevel="2" x14ac:dyDescent="0.25">
      <c r="A74" s="27"/>
      <c r="B74" s="11" t="str">
        <f>CONCATENATE("          ", "6247", " - ", "STORE SUPPLIES")</f>
        <v xml:space="preserve">          6247 - STORE SUPPLIES</v>
      </c>
      <c r="C74" s="11"/>
      <c r="D74" s="6">
        <v>382.84</v>
      </c>
      <c r="E74" s="2"/>
      <c r="F74" s="7">
        <f t="shared" si="52"/>
        <v>2.3850162865637807E-3</v>
      </c>
      <c r="G74" s="2"/>
      <c r="H74" s="6">
        <v>3131</v>
      </c>
      <c r="I74" s="2"/>
      <c r="J74" s="7">
        <f t="shared" si="53"/>
        <v>1.9294764346282786E-2</v>
      </c>
      <c r="K74" s="2"/>
      <c r="L74" s="6">
        <f t="shared" si="54"/>
        <v>-2748.16</v>
      </c>
      <c r="M74" s="2"/>
      <c r="N74" s="7">
        <f t="shared" si="55"/>
        <v>-0.87772596614500153</v>
      </c>
      <c r="O74" s="11"/>
      <c r="P74" s="6">
        <v>5994.97</v>
      </c>
      <c r="Q74" s="2"/>
      <c r="R74" s="7">
        <f t="shared" si="56"/>
        <v>1.858154155905772E-2</v>
      </c>
      <c r="S74" s="2"/>
      <c r="T74" s="6">
        <v>6531</v>
      </c>
      <c r="U74" s="2"/>
      <c r="V74" s="7">
        <f t="shared" si="57"/>
        <v>1.9295996029119789E-2</v>
      </c>
      <c r="W74" s="2"/>
      <c r="X74" s="6">
        <f t="shared" si="58"/>
        <v>-536.02999999999975</v>
      </c>
      <c r="Y74" s="2"/>
      <c r="Z74" s="7">
        <f t="shared" si="59"/>
        <v>-8.2074720563466499E-2</v>
      </c>
    </row>
    <row r="75" spans="1:26" s="26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SUM(OSRRefD22_12x_0)</f>
        <v>36</v>
      </c>
      <c r="E75" s="1"/>
      <c r="F75" s="5">
        <f t="shared" ref="F75:F78" si="60">IF(D$12=0,0,D75/D$12)</f>
        <v>2.2427276751722943E-4</v>
      </c>
      <c r="G75" s="1"/>
      <c r="H75" s="1">
        <f>SUM(OSRRefH22_12x_0)</f>
        <v>75</v>
      </c>
      <c r="I75" s="1"/>
      <c r="J75" s="5">
        <f t="shared" ref="J75:J78" si="61">IF(H$12=0,0,H75/H$12)</f>
        <v>4.6218694537566556E-4</v>
      </c>
      <c r="K75" s="1"/>
      <c r="L75" s="1">
        <f t="shared" ref="L75:L78" si="62">+D75-H75</f>
        <v>-39</v>
      </c>
      <c r="M75" s="1"/>
      <c r="N75" s="5">
        <f t="shared" ref="N75:N78" si="63">IF(H75=0,0,L75/H75)</f>
        <v>-0.52</v>
      </c>
      <c r="O75" s="13"/>
      <c r="P75" s="1">
        <f>SUM(OSRRefP22_12x_0)</f>
        <v>159</v>
      </c>
      <c r="Q75" s="1"/>
      <c r="R75" s="5">
        <f t="shared" ref="R75:R78" si="64">IF(P$12=0,0,P75/P$12)</f>
        <v>4.9282400210345966E-4</v>
      </c>
      <c r="S75" s="1"/>
      <c r="T75" s="1">
        <f>SUM(OSRRefT22_12x_0)</f>
        <v>300</v>
      </c>
      <c r="U75" s="1"/>
      <c r="V75" s="5">
        <f t="shared" ref="V75:V78" si="65">IF(T$12=0,0,T75/T$12)</f>
        <v>8.8635719012952632E-4</v>
      </c>
      <c r="W75" s="1"/>
      <c r="X75" s="1">
        <f t="shared" ref="X75:X78" si="66">+P75-T75</f>
        <v>-141</v>
      </c>
      <c r="Y75" s="1"/>
      <c r="Z75" s="5">
        <f t="shared" ref="Z75:Z78" si="67">IF(T75=0,0,X75/T75)</f>
        <v>-0.47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36</v>
      </c>
      <c r="E76" s="2"/>
      <c r="F76" s="7">
        <f t="shared" si="60"/>
        <v>2.2427276751722943E-4</v>
      </c>
      <c r="G76" s="2"/>
      <c r="H76" s="6">
        <v>75</v>
      </c>
      <c r="I76" s="2"/>
      <c r="J76" s="7">
        <f t="shared" si="61"/>
        <v>4.6218694537566556E-4</v>
      </c>
      <c r="K76" s="2"/>
      <c r="L76" s="6">
        <f t="shared" si="62"/>
        <v>-39</v>
      </c>
      <c r="M76" s="2"/>
      <c r="N76" s="7">
        <f t="shared" si="63"/>
        <v>-0.52</v>
      </c>
      <c r="O76" s="11"/>
      <c r="P76" s="6">
        <v>159</v>
      </c>
      <c r="Q76" s="2"/>
      <c r="R76" s="7">
        <f t="shared" si="64"/>
        <v>4.9282400210345966E-4</v>
      </c>
      <c r="S76" s="2"/>
      <c r="T76" s="6">
        <v>300</v>
      </c>
      <c r="U76" s="2"/>
      <c r="V76" s="7">
        <f t="shared" si="65"/>
        <v>8.8635719012952632E-4</v>
      </c>
      <c r="W76" s="2"/>
      <c r="X76" s="6">
        <f t="shared" si="66"/>
        <v>-141</v>
      </c>
      <c r="Y76" s="2"/>
      <c r="Z76" s="7">
        <f t="shared" si="67"/>
        <v>-0.47</v>
      </c>
    </row>
    <row r="77" spans="1:26" s="26" customFormat="1" outlineLevel="1" collapsed="1" x14ac:dyDescent="0.25">
      <c r="A77" s="25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SUM(OSRRefD22_13x_0)</f>
        <v>182</v>
      </c>
      <c r="E77" s="1"/>
      <c r="F77" s="5">
        <f t="shared" si="60"/>
        <v>1.1338234357815488E-3</v>
      </c>
      <c r="G77" s="1"/>
      <c r="H77" s="1">
        <f>SUM(OSRRefH22_13x_0)</f>
        <v>0</v>
      </c>
      <c r="I77" s="1"/>
      <c r="J77" s="5">
        <f t="shared" si="61"/>
        <v>0</v>
      </c>
      <c r="K77" s="1"/>
      <c r="L77" s="1">
        <f t="shared" si="62"/>
        <v>182</v>
      </c>
      <c r="M77" s="1"/>
      <c r="N77" s="5">
        <f t="shared" si="63"/>
        <v>0</v>
      </c>
      <c r="O77" s="13"/>
      <c r="P77" s="1">
        <f>SUM(OSRRefP22_13x_0)</f>
        <v>546</v>
      </c>
      <c r="Q77" s="1"/>
      <c r="R77" s="5">
        <f t="shared" si="64"/>
        <v>1.6923390260911255E-3</v>
      </c>
      <c r="S77" s="1"/>
      <c r="T77" s="1">
        <f>SUM(OSRRefT22_13x_0)</f>
        <v>0</v>
      </c>
      <c r="U77" s="1"/>
      <c r="V77" s="5">
        <f t="shared" si="65"/>
        <v>0</v>
      </c>
      <c r="W77" s="1"/>
      <c r="X77" s="1">
        <f t="shared" si="66"/>
        <v>546</v>
      </c>
      <c r="Y77" s="1"/>
      <c r="Z77" s="5">
        <f t="shared" si="67"/>
        <v>0</v>
      </c>
    </row>
    <row r="78" spans="1:26" s="24" customFormat="1" hidden="1" outlineLevel="2" x14ac:dyDescent="0.25">
      <c r="A78" s="27"/>
      <c r="B78" s="11" t="str">
        <f>CONCATENATE("          ", "6274", " - ", "UTILITIES")</f>
        <v xml:space="preserve">          6274 - UTILITIES</v>
      </c>
      <c r="C78" s="11"/>
      <c r="D78" s="6">
        <v>182</v>
      </c>
      <c r="E78" s="2"/>
      <c r="F78" s="7">
        <f t="shared" si="60"/>
        <v>1.1338234357815488E-3</v>
      </c>
      <c r="G78" s="2"/>
      <c r="H78" s="6"/>
      <c r="I78" s="2"/>
      <c r="J78" s="7">
        <f t="shared" si="61"/>
        <v>0</v>
      </c>
      <c r="K78" s="2"/>
      <c r="L78" s="6">
        <f t="shared" si="62"/>
        <v>182</v>
      </c>
      <c r="M78" s="2"/>
      <c r="N78" s="7">
        <f t="shared" si="63"/>
        <v>0</v>
      </c>
      <c r="O78" s="11"/>
      <c r="P78" s="6">
        <v>546</v>
      </c>
      <c r="Q78" s="2"/>
      <c r="R78" s="7">
        <f t="shared" si="64"/>
        <v>1.6923390260911255E-3</v>
      </c>
      <c r="S78" s="2"/>
      <c r="T78" s="6"/>
      <c r="U78" s="2"/>
      <c r="V78" s="7">
        <f t="shared" si="65"/>
        <v>0</v>
      </c>
      <c r="W78" s="2"/>
      <c r="X78" s="6">
        <f t="shared" si="66"/>
        <v>546</v>
      </c>
      <c r="Y78" s="2"/>
      <c r="Z78" s="7">
        <f t="shared" si="67"/>
        <v>0</v>
      </c>
    </row>
    <row r="79" spans="1:26" s="61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2">
        <f>+D22-D24+D80</f>
        <v>36336.340000000011</v>
      </c>
      <c r="E82" s="14"/>
      <c r="F82" s="20">
        <f>IF(D$12=0,0,D82/D$12)</f>
        <v>0.22636809814575021</v>
      </c>
      <c r="G82" s="14"/>
      <c r="H82" s="22">
        <f>+H22-H24+H80</f>
        <v>42824.812736538457</v>
      </c>
      <c r="I82" s="14"/>
      <c r="J82" s="20">
        <f>IF(H$12=0,0,H82/H$12)</f>
        <v>0.26390759179980811</v>
      </c>
      <c r="K82" s="16"/>
      <c r="L82" s="22">
        <f>+D82-H82</f>
        <v>-6488.472736538446</v>
      </c>
      <c r="M82" s="16"/>
      <c r="N82" s="20">
        <f>IF(H82=0,0,L82/H82)</f>
        <v>-0.15151199320954489</v>
      </c>
      <c r="O82" s="29"/>
      <c r="P82" s="22">
        <f>+P22-P24+P80</f>
        <v>41812.849999999991</v>
      </c>
      <c r="Q82" s="14"/>
      <c r="R82" s="20">
        <f>IF(P$12=0,0,P82/P$12)</f>
        <v>0.12959984953680276</v>
      </c>
      <c r="S82" s="14"/>
      <c r="T82" s="22">
        <f>+T22-T24+T80</f>
        <v>64610.057289038465</v>
      </c>
      <c r="U82" s="14"/>
      <c r="V82" s="20">
        <f>IF(T$12=0,0,T82/T$12)</f>
        <v>0.19089196277606618</v>
      </c>
      <c r="W82" s="16"/>
      <c r="X82" s="22">
        <f>+P82-T82</f>
        <v>-22797.207289038473</v>
      </c>
      <c r="Y82" s="16"/>
      <c r="Z82" s="20">
        <f>IF(T82=0,0,X82/T82)</f>
        <v>-0.35284301307849442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15063.87</v>
      </c>
      <c r="E84" s="4"/>
      <c r="F84" s="12">
        <f>IF(D$12=0,0,D84/D$12)</f>
        <v>9.3844883733882417E-2</v>
      </c>
      <c r="G84" s="4"/>
      <c r="H84" s="4">
        <v>18473</v>
      </c>
      <c r="I84" s="4"/>
      <c r="J84" s="12">
        <f>IF(H$12=0,0,H84/H$12)</f>
        <v>0.11383972589232894</v>
      </c>
      <c r="K84" s="4"/>
      <c r="L84" s="4">
        <f>+D84-H84</f>
        <v>-3409.1299999999992</v>
      </c>
      <c r="M84" s="4"/>
      <c r="N84" s="12">
        <f>IF(H84=0,0,L84/H84)</f>
        <v>-0.18454663563037943</v>
      </c>
      <c r="O84" s="10"/>
      <c r="P84" s="4">
        <v>32476.799999999999</v>
      </c>
      <c r="Q84" s="4"/>
      <c r="R84" s="12">
        <f>IF(P$12=0,0,P84/P$12)</f>
        <v>0.10066255692775872</v>
      </c>
      <c r="S84" s="4"/>
      <c r="T84" s="4">
        <v>40758</v>
      </c>
      <c r="U84" s="4"/>
      <c r="V84" s="12">
        <f>IF(T$12=0,0,T84/T$12)</f>
        <v>0.12042048785099745</v>
      </c>
      <c r="W84" s="4"/>
      <c r="X84" s="4">
        <f>+P84-T84</f>
        <v>-8281.2000000000007</v>
      </c>
      <c r="Y84" s="4"/>
      <c r="Z84" s="12">
        <f>IF(T84=0,0,X84/T84)</f>
        <v>-0.20317974385396734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1">
        <f>+D82-D84</f>
        <v>21272.470000000008</v>
      </c>
      <c r="E86" s="14"/>
      <c r="F86" s="33">
        <f>IF(D$12=0,0,D86/D$12)</f>
        <v>0.13252321441186776</v>
      </c>
      <c r="G86" s="14"/>
      <c r="H86" s="31">
        <f>+H82-H84</f>
        <v>24351.812736538457</v>
      </c>
      <c r="I86" s="14"/>
      <c r="J86" s="33">
        <f>IF(H$12=0,0,H86/H$12)</f>
        <v>0.15006786590747914</v>
      </c>
      <c r="K86" s="16"/>
      <c r="L86" s="31">
        <f>D86-H86</f>
        <v>-3079.3427365384487</v>
      </c>
      <c r="M86" s="16"/>
      <c r="N86" s="33">
        <f>IF(H86=0,0,L86/H86)</f>
        <v>-0.12645230028063073</v>
      </c>
      <c r="O86" s="29"/>
      <c r="P86" s="31">
        <f>+P82-P84</f>
        <v>9336.049999999992</v>
      </c>
      <c r="Q86" s="14"/>
      <c r="R86" s="33">
        <f>IF(P$12=0,0,P86/P$12)</f>
        <v>2.8937292609044027E-2</v>
      </c>
      <c r="S86" s="14"/>
      <c r="T86" s="31">
        <f>+T82-T84</f>
        <v>23852.057289038465</v>
      </c>
      <c r="U86" s="14"/>
      <c r="V86" s="33">
        <f>IF(T$12=0,0,T86/T$12)</f>
        <v>7.0471474925068736E-2</v>
      </c>
      <c r="W86" s="16"/>
      <c r="X86" s="31">
        <f>P86-T86</f>
        <v>-14516.007289038473</v>
      </c>
      <c r="Y86" s="16"/>
      <c r="Z86" s="33">
        <f>IF(T86=0,0,X86/T86)</f>
        <v>-0.60858512593416836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2">
        <f>SUM(D86:D88)</f>
        <v>21272.470000000008</v>
      </c>
      <c r="E89" s="14"/>
      <c r="F89" s="34">
        <f>IF(D$12=0,0,D89/D$12)</f>
        <v>0.13252321441186776</v>
      </c>
      <c r="G89" s="14"/>
      <c r="H89" s="32">
        <f>SUM(H86:H88)</f>
        <v>24351.812736538457</v>
      </c>
      <c r="I89" s="14"/>
      <c r="J89" s="34">
        <f>IF(H$12=0,0,H89/H$12)</f>
        <v>0.15006786590747914</v>
      </c>
      <c r="K89" s="16"/>
      <c r="L89" s="32">
        <f>+D89-H89</f>
        <v>-3079.3427365384487</v>
      </c>
      <c r="M89" s="16"/>
      <c r="N89" s="34">
        <f>IF(H89=0,0,L89/H89)</f>
        <v>-0.12645230028063073</v>
      </c>
      <c r="O89" s="29"/>
      <c r="P89" s="32">
        <f>SUM(P86:P88)</f>
        <v>9336.049999999992</v>
      </c>
      <c r="Q89" s="14"/>
      <c r="R89" s="34">
        <f>IF(P$12=0,0,P89/P$12)</f>
        <v>2.8937292609044027E-2</v>
      </c>
      <c r="S89" s="14"/>
      <c r="T89" s="32">
        <f>SUM(T86:T88)</f>
        <v>23852.057289038465</v>
      </c>
      <c r="U89" s="14"/>
      <c r="V89" s="34">
        <f>IF(T$12=0,0,T89/T$12)</f>
        <v>7.0471474925068736E-2</v>
      </c>
      <c r="W89" s="16"/>
      <c r="X89" s="32">
        <f>+P89-T89</f>
        <v>-14516.007289038473</v>
      </c>
      <c r="Y89" s="16"/>
      <c r="Z89" s="34">
        <f>IF(T89=0,0,X89/T89)</f>
        <v>-0.60858512593416836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0">
        <v>43791.348305011576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4" t="s">
        <v>314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5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133160.82</v>
      </c>
      <c r="E12" s="4"/>
      <c r="F12" s="12"/>
      <c r="G12" s="4"/>
      <c r="H12" s="4">
        <f>SUM(OSRRefH13x_0)</f>
        <v>123192</v>
      </c>
      <c r="I12" s="4"/>
      <c r="J12" s="12"/>
      <c r="K12" s="4"/>
      <c r="L12" s="4">
        <f t="shared" ref="L12:L15" si="0">+D12-H12</f>
        <v>9968.820000000007</v>
      </c>
      <c r="M12" s="4"/>
      <c r="N12" s="12">
        <f t="shared" ref="N12:N15" si="1">IF(H12=0,0,L12/H12)</f>
        <v>8.0921001363724973E-2</v>
      </c>
      <c r="O12" s="10"/>
      <c r="P12" s="4">
        <f>SUM(OSRRefP13x_0)</f>
        <v>276077.87</v>
      </c>
      <c r="Q12" s="4"/>
      <c r="R12" s="12"/>
      <c r="S12" s="4"/>
      <c r="T12" s="4">
        <f>SUM(OSRRefT13x_0)</f>
        <v>264164.2</v>
      </c>
      <c r="U12" s="4"/>
      <c r="V12" s="12"/>
      <c r="W12" s="4"/>
      <c r="X12" s="4">
        <f t="shared" ref="X12:X15" si="2">+P12-T12</f>
        <v>11913.669999999984</v>
      </c>
      <c r="Y12" s="4"/>
      <c r="Z12" s="12">
        <f t="shared" ref="Z12:Z15" si="3">IF(T12=0,0,X12/T12)</f>
        <v>4.5099487364298356E-2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123192</v>
      </c>
      <c r="I13" s="2"/>
      <c r="J13" s="19"/>
      <c r="K13" s="2"/>
      <c r="L13" s="2">
        <f t="shared" si="0"/>
        <v>-123192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264164.2</v>
      </c>
      <c r="U13" s="2"/>
      <c r="V13" s="19"/>
      <c r="W13" s="2"/>
      <c r="X13" s="2">
        <f t="shared" si="2"/>
        <v>-264164.2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--23652.96</f>
        <v>23652.959999999999</v>
      </c>
      <c r="E14" s="2"/>
      <c r="F14" s="19"/>
      <c r="G14" s="2"/>
      <c r="H14" s="2"/>
      <c r="I14" s="2"/>
      <c r="J14" s="19"/>
      <c r="K14" s="2"/>
      <c r="L14" s="2">
        <f t="shared" si="0"/>
        <v>23652.959999999999</v>
      </c>
      <c r="M14" s="2"/>
      <c r="N14" s="19">
        <f t="shared" si="1"/>
        <v>0</v>
      </c>
      <c r="O14" s="11"/>
      <c r="P14" s="2">
        <f>--50625.08</f>
        <v>50625.08</v>
      </c>
      <c r="Q14" s="2"/>
      <c r="R14" s="19"/>
      <c r="S14" s="2"/>
      <c r="T14" s="2"/>
      <c r="U14" s="2"/>
      <c r="V14" s="19"/>
      <c r="W14" s="2"/>
      <c r="X14" s="2">
        <f t="shared" si="2"/>
        <v>50625.08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--109507.86</f>
        <v>109507.86</v>
      </c>
      <c r="E15" s="2"/>
      <c r="F15" s="19"/>
      <c r="G15" s="2"/>
      <c r="H15" s="2"/>
      <c r="I15" s="2"/>
      <c r="J15" s="19"/>
      <c r="K15" s="2"/>
      <c r="L15" s="2">
        <f t="shared" si="0"/>
        <v>109507.86</v>
      </c>
      <c r="M15" s="2"/>
      <c r="N15" s="19">
        <f t="shared" si="1"/>
        <v>0</v>
      </c>
      <c r="O15" s="11"/>
      <c r="P15" s="2">
        <f>--225452.79</f>
        <v>225452.79</v>
      </c>
      <c r="Q15" s="2"/>
      <c r="R15" s="19"/>
      <c r="S15" s="2"/>
      <c r="T15" s="2"/>
      <c r="U15" s="2"/>
      <c r="V15" s="19"/>
      <c r="W15" s="2"/>
      <c r="X15" s="2">
        <f t="shared" si="2"/>
        <v>225452.79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59675.900000000009</v>
      </c>
      <c r="E17" s="4"/>
      <c r="F17" s="12">
        <f t="shared" ref="F17:F20" si="4">IF(D$12=0,0,D17/D$12)</f>
        <v>0.44814908769711698</v>
      </c>
      <c r="G17" s="4"/>
      <c r="H17" s="4">
        <f>SUM(OSRRefH16x_0)</f>
        <v>59130</v>
      </c>
      <c r="I17" s="4"/>
      <c r="J17" s="12">
        <f t="shared" ref="J17:J20" si="5">IF(H$12=0,0,H17/H$12)</f>
        <v>0.47998246639392167</v>
      </c>
      <c r="K17" s="4"/>
      <c r="L17" s="4">
        <f t="shared" ref="L17:L20" si="6">+D17-H17</f>
        <v>545.90000000000873</v>
      </c>
      <c r="M17" s="4"/>
      <c r="N17" s="12">
        <f t="shared" ref="N17:N20" si="7">IF(H17=0,0,L17/H17)</f>
        <v>9.2322002367665936E-3</v>
      </c>
      <c r="O17" s="10"/>
      <c r="P17" s="4">
        <f>SUM(OSRRefP16x_0)</f>
        <v>121642.18</v>
      </c>
      <c r="Q17" s="4"/>
      <c r="R17" s="12">
        <f t="shared" ref="R17:R20" si="8">IF(P$12=0,0,P17/P$12)</f>
        <v>0.44060822404925104</v>
      </c>
      <c r="S17" s="4"/>
      <c r="T17" s="4">
        <f>SUM(OSRRefT16x_0)</f>
        <v>126795</v>
      </c>
      <c r="U17" s="4"/>
      <c r="V17" s="12">
        <f t="shared" ref="V17:V20" si="9">IF(T$12=0,0,T17/T$12)</f>
        <v>0.47998555443924645</v>
      </c>
      <c r="W17" s="4"/>
      <c r="X17" s="4">
        <f t="shared" ref="X17:X20" si="10">+P17-T17</f>
        <v>-5152.820000000007</v>
      </c>
      <c r="Y17" s="4"/>
      <c r="Z17" s="12">
        <f t="shared" ref="Z17:Z20" si="11">IF(T17=0,0,X17/T17)</f>
        <v>-4.0638984187073679E-2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59130</v>
      </c>
      <c r="I18" s="2"/>
      <c r="J18" s="19">
        <f t="shared" si="5"/>
        <v>0.47998246639392167</v>
      </c>
      <c r="K18" s="2"/>
      <c r="L18" s="2">
        <f t="shared" si="6"/>
        <v>-59130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126795</v>
      </c>
      <c r="U18" s="2"/>
      <c r="V18" s="19">
        <f t="shared" si="9"/>
        <v>0.47998555443924645</v>
      </c>
      <c r="W18" s="2"/>
      <c r="X18" s="2">
        <f t="shared" si="10"/>
        <v>-126795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59821.490000000005</v>
      </c>
      <c r="E19" s="2"/>
      <c r="F19" s="19">
        <f t="shared" si="4"/>
        <v>0.44924242731458097</v>
      </c>
      <c r="G19" s="2"/>
      <c r="H19" s="2"/>
      <c r="I19" s="2"/>
      <c r="J19" s="19">
        <f t="shared" si="5"/>
        <v>0</v>
      </c>
      <c r="K19" s="2"/>
      <c r="L19" s="2">
        <f t="shared" si="6"/>
        <v>59821.490000000005</v>
      </c>
      <c r="M19" s="2"/>
      <c r="N19" s="19">
        <f t="shared" si="7"/>
        <v>0</v>
      </c>
      <c r="O19" s="11"/>
      <c r="P19" s="2">
        <v>133604.06</v>
      </c>
      <c r="Q19" s="2"/>
      <c r="R19" s="19">
        <f t="shared" si="8"/>
        <v>0.48393614453777117</v>
      </c>
      <c r="S19" s="2"/>
      <c r="T19" s="2"/>
      <c r="U19" s="2"/>
      <c r="V19" s="19">
        <f t="shared" si="9"/>
        <v>0</v>
      </c>
      <c r="W19" s="2"/>
      <c r="X19" s="2">
        <f t="shared" si="10"/>
        <v>133604.06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-145.59</v>
      </c>
      <c r="E20" s="2"/>
      <c r="F20" s="19">
        <f t="shared" si="4"/>
        <v>-1.0933396174640558E-3</v>
      </c>
      <c r="G20" s="2"/>
      <c r="H20" s="2"/>
      <c r="I20" s="2"/>
      <c r="J20" s="19">
        <f t="shared" si="5"/>
        <v>0</v>
      </c>
      <c r="K20" s="2"/>
      <c r="L20" s="2">
        <f t="shared" si="6"/>
        <v>-145.59</v>
      </c>
      <c r="M20" s="2"/>
      <c r="N20" s="19">
        <f t="shared" si="7"/>
        <v>0</v>
      </c>
      <c r="O20" s="11"/>
      <c r="P20" s="2">
        <v>-11961.88</v>
      </c>
      <c r="Q20" s="2"/>
      <c r="R20" s="19">
        <f t="shared" si="8"/>
        <v>-4.332792048852014E-2</v>
      </c>
      <c r="S20" s="2"/>
      <c r="T20" s="2"/>
      <c r="U20" s="2"/>
      <c r="V20" s="19">
        <f t="shared" si="9"/>
        <v>0</v>
      </c>
      <c r="W20" s="2"/>
      <c r="X20" s="2">
        <f t="shared" si="10"/>
        <v>-11961.88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73484.92</v>
      </c>
      <c r="E22" s="14"/>
      <c r="F22" s="20">
        <f>IF(D$12=0,0,D22/D$12)</f>
        <v>0.55185091230288308</v>
      </c>
      <c r="G22" s="14"/>
      <c r="H22" s="22">
        <f>H12-H17</f>
        <v>64062</v>
      </c>
      <c r="I22" s="14"/>
      <c r="J22" s="20">
        <f>IF(H$12=0,0,H22/H$12)</f>
        <v>0.52001753360607827</v>
      </c>
      <c r="K22" s="16"/>
      <c r="L22" s="22">
        <f>+D22-H22</f>
        <v>9422.9199999999983</v>
      </c>
      <c r="M22" s="16"/>
      <c r="N22" s="20">
        <f>IF(H22=0,0,L22/H22)</f>
        <v>0.14709063095126593</v>
      </c>
      <c r="O22" s="29"/>
      <c r="P22" s="22">
        <f>P12-P17</f>
        <v>154435.69</v>
      </c>
      <c r="Q22" s="14"/>
      <c r="R22" s="20">
        <f>IF(P$12=0,0,P22/P$12)</f>
        <v>0.55939177595074896</v>
      </c>
      <c r="S22" s="14"/>
      <c r="T22" s="22">
        <f>T12-T17</f>
        <v>137369.20000000001</v>
      </c>
      <c r="U22" s="14"/>
      <c r="V22" s="20">
        <f>IF(T$12=0,0,T22/T$12)</f>
        <v>0.52001444556075349</v>
      </c>
      <c r="W22" s="16"/>
      <c r="X22" s="22">
        <f>+P22-T22</f>
        <v>17066.489999999991</v>
      </c>
      <c r="Y22" s="16"/>
      <c r="Z22" s="20">
        <f>IF(T22=0,0,X22/T22)</f>
        <v>0.12423811159998012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36369.700000000004</v>
      </c>
      <c r="E24" s="21"/>
      <c r="F24" s="35">
        <f t="shared" ref="F24:F34" si="12">IF(D$12=0,0,D24/D$12)</f>
        <v>0.27312613424879784</v>
      </c>
      <c r="G24" s="21"/>
      <c r="H24" s="21">
        <f>SUM(OSRRefH22x_0)</f>
        <v>38052.464720000004</v>
      </c>
      <c r="I24" s="21"/>
      <c r="J24" s="35">
        <f t="shared" ref="J24:J34" si="13">IF(H$12=0,0,H24/H$12)</f>
        <v>0.30888746606922529</v>
      </c>
      <c r="K24" s="4"/>
      <c r="L24" s="21">
        <f t="shared" ref="L24:L34" si="14">+D24-H24</f>
        <v>-1682.7647199999992</v>
      </c>
      <c r="M24" s="4"/>
      <c r="N24" s="35">
        <f t="shared" ref="N24:N34" si="15">IF(H24=0,0,L24/H24)</f>
        <v>-4.4222226664743597E-2</v>
      </c>
      <c r="O24" s="10"/>
      <c r="P24" s="21">
        <f>SUM(OSRRefP22x_0)</f>
        <v>121618.05000000005</v>
      </c>
      <c r="Q24" s="21"/>
      <c r="R24" s="35">
        <f t="shared" ref="R24:R34" si="16">IF(P$12=0,0,P24/P$12)</f>
        <v>0.44052082117266428</v>
      </c>
      <c r="S24" s="21"/>
      <c r="T24" s="21">
        <f>SUM(OSRRefT22x_0)</f>
        <v>122911.20681074999</v>
      </c>
      <c r="U24" s="21"/>
      <c r="V24" s="35">
        <f t="shared" ref="V24:V34" si="17">IF(T$12=0,0,T24/T$12)</f>
        <v>0.4652833609200262</v>
      </c>
      <c r="W24" s="4"/>
      <c r="X24" s="21">
        <f t="shared" ref="X24:X34" si="18">+P24-T24</f>
        <v>-1293.1568107499479</v>
      </c>
      <c r="Y24" s="4"/>
      <c r="Z24" s="35">
        <f t="shared" ref="Z24:Z34" si="19">IF(T24=0,0,X24/T24)</f>
        <v>-1.0521065119318693E-2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4290.5300000000007</v>
      </c>
      <c r="E25" s="1"/>
      <c r="F25" s="5">
        <f t="shared" si="12"/>
        <v>3.2220663705735668E-2</v>
      </c>
      <c r="G25" s="1"/>
      <c r="H25" s="1">
        <f>SUM(OSRRefH22_0x_0)</f>
        <v>4016.2897199999998</v>
      </c>
      <c r="I25" s="1"/>
      <c r="J25" s="5">
        <f t="shared" si="13"/>
        <v>3.2601871225404248E-2</v>
      </c>
      <c r="K25" s="1"/>
      <c r="L25" s="1">
        <f t="shared" si="14"/>
        <v>274.24028000000089</v>
      </c>
      <c r="M25" s="1"/>
      <c r="N25" s="5">
        <f t="shared" si="15"/>
        <v>6.8281996349606203E-2</v>
      </c>
      <c r="O25" s="13"/>
      <c r="P25" s="1">
        <f>SUM(OSRRefP22_0x_0)</f>
        <v>15460.07</v>
      </c>
      <c r="Q25" s="1"/>
      <c r="R25" s="5">
        <f t="shared" si="16"/>
        <v>5.5998946963767865E-2</v>
      </c>
      <c r="S25" s="1"/>
      <c r="T25" s="1">
        <f>SUM(OSRRefT22_0x_0)</f>
        <v>14756.60306075</v>
      </c>
      <c r="U25" s="1"/>
      <c r="V25" s="5">
        <f t="shared" si="17"/>
        <v>5.5861479567443278E-2</v>
      </c>
      <c r="W25" s="1"/>
      <c r="X25" s="1">
        <f t="shared" si="18"/>
        <v>703.46693925</v>
      </c>
      <c r="Y25" s="1"/>
      <c r="Z25" s="5">
        <f t="shared" si="19"/>
        <v>4.7671333053682242E-2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1002.86</v>
      </c>
      <c r="E26" s="2"/>
      <c r="F26" s="7">
        <f t="shared" si="12"/>
        <v>7.531194235661811E-3</v>
      </c>
      <c r="G26" s="2"/>
      <c r="H26" s="6">
        <v>378.36432000000002</v>
      </c>
      <c r="I26" s="2"/>
      <c r="J26" s="7">
        <f t="shared" si="13"/>
        <v>3.0713383985973117E-3</v>
      </c>
      <c r="K26" s="2"/>
      <c r="L26" s="6">
        <f t="shared" si="14"/>
        <v>624.49567999999999</v>
      </c>
      <c r="M26" s="2"/>
      <c r="N26" s="7">
        <f t="shared" si="15"/>
        <v>1.6505141922473028</v>
      </c>
      <c r="O26" s="11"/>
      <c r="P26" s="6">
        <v>2523.09</v>
      </c>
      <c r="Q26" s="2"/>
      <c r="R26" s="7">
        <f t="shared" si="16"/>
        <v>9.1390519638535322E-3</v>
      </c>
      <c r="S26" s="2"/>
      <c r="T26" s="6">
        <v>1628.0054707499999</v>
      </c>
      <c r="U26" s="2"/>
      <c r="V26" s="7">
        <f t="shared" si="17"/>
        <v>6.1628542805951744E-3</v>
      </c>
      <c r="W26" s="2"/>
      <c r="X26" s="6">
        <f t="shared" si="18"/>
        <v>895.08452925000029</v>
      </c>
      <c r="Y26" s="2"/>
      <c r="Z26" s="7">
        <f t="shared" si="19"/>
        <v>0.54980437432906604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-105.59</v>
      </c>
      <c r="E27" s="2"/>
      <c r="F27" s="7">
        <f t="shared" si="12"/>
        <v>-7.9295095959907723E-4</v>
      </c>
      <c r="G27" s="2"/>
      <c r="H27" s="6">
        <v>327.58850000000001</v>
      </c>
      <c r="I27" s="2"/>
      <c r="J27" s="7">
        <f t="shared" si="13"/>
        <v>2.6591702383271642E-3</v>
      </c>
      <c r="K27" s="2"/>
      <c r="L27" s="6">
        <f t="shared" si="14"/>
        <v>-433.17849999999999</v>
      </c>
      <c r="M27" s="2"/>
      <c r="N27" s="7">
        <f t="shared" si="15"/>
        <v>-1.3223251121452675</v>
      </c>
      <c r="O27" s="11"/>
      <c r="P27" s="6">
        <v>541.51</v>
      </c>
      <c r="Q27" s="2"/>
      <c r="R27" s="7">
        <f t="shared" si="16"/>
        <v>1.9614393576710804E-3</v>
      </c>
      <c r="S27" s="2"/>
      <c r="T27" s="6">
        <v>853.91272500000002</v>
      </c>
      <c r="U27" s="2"/>
      <c r="V27" s="7">
        <f t="shared" si="17"/>
        <v>3.2325073760941111E-3</v>
      </c>
      <c r="W27" s="2"/>
      <c r="X27" s="6">
        <f t="shared" si="18"/>
        <v>-312.40272500000003</v>
      </c>
      <c r="Y27" s="2"/>
      <c r="Z27" s="7">
        <f t="shared" si="19"/>
        <v>-0.36584854148882723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1815.82</v>
      </c>
      <c r="E28" s="2"/>
      <c r="F28" s="7">
        <f t="shared" si="12"/>
        <v>1.3636293318109635E-2</v>
      </c>
      <c r="G28" s="2"/>
      <c r="H28" s="6">
        <v>1977</v>
      </c>
      <c r="I28" s="2"/>
      <c r="J28" s="7">
        <f t="shared" si="13"/>
        <v>1.6048120007792713E-2</v>
      </c>
      <c r="K28" s="2"/>
      <c r="L28" s="6">
        <f t="shared" si="14"/>
        <v>-161.18000000000006</v>
      </c>
      <c r="M28" s="2"/>
      <c r="N28" s="7">
        <f t="shared" si="15"/>
        <v>-8.1527567020738531E-2</v>
      </c>
      <c r="O28" s="11"/>
      <c r="P28" s="6">
        <v>7730.93</v>
      </c>
      <c r="Q28" s="2"/>
      <c r="R28" s="7">
        <f t="shared" si="16"/>
        <v>2.8002715320862192E-2</v>
      </c>
      <c r="S28" s="2"/>
      <c r="T28" s="6">
        <v>7908</v>
      </c>
      <c r="U28" s="2"/>
      <c r="V28" s="7">
        <f t="shared" si="17"/>
        <v>2.9935926215588635E-2</v>
      </c>
      <c r="W28" s="2"/>
      <c r="X28" s="6">
        <f t="shared" si="18"/>
        <v>-177.06999999999971</v>
      </c>
      <c r="Y28" s="2"/>
      <c r="Z28" s="7">
        <f t="shared" si="19"/>
        <v>-2.2391249367728846E-2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42.77</v>
      </c>
      <c r="E29" s="2"/>
      <c r="F29" s="7">
        <f t="shared" si="12"/>
        <v>3.2119057242212837E-4</v>
      </c>
      <c r="G29" s="2"/>
      <c r="H29" s="6">
        <v>44.8279</v>
      </c>
      <c r="I29" s="2"/>
      <c r="J29" s="7">
        <f t="shared" si="13"/>
        <v>3.6388645366582247E-4</v>
      </c>
      <c r="K29" s="2"/>
      <c r="L29" s="6">
        <f t="shared" si="14"/>
        <v>-2.0578999999999965</v>
      </c>
      <c r="M29" s="2"/>
      <c r="N29" s="7">
        <f t="shared" si="15"/>
        <v>-4.590667865324935E-2</v>
      </c>
      <c r="O29" s="11"/>
      <c r="P29" s="6">
        <v>110.36</v>
      </c>
      <c r="Q29" s="2"/>
      <c r="R29" s="7">
        <f t="shared" si="16"/>
        <v>3.9974229010097766E-4</v>
      </c>
      <c r="S29" s="2"/>
      <c r="T29" s="6">
        <v>116.851215</v>
      </c>
      <c r="U29" s="2"/>
      <c r="V29" s="7">
        <f t="shared" si="17"/>
        <v>4.4234311462340467E-4</v>
      </c>
      <c r="W29" s="2"/>
      <c r="X29" s="6">
        <f t="shared" si="18"/>
        <v>-6.4912149999999968</v>
      </c>
      <c r="Y29" s="2"/>
      <c r="Z29" s="7">
        <f t="shared" si="19"/>
        <v>-5.5551112583638922E-2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673.11</v>
      </c>
      <c r="E30" s="2"/>
      <c r="F30" s="7">
        <f t="shared" si="12"/>
        <v>5.0548652373873931E-3</v>
      </c>
      <c r="G30" s="2"/>
      <c r="H30" s="6">
        <v>425.18400000000003</v>
      </c>
      <c r="I30" s="2"/>
      <c r="J30" s="7">
        <f t="shared" si="13"/>
        <v>3.451392947594E-3</v>
      </c>
      <c r="K30" s="2"/>
      <c r="L30" s="6">
        <f t="shared" si="14"/>
        <v>247.92599999999999</v>
      </c>
      <c r="M30" s="2"/>
      <c r="N30" s="7">
        <f t="shared" si="15"/>
        <v>0.58310284488597874</v>
      </c>
      <c r="O30" s="11"/>
      <c r="P30" s="6">
        <v>1850.58</v>
      </c>
      <c r="Q30" s="2"/>
      <c r="R30" s="7">
        <f t="shared" si="16"/>
        <v>6.7031088004264883E-3</v>
      </c>
      <c r="S30" s="2"/>
      <c r="T30" s="6">
        <v>1530.6623999999999</v>
      </c>
      <c r="U30" s="2"/>
      <c r="V30" s="7">
        <f t="shared" si="17"/>
        <v>5.7943597202043265E-3</v>
      </c>
      <c r="W30" s="2"/>
      <c r="X30" s="6">
        <f t="shared" si="18"/>
        <v>319.91759999999999</v>
      </c>
      <c r="Y30" s="2"/>
      <c r="Z30" s="7">
        <f t="shared" si="19"/>
        <v>0.20900598329193951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421.2</v>
      </c>
      <c r="E32" s="2"/>
      <c r="F32" s="7">
        <f t="shared" si="12"/>
        <v>3.1630925673182242E-3</v>
      </c>
      <c r="G32" s="2"/>
      <c r="H32" s="6">
        <v>247.2</v>
      </c>
      <c r="I32" s="2"/>
      <c r="J32" s="7">
        <f t="shared" si="13"/>
        <v>2.0066238067406972E-3</v>
      </c>
      <c r="K32" s="2"/>
      <c r="L32" s="6">
        <f t="shared" si="14"/>
        <v>174</v>
      </c>
      <c r="M32" s="2"/>
      <c r="N32" s="7">
        <f t="shared" si="15"/>
        <v>0.70388349514563109</v>
      </c>
      <c r="O32" s="11"/>
      <c r="P32" s="6">
        <v>1263.5999999999999</v>
      </c>
      <c r="Q32" s="2"/>
      <c r="R32" s="7">
        <f t="shared" si="16"/>
        <v>4.576969533994159E-3</v>
      </c>
      <c r="S32" s="2"/>
      <c r="T32" s="6">
        <v>889.92</v>
      </c>
      <c r="U32" s="2"/>
      <c r="V32" s="7">
        <f t="shared" si="17"/>
        <v>3.3688137908164692E-3</v>
      </c>
      <c r="W32" s="2"/>
      <c r="X32" s="6">
        <f t="shared" si="18"/>
        <v>373.67999999999995</v>
      </c>
      <c r="Y32" s="2"/>
      <c r="Z32" s="7">
        <f t="shared" si="19"/>
        <v>0.4199029126213592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265.68</v>
      </c>
      <c r="E33" s="2"/>
      <c r="F33" s="7">
        <f t="shared" si="12"/>
        <v>1.9951814655391879E-3</v>
      </c>
      <c r="G33" s="2"/>
      <c r="H33" s="6">
        <v>616.125</v>
      </c>
      <c r="I33" s="2"/>
      <c r="J33" s="7">
        <f t="shared" si="13"/>
        <v>5.0013393726865384E-3</v>
      </c>
      <c r="K33" s="2"/>
      <c r="L33" s="6">
        <f t="shared" si="14"/>
        <v>-350.44499999999999</v>
      </c>
      <c r="M33" s="2"/>
      <c r="N33" s="7">
        <f t="shared" si="15"/>
        <v>-0.56878880097382833</v>
      </c>
      <c r="O33" s="11"/>
      <c r="P33" s="6">
        <v>797.04</v>
      </c>
      <c r="Q33" s="2"/>
      <c r="R33" s="7">
        <f t="shared" si="16"/>
        <v>2.8870115522117001E-3</v>
      </c>
      <c r="S33" s="2"/>
      <c r="T33" s="6">
        <v>1704.25125</v>
      </c>
      <c r="U33" s="2"/>
      <c r="V33" s="7">
        <f t="shared" si="17"/>
        <v>6.4514845312120261E-3</v>
      </c>
      <c r="W33" s="2"/>
      <c r="X33" s="6">
        <f t="shared" si="18"/>
        <v>-907.21125000000006</v>
      </c>
      <c r="Y33" s="2"/>
      <c r="Z33" s="7">
        <f t="shared" si="19"/>
        <v>-0.53232247885985129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174.68</v>
      </c>
      <c r="E34" s="2"/>
      <c r="F34" s="7">
        <f t="shared" si="12"/>
        <v>1.3117972688963615E-3</v>
      </c>
      <c r="G34" s="2"/>
      <c r="H34" s="6"/>
      <c r="I34" s="2"/>
      <c r="J34" s="7">
        <f t="shared" si="13"/>
        <v>0</v>
      </c>
      <c r="K34" s="2"/>
      <c r="L34" s="6">
        <f t="shared" si="14"/>
        <v>174.68</v>
      </c>
      <c r="M34" s="2"/>
      <c r="N34" s="7">
        <f t="shared" si="15"/>
        <v>0</v>
      </c>
      <c r="O34" s="11"/>
      <c r="P34" s="6">
        <v>642.96</v>
      </c>
      <c r="Q34" s="2"/>
      <c r="R34" s="7">
        <f t="shared" si="16"/>
        <v>2.3289081446477402E-3</v>
      </c>
      <c r="S34" s="2"/>
      <c r="T34" s="6">
        <v>125</v>
      </c>
      <c r="U34" s="2"/>
      <c r="V34" s="7">
        <f t="shared" si="17"/>
        <v>4.7319053830912743E-4</v>
      </c>
      <c r="W34" s="2"/>
      <c r="X34" s="6">
        <f t="shared" si="18"/>
        <v>517.96</v>
      </c>
      <c r="Y34" s="2"/>
      <c r="Z34" s="7">
        <f t="shared" si="19"/>
        <v>4.1436800000000007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14823.92</v>
      </c>
      <c r="E35" s="1"/>
      <c r="F35" s="5">
        <f t="shared" ref="F35:F45" si="20">IF(D$12=0,0,D35/D$12)</f>
        <v>0.11132343582744533</v>
      </c>
      <c r="G35" s="1"/>
      <c r="H35" s="1">
        <f>SUM(OSRRefH22_1x_0)</f>
        <v>16378.175000000001</v>
      </c>
      <c r="I35" s="1"/>
      <c r="J35" s="5">
        <f t="shared" ref="J35:J45" si="21">IF(H$12=0,0,H35/H$12)</f>
        <v>0.13294836515358141</v>
      </c>
      <c r="K35" s="1"/>
      <c r="L35" s="1">
        <f t="shared" ref="L35:L45" si="22">+D35-H35</f>
        <v>-1554.255000000001</v>
      </c>
      <c r="M35" s="1"/>
      <c r="N35" s="5">
        <f t="shared" ref="N35:N45" si="23">IF(H35=0,0,L35/H35)</f>
        <v>-9.4897935820077689E-2</v>
      </c>
      <c r="O35" s="13"/>
      <c r="P35" s="1">
        <f>SUM(OSRRefP22_1x_0)</f>
        <v>42620.89</v>
      </c>
      <c r="Q35" s="1"/>
      <c r="R35" s="5">
        <f t="shared" ref="R35:R45" si="24">IF(P$12=0,0,P35/P$12)</f>
        <v>0.15437995808936081</v>
      </c>
      <c r="S35" s="1"/>
      <c r="T35" s="1">
        <f>SUM(OSRRefT22_1x_0)</f>
        <v>42348.603749999995</v>
      </c>
      <c r="U35" s="1"/>
      <c r="V35" s="5">
        <f t="shared" ref="V35:V45" si="25">IF(T$12=0,0,T35/T$12)</f>
        <v>0.16031166884081943</v>
      </c>
      <c r="W35" s="1"/>
      <c r="X35" s="1">
        <f t="shared" ref="X35:X45" si="26">+P35-T35</f>
        <v>272.28625000000466</v>
      </c>
      <c r="Y35" s="1"/>
      <c r="Z35" s="5">
        <f t="shared" ref="Z35:Z45" si="27">IF(T35=0,0,X35/T35)</f>
        <v>6.4296393715224838E-3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3456</v>
      </c>
      <c r="E37" s="2"/>
      <c r="F37" s="7">
        <f t="shared" si="20"/>
        <v>2.5953580039534151E-2</v>
      </c>
      <c r="G37" s="2"/>
      <c r="H37" s="6">
        <v>4449.6000000000004</v>
      </c>
      <c r="I37" s="2"/>
      <c r="J37" s="7">
        <f t="shared" si="21"/>
        <v>3.6119228521332557E-2</v>
      </c>
      <c r="K37" s="2"/>
      <c r="L37" s="6">
        <f t="shared" si="22"/>
        <v>-993.60000000000036</v>
      </c>
      <c r="M37" s="2"/>
      <c r="N37" s="7">
        <f t="shared" si="23"/>
        <v>-0.22330097087378648</v>
      </c>
      <c r="O37" s="11"/>
      <c r="P37" s="6">
        <v>15168</v>
      </c>
      <c r="Q37" s="2"/>
      <c r="R37" s="7">
        <f t="shared" si="24"/>
        <v>5.4941020806919441E-2</v>
      </c>
      <c r="S37" s="2"/>
      <c r="T37" s="6">
        <v>16018.56</v>
      </c>
      <c r="U37" s="2"/>
      <c r="V37" s="7">
        <f t="shared" si="25"/>
        <v>6.0638648234696446E-2</v>
      </c>
      <c r="W37" s="2"/>
      <c r="X37" s="6">
        <f t="shared" si="26"/>
        <v>-850.55999999999949</v>
      </c>
      <c r="Y37" s="2"/>
      <c r="Z37" s="7">
        <f t="shared" si="27"/>
        <v>-5.309840584921488E-2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9.2234846639464439E-4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4603.6000000000004</v>
      </c>
      <c r="E40" s="2"/>
      <c r="F40" s="7">
        <f t="shared" si="20"/>
        <v>3.4571730633680388E-2</v>
      </c>
      <c r="G40" s="2"/>
      <c r="H40" s="6">
        <v>1969.1</v>
      </c>
      <c r="I40" s="2"/>
      <c r="J40" s="7">
        <f t="shared" si="21"/>
        <v>1.5983992467043313E-2</v>
      </c>
      <c r="K40" s="2"/>
      <c r="L40" s="6">
        <f t="shared" si="22"/>
        <v>2634.5000000000005</v>
      </c>
      <c r="M40" s="2"/>
      <c r="N40" s="7">
        <f t="shared" si="23"/>
        <v>1.3379208775582756</v>
      </c>
      <c r="O40" s="11"/>
      <c r="P40" s="6">
        <v>8593.73</v>
      </c>
      <c r="Q40" s="2"/>
      <c r="R40" s="7">
        <f t="shared" si="24"/>
        <v>3.1127920539230469E-2</v>
      </c>
      <c r="S40" s="2"/>
      <c r="T40" s="6">
        <v>4236.96</v>
      </c>
      <c r="U40" s="2"/>
      <c r="V40" s="7">
        <f t="shared" si="25"/>
        <v>1.6039115065553923E-2</v>
      </c>
      <c r="W40" s="2"/>
      <c r="X40" s="6">
        <f t="shared" si="26"/>
        <v>4356.7699999999995</v>
      </c>
      <c r="Y40" s="2"/>
      <c r="Z40" s="7">
        <f t="shared" si="27"/>
        <v>1.0282773497979683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6386.32</v>
      </c>
      <c r="E42" s="2"/>
      <c r="F42" s="7">
        <f t="shared" si="20"/>
        <v>4.7959452337406748E-2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6386.32</v>
      </c>
      <c r="M42" s="2"/>
      <c r="N42" s="7">
        <f t="shared" si="23"/>
        <v>0</v>
      </c>
      <c r="O42" s="11"/>
      <c r="P42" s="6">
        <v>16990.52</v>
      </c>
      <c r="Q42" s="2"/>
      <c r="R42" s="7">
        <f t="shared" si="24"/>
        <v>6.1542491616586294E-2</v>
      </c>
      <c r="S42" s="2"/>
      <c r="T42" s="6">
        <v>3370.1437500000002</v>
      </c>
      <c r="U42" s="2"/>
      <c r="V42" s="7">
        <f t="shared" si="25"/>
        <v>1.2757761081933132E-2</v>
      </c>
      <c r="W42" s="2"/>
      <c r="X42" s="6">
        <f t="shared" si="26"/>
        <v>13620.376250000001</v>
      </c>
      <c r="Y42" s="2"/>
      <c r="Z42" s="7">
        <f t="shared" si="27"/>
        <v>4.0414822809857887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378</v>
      </c>
      <c r="E43" s="2"/>
      <c r="F43" s="7">
        <f t="shared" si="20"/>
        <v>2.8386728168240476E-3</v>
      </c>
      <c r="G43" s="2"/>
      <c r="H43" s="6">
        <v>9959.4750000000004</v>
      </c>
      <c r="I43" s="2"/>
      <c r="J43" s="7">
        <f t="shared" si="21"/>
        <v>8.0845144165205537E-2</v>
      </c>
      <c r="K43" s="2"/>
      <c r="L43" s="6">
        <f t="shared" si="22"/>
        <v>-9581.4750000000004</v>
      </c>
      <c r="M43" s="2"/>
      <c r="N43" s="7">
        <f t="shared" si="23"/>
        <v>-0.96204619219386567</v>
      </c>
      <c r="O43" s="11"/>
      <c r="P43" s="6">
        <v>1614</v>
      </c>
      <c r="Q43" s="2"/>
      <c r="R43" s="7">
        <f t="shared" si="24"/>
        <v>5.8461766602299564E-3</v>
      </c>
      <c r="S43" s="2"/>
      <c r="T43" s="6">
        <v>18722.939999999999</v>
      </c>
      <c r="U43" s="2"/>
      <c r="V43" s="7">
        <f t="shared" si="25"/>
        <v>7.0876144458635951E-2</v>
      </c>
      <c r="W43" s="2"/>
      <c r="X43" s="6">
        <f t="shared" si="26"/>
        <v>-17108.939999999999</v>
      </c>
      <c r="Y43" s="2"/>
      <c r="Z43" s="7">
        <f t="shared" si="27"/>
        <v>-0.91379558979519238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221.52</v>
      </c>
      <c r="E46" s="1"/>
      <c r="F46" s="5">
        <f t="shared" ref="F46:F55" si="28">IF(D$12=0,0,D46/D$12)</f>
        <v>1.6635523872562516E-3</v>
      </c>
      <c r="G46" s="1"/>
      <c r="H46" s="1">
        <f>SUM(OSRRefH22_2x_0)</f>
        <v>150</v>
      </c>
      <c r="I46" s="1"/>
      <c r="J46" s="5">
        <f t="shared" ref="J46:J55" si="29">IF(H$12=0,0,H46/H$12)</f>
        <v>1.2176115332164425E-3</v>
      </c>
      <c r="K46" s="1"/>
      <c r="L46" s="1">
        <f t="shared" ref="L46:L55" si="30">+D46-H46</f>
        <v>71.52000000000001</v>
      </c>
      <c r="M46" s="1"/>
      <c r="N46" s="5">
        <f t="shared" ref="N46:N55" si="31">IF(H46=0,0,L46/H46)</f>
        <v>0.47680000000000006</v>
      </c>
      <c r="O46" s="13"/>
      <c r="P46" s="1">
        <f>SUM(OSRRefP22_2x_0)</f>
        <v>301.3</v>
      </c>
      <c r="Q46" s="1"/>
      <c r="R46" s="5">
        <f t="shared" ref="R46:R55" si="32">IF(P$12=0,0,P46/P$12)</f>
        <v>1.0913587532387148E-3</v>
      </c>
      <c r="S46" s="1"/>
      <c r="T46" s="1">
        <f>SUM(OSRRefT22_2x_0)</f>
        <v>450</v>
      </c>
      <c r="U46" s="1"/>
      <c r="V46" s="5">
        <f t="shared" ref="V46:V55" si="33">IF(T$12=0,0,T46/T$12)</f>
        <v>1.7034859379128587E-3</v>
      </c>
      <c r="W46" s="1"/>
      <c r="X46" s="1">
        <f t="shared" ref="X46:X55" si="34">+P46-T46</f>
        <v>-148.69999999999999</v>
      </c>
      <c r="Y46" s="1"/>
      <c r="Z46" s="5">
        <f t="shared" ref="Z46:Z55" si="35">IF(T46=0,0,X46/T46)</f>
        <v>-0.33044444444444443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221.52</v>
      </c>
      <c r="E47" s="2"/>
      <c r="F47" s="7">
        <f t="shared" si="28"/>
        <v>1.6635523872562516E-3</v>
      </c>
      <c r="G47" s="2"/>
      <c r="H47" s="6">
        <v>150</v>
      </c>
      <c r="I47" s="2"/>
      <c r="J47" s="7">
        <f t="shared" si="29"/>
        <v>1.2176115332164425E-3</v>
      </c>
      <c r="K47" s="2"/>
      <c r="L47" s="6">
        <f t="shared" si="30"/>
        <v>71.52000000000001</v>
      </c>
      <c r="M47" s="2"/>
      <c r="N47" s="7">
        <f t="shared" si="31"/>
        <v>0.47680000000000006</v>
      </c>
      <c r="O47" s="11"/>
      <c r="P47" s="6">
        <v>301.3</v>
      </c>
      <c r="Q47" s="2"/>
      <c r="R47" s="7">
        <f t="shared" si="32"/>
        <v>1.0913587532387148E-3</v>
      </c>
      <c r="S47" s="2"/>
      <c r="T47" s="6">
        <v>450</v>
      </c>
      <c r="U47" s="2"/>
      <c r="V47" s="7">
        <f t="shared" si="33"/>
        <v>1.7034859379128587E-3</v>
      </c>
      <c r="W47" s="2"/>
      <c r="X47" s="6">
        <f t="shared" si="34"/>
        <v>-148.69999999999999</v>
      </c>
      <c r="Y47" s="2"/>
      <c r="Z47" s="7">
        <f t="shared" si="35"/>
        <v>-0.33044444444444443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-15.11</v>
      </c>
      <c r="E48" s="1"/>
      <c r="F48" s="5">
        <f t="shared" si="28"/>
        <v>-1.1347181550849565E-4</v>
      </c>
      <c r="G48" s="1"/>
      <c r="H48" s="1">
        <f>SUM(OSRRefH22_3x_0)</f>
        <v>10</v>
      </c>
      <c r="I48" s="1"/>
      <c r="J48" s="5">
        <f t="shared" si="29"/>
        <v>8.1174102214429512E-5</v>
      </c>
      <c r="K48" s="1"/>
      <c r="L48" s="1">
        <f t="shared" si="30"/>
        <v>-25.11</v>
      </c>
      <c r="M48" s="1"/>
      <c r="N48" s="5">
        <f t="shared" si="31"/>
        <v>-2.5110000000000001</v>
      </c>
      <c r="O48" s="13"/>
      <c r="P48" s="1">
        <f>SUM(OSRRefP22_3x_0)</f>
        <v>-37.17</v>
      </c>
      <c r="Q48" s="1"/>
      <c r="R48" s="5">
        <f t="shared" si="32"/>
        <v>-1.3463592717518431E-4</v>
      </c>
      <c r="S48" s="1"/>
      <c r="T48" s="1">
        <f>SUM(OSRRefT22_3x_0)</f>
        <v>40</v>
      </c>
      <c r="U48" s="1"/>
      <c r="V48" s="5">
        <f t="shared" si="33"/>
        <v>1.5142097225892076E-4</v>
      </c>
      <c r="W48" s="1"/>
      <c r="X48" s="1">
        <f t="shared" si="34"/>
        <v>-77.17</v>
      </c>
      <c r="Y48" s="1"/>
      <c r="Z48" s="5">
        <f t="shared" si="35"/>
        <v>-1.9292500000000001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-15.11</v>
      </c>
      <c r="E49" s="2"/>
      <c r="F49" s="7">
        <f t="shared" si="28"/>
        <v>-1.1347181550849565E-4</v>
      </c>
      <c r="G49" s="2"/>
      <c r="H49" s="6">
        <v>10</v>
      </c>
      <c r="I49" s="2"/>
      <c r="J49" s="7">
        <f t="shared" si="29"/>
        <v>8.1174102214429512E-5</v>
      </c>
      <c r="K49" s="2"/>
      <c r="L49" s="6">
        <f t="shared" si="30"/>
        <v>-25.11</v>
      </c>
      <c r="M49" s="2"/>
      <c r="N49" s="7">
        <f t="shared" si="31"/>
        <v>-2.5110000000000001</v>
      </c>
      <c r="O49" s="11"/>
      <c r="P49" s="6">
        <v>-37.17</v>
      </c>
      <c r="Q49" s="2"/>
      <c r="R49" s="7">
        <f t="shared" si="32"/>
        <v>-1.3463592717518431E-4</v>
      </c>
      <c r="S49" s="2"/>
      <c r="T49" s="6">
        <v>40</v>
      </c>
      <c r="U49" s="2"/>
      <c r="V49" s="7">
        <f t="shared" si="33"/>
        <v>1.5142097225892076E-4</v>
      </c>
      <c r="W49" s="2"/>
      <c r="X49" s="6">
        <f t="shared" si="34"/>
        <v>-77.17</v>
      </c>
      <c r="Y49" s="2"/>
      <c r="Z49" s="7">
        <f t="shared" si="35"/>
        <v>-1.9292500000000001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4611.9399999999996</v>
      </c>
      <c r="E50" s="1"/>
      <c r="F50" s="5">
        <f t="shared" si="28"/>
        <v>3.4634361668845232E-2</v>
      </c>
      <c r="G50" s="1"/>
      <c r="H50" s="1">
        <f>SUM(OSRRefH22_4x_0)</f>
        <v>3942</v>
      </c>
      <c r="I50" s="1"/>
      <c r="J50" s="5">
        <f t="shared" si="29"/>
        <v>3.1998831092928115E-2</v>
      </c>
      <c r="K50" s="1"/>
      <c r="L50" s="1">
        <f t="shared" si="30"/>
        <v>669.9399999999996</v>
      </c>
      <c r="M50" s="1"/>
      <c r="N50" s="5">
        <f t="shared" si="31"/>
        <v>0.16994926433282587</v>
      </c>
      <c r="O50" s="13"/>
      <c r="P50" s="1">
        <f>SUM(OSRRefP22_4x_0)</f>
        <v>9618.33</v>
      </c>
      <c r="Q50" s="1"/>
      <c r="R50" s="5">
        <f t="shared" si="32"/>
        <v>3.4839192290204213E-2</v>
      </c>
      <c r="S50" s="1"/>
      <c r="T50" s="1">
        <f>SUM(OSRRefT22_4x_0)</f>
        <v>8723</v>
      </c>
      <c r="U50" s="1"/>
      <c r="V50" s="5">
        <f t="shared" si="33"/>
        <v>3.3021128525364145E-2</v>
      </c>
      <c r="W50" s="1"/>
      <c r="X50" s="1">
        <f t="shared" si="34"/>
        <v>895.32999999999993</v>
      </c>
      <c r="Y50" s="1"/>
      <c r="Z50" s="5">
        <f t="shared" si="35"/>
        <v>0.10264014673850738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4611.9399999999996</v>
      </c>
      <c r="E51" s="2"/>
      <c r="F51" s="7">
        <f t="shared" si="28"/>
        <v>3.4634361668845232E-2</v>
      </c>
      <c r="G51" s="2"/>
      <c r="H51" s="6">
        <v>3942</v>
      </c>
      <c r="I51" s="2"/>
      <c r="J51" s="7">
        <f t="shared" si="29"/>
        <v>3.1998831092928115E-2</v>
      </c>
      <c r="K51" s="2"/>
      <c r="L51" s="6">
        <f t="shared" si="30"/>
        <v>669.9399999999996</v>
      </c>
      <c r="M51" s="2"/>
      <c r="N51" s="7">
        <f t="shared" si="31"/>
        <v>0.16994926433282587</v>
      </c>
      <c r="O51" s="11"/>
      <c r="P51" s="6">
        <v>9618.33</v>
      </c>
      <c r="Q51" s="2"/>
      <c r="R51" s="7">
        <f t="shared" si="32"/>
        <v>3.4839192290204213E-2</v>
      </c>
      <c r="S51" s="2"/>
      <c r="T51" s="6">
        <v>8723</v>
      </c>
      <c r="U51" s="2"/>
      <c r="V51" s="7">
        <f t="shared" si="33"/>
        <v>3.3021128525364145E-2</v>
      </c>
      <c r="W51" s="2"/>
      <c r="X51" s="6">
        <f t="shared" si="34"/>
        <v>895.32999999999993</v>
      </c>
      <c r="Y51" s="2"/>
      <c r="Z51" s="7">
        <f t="shared" si="35"/>
        <v>0.10264014673850738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5421.37</v>
      </c>
      <c r="E52" s="1"/>
      <c r="F52" s="5">
        <f t="shared" si="28"/>
        <v>4.0712951452236475E-2</v>
      </c>
      <c r="G52" s="1"/>
      <c r="H52" s="1">
        <f>SUM(OSRRefH22_5x_0)</f>
        <v>6026</v>
      </c>
      <c r="I52" s="1"/>
      <c r="J52" s="5">
        <f t="shared" si="29"/>
        <v>4.8915513994415225E-2</v>
      </c>
      <c r="K52" s="1"/>
      <c r="L52" s="1">
        <f t="shared" si="30"/>
        <v>-604.63000000000011</v>
      </c>
      <c r="M52" s="1"/>
      <c r="N52" s="5">
        <f t="shared" si="31"/>
        <v>-0.10033687354795887</v>
      </c>
      <c r="O52" s="13"/>
      <c r="P52" s="1">
        <f>SUM(OSRRefP22_5x_0)</f>
        <v>21685.48</v>
      </c>
      <c r="Q52" s="1"/>
      <c r="R52" s="5">
        <f t="shared" si="32"/>
        <v>7.8548418241563514E-2</v>
      </c>
      <c r="S52" s="1"/>
      <c r="T52" s="1">
        <f>SUM(OSRRefT22_5x_0)</f>
        <v>22493</v>
      </c>
      <c r="U52" s="1"/>
      <c r="V52" s="5">
        <f t="shared" si="33"/>
        <v>8.5147798225497617E-2</v>
      </c>
      <c r="W52" s="1"/>
      <c r="X52" s="1">
        <f t="shared" si="34"/>
        <v>-807.52000000000044</v>
      </c>
      <c r="Y52" s="1"/>
      <c r="Z52" s="5">
        <f t="shared" si="35"/>
        <v>-3.590094696127686E-2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3.8153189504240063E-2</v>
      </c>
      <c r="G53" s="2"/>
      <c r="H53" s="6">
        <v>5081</v>
      </c>
      <c r="I53" s="2"/>
      <c r="J53" s="7">
        <f t="shared" si="29"/>
        <v>4.1244561335151635E-2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20322.04</v>
      </c>
      <c r="Q53" s="2"/>
      <c r="R53" s="7">
        <f t="shared" si="32"/>
        <v>7.3609811608587108E-2</v>
      </c>
      <c r="S53" s="2"/>
      <c r="T53" s="6">
        <v>20324</v>
      </c>
      <c r="U53" s="2"/>
      <c r="V53" s="7">
        <f t="shared" si="33"/>
        <v>7.6936996004757646E-2</v>
      </c>
      <c r="W53" s="2"/>
      <c r="X53" s="6">
        <f t="shared" si="34"/>
        <v>-1.9599999999991269</v>
      </c>
      <c r="Y53" s="2"/>
      <c r="Z53" s="7">
        <f t="shared" si="35"/>
        <v>-9.6437709112336489E-5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340.86</v>
      </c>
      <c r="E54" s="2"/>
      <c r="F54" s="7">
        <f t="shared" si="28"/>
        <v>2.5597619479964151E-3</v>
      </c>
      <c r="G54" s="2"/>
      <c r="H54" s="6">
        <v>348</v>
      </c>
      <c r="I54" s="2"/>
      <c r="J54" s="7">
        <f t="shared" si="29"/>
        <v>2.8248587570621469E-3</v>
      </c>
      <c r="K54" s="2"/>
      <c r="L54" s="6">
        <f t="shared" si="30"/>
        <v>-7.1399999999999864</v>
      </c>
      <c r="M54" s="2"/>
      <c r="N54" s="7">
        <f t="shared" si="31"/>
        <v>-2.0517241379310304E-2</v>
      </c>
      <c r="O54" s="11"/>
      <c r="P54" s="6">
        <v>1363.44</v>
      </c>
      <c r="Q54" s="2"/>
      <c r="R54" s="7">
        <f t="shared" si="32"/>
        <v>4.9386066329764134E-3</v>
      </c>
      <c r="S54" s="2"/>
      <c r="T54" s="6">
        <v>1392</v>
      </c>
      <c r="U54" s="2"/>
      <c r="V54" s="7">
        <f t="shared" si="33"/>
        <v>5.2694498346104431E-3</v>
      </c>
      <c r="W54" s="2"/>
      <c r="X54" s="6">
        <f t="shared" si="34"/>
        <v>-28.559999999999945</v>
      </c>
      <c r="Y54" s="2"/>
      <c r="Z54" s="7">
        <f t="shared" si="35"/>
        <v>-2.0517241379310304E-2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597</v>
      </c>
      <c r="I55" s="2"/>
      <c r="J55" s="7">
        <f t="shared" si="29"/>
        <v>4.8460939022014413E-3</v>
      </c>
      <c r="K55" s="2"/>
      <c r="L55" s="6">
        <f t="shared" si="30"/>
        <v>-597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777</v>
      </c>
      <c r="U55" s="2"/>
      <c r="V55" s="7">
        <f t="shared" si="33"/>
        <v>2.9413523861295358E-3</v>
      </c>
      <c r="W55" s="2"/>
      <c r="X55" s="6">
        <f t="shared" si="34"/>
        <v>-777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33.28</v>
      </c>
      <c r="E56" s="1"/>
      <c r="F56" s="5">
        <f t="shared" ref="F56:F69" si="36">IF(D$12=0,0,D56/D$12)</f>
        <v>2.4992336334366222E-4</v>
      </c>
      <c r="G56" s="1"/>
      <c r="H56" s="1">
        <f>SUM(OSRRefH22_6x_0)</f>
        <v>25</v>
      </c>
      <c r="I56" s="1"/>
      <c r="J56" s="5">
        <f t="shared" ref="J56:J69" si="37">IF(H$12=0,0,H56/H$12)</f>
        <v>2.0293525553607378E-4</v>
      </c>
      <c r="K56" s="1"/>
      <c r="L56" s="1">
        <f t="shared" ref="L56:L69" si="38">+D56-H56</f>
        <v>8.2800000000000011</v>
      </c>
      <c r="M56" s="1"/>
      <c r="N56" s="5">
        <f t="shared" ref="N56:N69" si="39">IF(H56=0,0,L56/H56)</f>
        <v>0.33120000000000005</v>
      </c>
      <c r="O56" s="13"/>
      <c r="P56" s="1">
        <f>SUM(OSRRefP22_6x_0)</f>
        <v>33.28</v>
      </c>
      <c r="Q56" s="1"/>
      <c r="R56" s="5">
        <f t="shared" ref="R56:R69" si="40">IF(P$12=0,0,P56/P$12)</f>
        <v>1.2054569966075151E-4</v>
      </c>
      <c r="S56" s="1"/>
      <c r="T56" s="1">
        <f>SUM(OSRRefT22_6x_0)</f>
        <v>100</v>
      </c>
      <c r="U56" s="1"/>
      <c r="V56" s="5">
        <f t="shared" ref="V56:V69" si="41">IF(T$12=0,0,T56/T$12)</f>
        <v>3.7855243064730193E-4</v>
      </c>
      <c r="W56" s="1"/>
      <c r="X56" s="1">
        <f t="shared" ref="X56:X69" si="42">+P56-T56</f>
        <v>-66.72</v>
      </c>
      <c r="Y56" s="1"/>
      <c r="Z56" s="5">
        <f t="shared" ref="Z56:Z69" si="43">IF(T56=0,0,X56/T56)</f>
        <v>-0.66720000000000002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33.28</v>
      </c>
      <c r="E57" s="2"/>
      <c r="F57" s="7">
        <f t="shared" si="36"/>
        <v>2.4992336334366222E-4</v>
      </c>
      <c r="G57" s="2"/>
      <c r="H57" s="6">
        <v>25</v>
      </c>
      <c r="I57" s="2"/>
      <c r="J57" s="7">
        <f t="shared" si="37"/>
        <v>2.0293525553607378E-4</v>
      </c>
      <c r="K57" s="2"/>
      <c r="L57" s="6">
        <f t="shared" si="38"/>
        <v>8.2800000000000011</v>
      </c>
      <c r="M57" s="2"/>
      <c r="N57" s="7">
        <f t="shared" si="39"/>
        <v>0.33120000000000005</v>
      </c>
      <c r="O57" s="11"/>
      <c r="P57" s="6">
        <v>33.28</v>
      </c>
      <c r="Q57" s="2"/>
      <c r="R57" s="7">
        <f t="shared" si="40"/>
        <v>1.2054569966075151E-4</v>
      </c>
      <c r="S57" s="2"/>
      <c r="T57" s="6">
        <v>100</v>
      </c>
      <c r="U57" s="2"/>
      <c r="V57" s="7">
        <f t="shared" si="41"/>
        <v>3.7855243064730193E-4</v>
      </c>
      <c r="W57" s="2"/>
      <c r="X57" s="6">
        <f t="shared" si="42"/>
        <v>-66.72</v>
      </c>
      <c r="Y57" s="2"/>
      <c r="Z57" s="7">
        <f t="shared" si="43"/>
        <v>-0.66720000000000002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123.73</v>
      </c>
      <c r="E58" s="1"/>
      <c r="F58" s="5">
        <f t="shared" si="36"/>
        <v>9.2917721594084506E-4</v>
      </c>
      <c r="G58" s="1"/>
      <c r="H58" s="1">
        <f>SUM(OSRRefH22_7x_0)</f>
        <v>80</v>
      </c>
      <c r="I58" s="1"/>
      <c r="J58" s="5">
        <f t="shared" si="37"/>
        <v>6.493928177154361E-4</v>
      </c>
      <c r="K58" s="1"/>
      <c r="L58" s="1">
        <f t="shared" si="38"/>
        <v>43.730000000000004</v>
      </c>
      <c r="M58" s="1"/>
      <c r="N58" s="5">
        <f t="shared" si="39"/>
        <v>0.54662500000000003</v>
      </c>
      <c r="O58" s="13"/>
      <c r="P58" s="1">
        <f>SUM(OSRRefP22_7x_0)</f>
        <v>472.94</v>
      </c>
      <c r="Q58" s="1"/>
      <c r="R58" s="5">
        <f t="shared" si="40"/>
        <v>1.713067403772711E-3</v>
      </c>
      <c r="S58" s="1"/>
      <c r="T58" s="1">
        <f>SUM(OSRRefT22_7x_0)</f>
        <v>320</v>
      </c>
      <c r="U58" s="1"/>
      <c r="V58" s="5">
        <f t="shared" si="41"/>
        <v>1.2113677780713661E-3</v>
      </c>
      <c r="W58" s="1"/>
      <c r="X58" s="1">
        <f t="shared" si="42"/>
        <v>152.94</v>
      </c>
      <c r="Y58" s="1"/>
      <c r="Z58" s="5">
        <f t="shared" si="43"/>
        <v>0.47793750000000002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123.73</v>
      </c>
      <c r="E59" s="2"/>
      <c r="F59" s="7">
        <f t="shared" si="36"/>
        <v>9.2917721594084506E-4</v>
      </c>
      <c r="G59" s="2"/>
      <c r="H59" s="6">
        <v>80</v>
      </c>
      <c r="I59" s="2"/>
      <c r="J59" s="7">
        <f t="shared" si="37"/>
        <v>6.493928177154361E-4</v>
      </c>
      <c r="K59" s="2"/>
      <c r="L59" s="6">
        <f t="shared" si="38"/>
        <v>43.730000000000004</v>
      </c>
      <c r="M59" s="2"/>
      <c r="N59" s="7">
        <f t="shared" si="39"/>
        <v>0.54662500000000003</v>
      </c>
      <c r="O59" s="11"/>
      <c r="P59" s="6">
        <v>472.94</v>
      </c>
      <c r="Q59" s="2"/>
      <c r="R59" s="7">
        <f t="shared" si="40"/>
        <v>1.713067403772711E-3</v>
      </c>
      <c r="S59" s="2"/>
      <c r="T59" s="6">
        <v>320</v>
      </c>
      <c r="U59" s="2"/>
      <c r="V59" s="7">
        <f t="shared" si="41"/>
        <v>1.2113677780713661E-3</v>
      </c>
      <c r="W59" s="2"/>
      <c r="X59" s="6">
        <f t="shared" si="42"/>
        <v>152.94</v>
      </c>
      <c r="Y59" s="2"/>
      <c r="Z59" s="7">
        <f t="shared" si="43"/>
        <v>0.47793750000000002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207.5</v>
      </c>
      <c r="E60" s="1"/>
      <c r="F60" s="5">
        <f t="shared" si="36"/>
        <v>1.5582661626745765E-3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207.5</v>
      </c>
      <c r="M60" s="1"/>
      <c r="N60" s="5">
        <f t="shared" si="39"/>
        <v>0</v>
      </c>
      <c r="O60" s="13"/>
      <c r="P60" s="1">
        <f>SUM(OSRRefP22_8x_0)</f>
        <v>1027.23</v>
      </c>
      <c r="Q60" s="1"/>
      <c r="R60" s="5">
        <f t="shared" si="40"/>
        <v>3.7207980487534188E-3</v>
      </c>
      <c r="S60" s="1"/>
      <c r="T60" s="1">
        <f>SUM(OSRRefT22_8x_0)</f>
        <v>400</v>
      </c>
      <c r="U60" s="1"/>
      <c r="V60" s="5">
        <f t="shared" si="41"/>
        <v>1.5142097225892077E-3</v>
      </c>
      <c r="W60" s="1"/>
      <c r="X60" s="1">
        <f t="shared" si="42"/>
        <v>627.23</v>
      </c>
      <c r="Y60" s="1"/>
      <c r="Z60" s="5">
        <f t="shared" si="43"/>
        <v>1.5680750000000001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207.5</v>
      </c>
      <c r="E61" s="2"/>
      <c r="F61" s="7">
        <f t="shared" si="36"/>
        <v>1.5582661626745765E-3</v>
      </c>
      <c r="G61" s="2"/>
      <c r="H61" s="6"/>
      <c r="I61" s="2"/>
      <c r="J61" s="7">
        <f t="shared" si="37"/>
        <v>0</v>
      </c>
      <c r="K61" s="2"/>
      <c r="L61" s="6">
        <f t="shared" si="38"/>
        <v>207.5</v>
      </c>
      <c r="M61" s="2"/>
      <c r="N61" s="7">
        <f t="shared" si="39"/>
        <v>0</v>
      </c>
      <c r="O61" s="11"/>
      <c r="P61" s="6">
        <v>1027.23</v>
      </c>
      <c r="Q61" s="2"/>
      <c r="R61" s="7">
        <f t="shared" si="40"/>
        <v>3.7207980487534188E-3</v>
      </c>
      <c r="S61" s="2"/>
      <c r="T61" s="6">
        <v>400</v>
      </c>
      <c r="U61" s="2"/>
      <c r="V61" s="7">
        <f t="shared" si="41"/>
        <v>1.5142097225892077E-3</v>
      </c>
      <c r="W61" s="2"/>
      <c r="X61" s="6">
        <f t="shared" si="42"/>
        <v>627.23</v>
      </c>
      <c r="Y61" s="2"/>
      <c r="Z61" s="7">
        <f t="shared" si="43"/>
        <v>1.5680750000000001</v>
      </c>
    </row>
    <row r="62" spans="1:26" s="26" customFormat="1" outlineLevel="1" collapsed="1" x14ac:dyDescent="0.25">
      <c r="A62" s="25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1.828916343410922E-3</v>
      </c>
      <c r="G62" s="1"/>
      <c r="H62" s="1">
        <f>SUM(OSRRefH22_9x_0)</f>
        <v>230</v>
      </c>
      <c r="I62" s="1"/>
      <c r="J62" s="5">
        <f t="shared" si="37"/>
        <v>1.8670043509318786E-3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974.16</v>
      </c>
      <c r="Q62" s="1"/>
      <c r="R62" s="5">
        <f t="shared" si="40"/>
        <v>3.5285696749254112E-3</v>
      </c>
      <c r="S62" s="1"/>
      <c r="T62" s="1">
        <f>SUM(OSRRefT22_9x_0)</f>
        <v>920</v>
      </c>
      <c r="U62" s="1"/>
      <c r="V62" s="5">
        <f t="shared" si="41"/>
        <v>3.4826823619551776E-3</v>
      </c>
      <c r="W62" s="1"/>
      <c r="X62" s="1">
        <f t="shared" si="42"/>
        <v>54.159999999999968</v>
      </c>
      <c r="Y62" s="1"/>
      <c r="Z62" s="5">
        <f t="shared" si="43"/>
        <v>5.886956521739127E-2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6"/>
        <v>1.828916343410922E-3</v>
      </c>
      <c r="G63" s="2"/>
      <c r="H63" s="6">
        <v>230</v>
      </c>
      <c r="I63" s="2"/>
      <c r="J63" s="7">
        <f t="shared" si="37"/>
        <v>1.8670043509318786E-3</v>
      </c>
      <c r="K63" s="2"/>
      <c r="L63" s="6">
        <f t="shared" si="38"/>
        <v>13.539999999999992</v>
      </c>
      <c r="M63" s="2"/>
      <c r="N63" s="7">
        <f t="shared" si="39"/>
        <v>5.886956521739127E-2</v>
      </c>
      <c r="O63" s="11"/>
      <c r="P63" s="6">
        <v>974.16</v>
      </c>
      <c r="Q63" s="2"/>
      <c r="R63" s="7">
        <f t="shared" si="40"/>
        <v>3.5285696749254112E-3</v>
      </c>
      <c r="S63" s="2"/>
      <c r="T63" s="6">
        <v>920</v>
      </c>
      <c r="U63" s="2"/>
      <c r="V63" s="7">
        <f t="shared" si="41"/>
        <v>3.4826823619551776E-3</v>
      </c>
      <c r="W63" s="2"/>
      <c r="X63" s="6">
        <f t="shared" si="42"/>
        <v>54.159999999999968</v>
      </c>
      <c r="Y63" s="2"/>
      <c r="Z63" s="7">
        <f t="shared" si="43"/>
        <v>5.886956521739127E-2</v>
      </c>
    </row>
    <row r="64" spans="1:26" s="26" customFormat="1" outlineLevel="1" collapsed="1" x14ac:dyDescent="0.25">
      <c r="A64" s="25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4163.95</v>
      </c>
      <c r="E64" s="1"/>
      <c r="F64" s="5">
        <f t="shared" si="36"/>
        <v>3.1270083797921941E-2</v>
      </c>
      <c r="G64" s="1"/>
      <c r="H64" s="1">
        <f>SUM(OSRRefH22_10x_0)</f>
        <v>4175</v>
      </c>
      <c r="I64" s="1"/>
      <c r="J64" s="5">
        <f t="shared" si="37"/>
        <v>3.3890187674524321E-2</v>
      </c>
      <c r="K64" s="1"/>
      <c r="L64" s="1">
        <f t="shared" si="38"/>
        <v>-11.050000000000182</v>
      </c>
      <c r="M64" s="1"/>
      <c r="N64" s="5">
        <f t="shared" si="39"/>
        <v>-2.6467065868263908E-3</v>
      </c>
      <c r="O64" s="13"/>
      <c r="P64" s="1">
        <f>SUM(OSRRefP22_10x_0)</f>
        <v>16493.95</v>
      </c>
      <c r="Q64" s="1"/>
      <c r="R64" s="5">
        <f t="shared" si="40"/>
        <v>5.9743832419454704E-2</v>
      </c>
      <c r="S64" s="1"/>
      <c r="T64" s="1">
        <f>SUM(OSRRefT22_10x_0)</f>
        <v>16700</v>
      </c>
      <c r="U64" s="1"/>
      <c r="V64" s="5">
        <f t="shared" si="41"/>
        <v>6.3218255918099417E-2</v>
      </c>
      <c r="W64" s="1"/>
      <c r="X64" s="1">
        <f t="shared" si="42"/>
        <v>-206.04999999999927</v>
      </c>
      <c r="Y64" s="1"/>
      <c r="Z64" s="5">
        <f t="shared" si="43"/>
        <v>-1.233832335329337E-2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4163.95</v>
      </c>
      <c r="E65" s="2"/>
      <c r="F65" s="7">
        <f t="shared" si="36"/>
        <v>3.1270083797921941E-2</v>
      </c>
      <c r="G65" s="2"/>
      <c r="H65" s="6">
        <v>4175</v>
      </c>
      <c r="I65" s="2"/>
      <c r="J65" s="7">
        <f t="shared" si="37"/>
        <v>3.3890187674524321E-2</v>
      </c>
      <c r="K65" s="2"/>
      <c r="L65" s="6">
        <f t="shared" si="38"/>
        <v>-11.050000000000182</v>
      </c>
      <c r="M65" s="2"/>
      <c r="N65" s="7">
        <f t="shared" si="39"/>
        <v>-2.6467065868263908E-3</v>
      </c>
      <c r="O65" s="11"/>
      <c r="P65" s="6">
        <v>16493.95</v>
      </c>
      <c r="Q65" s="2"/>
      <c r="R65" s="7">
        <f t="shared" si="40"/>
        <v>5.9743832419454704E-2</v>
      </c>
      <c r="S65" s="2"/>
      <c r="T65" s="6">
        <v>16700</v>
      </c>
      <c r="U65" s="2"/>
      <c r="V65" s="7">
        <f t="shared" si="41"/>
        <v>6.3218255918099417E-2</v>
      </c>
      <c r="W65" s="2"/>
      <c r="X65" s="6">
        <f t="shared" si="42"/>
        <v>-206.04999999999927</v>
      </c>
      <c r="Y65" s="2"/>
      <c r="Z65" s="7">
        <f t="shared" si="43"/>
        <v>-1.233832335329337E-2</v>
      </c>
    </row>
    <row r="66" spans="1:26" s="26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102.71</v>
      </c>
      <c r="E66" s="1"/>
      <c r="F66" s="5">
        <f t="shared" si="36"/>
        <v>7.7132297623279877E-4</v>
      </c>
      <c r="G66" s="1"/>
      <c r="H66" s="1">
        <f>SUM(OSRRefH22_11x_0)</f>
        <v>200</v>
      </c>
      <c r="I66" s="1"/>
      <c r="J66" s="5">
        <f t="shared" si="37"/>
        <v>1.6234820442885902E-3</v>
      </c>
      <c r="K66" s="1"/>
      <c r="L66" s="1">
        <f t="shared" si="38"/>
        <v>-97.29</v>
      </c>
      <c r="M66" s="1"/>
      <c r="N66" s="5">
        <f t="shared" si="39"/>
        <v>-0.48645000000000005</v>
      </c>
      <c r="O66" s="13"/>
      <c r="P66" s="1">
        <f>SUM(OSRRefP22_11x_0)</f>
        <v>624.08999999999992</v>
      </c>
      <c r="Q66" s="1"/>
      <c r="R66" s="5">
        <f t="shared" si="40"/>
        <v>2.2605578636201444E-3</v>
      </c>
      <c r="S66" s="1"/>
      <c r="T66" s="1">
        <f>SUM(OSRRefT22_11x_0)</f>
        <v>3600</v>
      </c>
      <c r="U66" s="1"/>
      <c r="V66" s="5">
        <f t="shared" si="41"/>
        <v>1.362788750330287E-2</v>
      </c>
      <c r="W66" s="1"/>
      <c r="X66" s="1">
        <f t="shared" si="42"/>
        <v>-2975.91</v>
      </c>
      <c r="Y66" s="1"/>
      <c r="Z66" s="5">
        <f t="shared" si="43"/>
        <v>-0.82664166666666661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437.31</v>
      </c>
      <c r="Q67" s="2"/>
      <c r="R67" s="7">
        <f t="shared" si="40"/>
        <v>1.5840096129400014E-3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437.31</v>
      </c>
      <c r="Y67" s="2"/>
      <c r="Z67" s="7">
        <f t="shared" si="43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102.71</v>
      </c>
      <c r="E68" s="2"/>
      <c r="F68" s="7">
        <f t="shared" si="36"/>
        <v>7.7132297623279877E-4</v>
      </c>
      <c r="G68" s="2"/>
      <c r="H68" s="6"/>
      <c r="I68" s="2"/>
      <c r="J68" s="7">
        <f t="shared" si="37"/>
        <v>0</v>
      </c>
      <c r="K68" s="2"/>
      <c r="L68" s="6">
        <f t="shared" si="38"/>
        <v>102.71</v>
      </c>
      <c r="M68" s="2"/>
      <c r="N68" s="7">
        <f t="shared" si="39"/>
        <v>0</v>
      </c>
      <c r="O68" s="11"/>
      <c r="P68" s="6">
        <v>102.71</v>
      </c>
      <c r="Q68" s="2"/>
      <c r="R68" s="7">
        <f t="shared" si="40"/>
        <v>3.7203271671141185E-4</v>
      </c>
      <c r="S68" s="2"/>
      <c r="T68" s="6"/>
      <c r="U68" s="2"/>
      <c r="V68" s="7">
        <f t="shared" si="41"/>
        <v>0</v>
      </c>
      <c r="W68" s="2"/>
      <c r="X68" s="6">
        <f t="shared" si="42"/>
        <v>102.71</v>
      </c>
      <c r="Y68" s="2"/>
      <c r="Z68" s="7">
        <f t="shared" si="43"/>
        <v>0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>
        <v>200</v>
      </c>
      <c r="I69" s="2"/>
      <c r="J69" s="7">
        <f t="shared" si="37"/>
        <v>1.6234820442885902E-3</v>
      </c>
      <c r="K69" s="2"/>
      <c r="L69" s="6">
        <f t="shared" si="38"/>
        <v>-200</v>
      </c>
      <c r="M69" s="2"/>
      <c r="N69" s="7">
        <f t="shared" si="39"/>
        <v>-1</v>
      </c>
      <c r="O69" s="11"/>
      <c r="P69" s="6">
        <v>84.07</v>
      </c>
      <c r="Q69" s="2"/>
      <c r="R69" s="7">
        <f t="shared" si="40"/>
        <v>3.0451553396873131E-4</v>
      </c>
      <c r="S69" s="2"/>
      <c r="T69" s="6">
        <v>3600</v>
      </c>
      <c r="U69" s="2"/>
      <c r="V69" s="7">
        <f t="shared" si="41"/>
        <v>1.362788750330287E-2</v>
      </c>
      <c r="W69" s="2"/>
      <c r="X69" s="6">
        <f t="shared" si="42"/>
        <v>-3515.93</v>
      </c>
      <c r="Y69" s="2"/>
      <c r="Z69" s="7">
        <f t="shared" si="43"/>
        <v>-0.97664722222222222</v>
      </c>
    </row>
    <row r="70" spans="1:26" s="26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325.5</v>
      </c>
      <c r="E70" s="1"/>
      <c r="F70" s="5">
        <f t="shared" ref="F70:F74" si="44">IF(D$12=0,0,D70/D$12)</f>
        <v>2.4444127033762635E-3</v>
      </c>
      <c r="G70" s="1"/>
      <c r="H70" s="1">
        <f>SUM(OSRRefH22_12x_0)</f>
        <v>400</v>
      </c>
      <c r="I70" s="1"/>
      <c r="J70" s="5">
        <f t="shared" ref="J70:J74" si="45">IF(H$12=0,0,H70/H$12)</f>
        <v>3.2469640885771805E-3</v>
      </c>
      <c r="K70" s="1"/>
      <c r="L70" s="1">
        <f t="shared" ref="L70:L74" si="46">+D70-H70</f>
        <v>-74.5</v>
      </c>
      <c r="M70" s="1"/>
      <c r="N70" s="5">
        <f t="shared" ref="N70:N74" si="47">IF(H70=0,0,L70/H70)</f>
        <v>-0.18625</v>
      </c>
      <c r="O70" s="13"/>
      <c r="P70" s="1">
        <f>SUM(OSRRefP22_12x_0)</f>
        <v>1402.48</v>
      </c>
      <c r="Q70" s="1"/>
      <c r="R70" s="5">
        <f t="shared" ref="R70:R74" si="48">IF(P$12=0,0,P70/P$12)</f>
        <v>5.0800160114246031E-3</v>
      </c>
      <c r="S70" s="1"/>
      <c r="T70" s="1">
        <f>SUM(OSRRefT22_12x_0)</f>
        <v>1510</v>
      </c>
      <c r="U70" s="1"/>
      <c r="V70" s="5">
        <f t="shared" ref="V70:V74" si="49">IF(T$12=0,0,T70/T$12)</f>
        <v>5.716141702774259E-3</v>
      </c>
      <c r="W70" s="1"/>
      <c r="X70" s="1">
        <f t="shared" ref="X70:X74" si="50">+P70-T70</f>
        <v>-107.51999999999998</v>
      </c>
      <c r="Y70" s="1"/>
      <c r="Z70" s="5">
        <f t="shared" ref="Z70:Z74" si="51">IF(T70=0,0,X70/T70)</f>
        <v>-7.1205298013245016E-2</v>
      </c>
    </row>
    <row r="71" spans="1:26" s="24" customFormat="1" hidden="1" outlineLevel="2" x14ac:dyDescent="0.25">
      <c r="A71" s="27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0</v>
      </c>
      <c r="U71" s="2"/>
      <c r="V71" s="7">
        <f t="shared" si="49"/>
        <v>0</v>
      </c>
      <c r="W71" s="2"/>
      <c r="X71" s="6">
        <f t="shared" si="50"/>
        <v>0</v>
      </c>
      <c r="Y71" s="2"/>
      <c r="Z71" s="7">
        <f t="shared" si="51"/>
        <v>0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4"/>
        <v>0</v>
      </c>
      <c r="G72" s="2"/>
      <c r="H72" s="6">
        <v>160</v>
      </c>
      <c r="I72" s="2"/>
      <c r="J72" s="7">
        <f t="shared" si="45"/>
        <v>1.2987856354308722E-3</v>
      </c>
      <c r="K72" s="2"/>
      <c r="L72" s="6">
        <f t="shared" si="46"/>
        <v>-160</v>
      </c>
      <c r="M72" s="2"/>
      <c r="N72" s="7">
        <f t="shared" si="47"/>
        <v>-1</v>
      </c>
      <c r="O72" s="11"/>
      <c r="P72" s="6">
        <v>314.7</v>
      </c>
      <c r="Q72" s="2"/>
      <c r="R72" s="7">
        <f t="shared" si="48"/>
        <v>1.1398957837511568E-3</v>
      </c>
      <c r="S72" s="2"/>
      <c r="T72" s="6">
        <v>640</v>
      </c>
      <c r="U72" s="2"/>
      <c r="V72" s="7">
        <f t="shared" si="49"/>
        <v>2.4227355561427322E-3</v>
      </c>
      <c r="W72" s="2"/>
      <c r="X72" s="6">
        <f t="shared" si="50"/>
        <v>-325.3</v>
      </c>
      <c r="Y72" s="2"/>
      <c r="Z72" s="7">
        <f t="shared" si="51"/>
        <v>-0.50828125000000002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6">
        <v>237</v>
      </c>
      <c r="E73" s="2"/>
      <c r="F73" s="7">
        <f t="shared" si="44"/>
        <v>1.7798027978499981E-3</v>
      </c>
      <c r="G73" s="2"/>
      <c r="H73" s="6">
        <v>150</v>
      </c>
      <c r="I73" s="2"/>
      <c r="J73" s="7">
        <f t="shared" si="45"/>
        <v>1.2176115332164425E-3</v>
      </c>
      <c r="K73" s="2"/>
      <c r="L73" s="6">
        <f t="shared" si="46"/>
        <v>87</v>
      </c>
      <c r="M73" s="2"/>
      <c r="N73" s="7">
        <f t="shared" si="47"/>
        <v>0.57999999999999996</v>
      </c>
      <c r="O73" s="11"/>
      <c r="P73" s="6">
        <v>711</v>
      </c>
      <c r="Q73" s="2"/>
      <c r="R73" s="7">
        <f t="shared" si="48"/>
        <v>2.5753603503243486E-3</v>
      </c>
      <c r="S73" s="2"/>
      <c r="T73" s="6">
        <v>600</v>
      </c>
      <c r="U73" s="2"/>
      <c r="V73" s="7">
        <f t="shared" si="49"/>
        <v>2.2713145838838115E-3</v>
      </c>
      <c r="W73" s="2"/>
      <c r="X73" s="6">
        <f t="shared" si="50"/>
        <v>111</v>
      </c>
      <c r="Y73" s="2"/>
      <c r="Z73" s="7">
        <f t="shared" si="51"/>
        <v>0.185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>
        <v>88.5</v>
      </c>
      <c r="E74" s="2"/>
      <c r="F74" s="7">
        <f t="shared" si="44"/>
        <v>6.6460990552626512E-4</v>
      </c>
      <c r="G74" s="2"/>
      <c r="H74" s="6">
        <v>90</v>
      </c>
      <c r="I74" s="2"/>
      <c r="J74" s="7">
        <f t="shared" si="45"/>
        <v>7.3056691992986556E-4</v>
      </c>
      <c r="K74" s="2"/>
      <c r="L74" s="6">
        <f t="shared" si="46"/>
        <v>-1.5</v>
      </c>
      <c r="M74" s="2"/>
      <c r="N74" s="7">
        <f t="shared" si="47"/>
        <v>-1.6666666666666666E-2</v>
      </c>
      <c r="O74" s="11"/>
      <c r="P74" s="6">
        <v>376.78</v>
      </c>
      <c r="Q74" s="2"/>
      <c r="R74" s="7">
        <f t="shared" si="48"/>
        <v>1.3647598773490971E-3</v>
      </c>
      <c r="S74" s="2"/>
      <c r="T74" s="6">
        <v>270</v>
      </c>
      <c r="U74" s="2"/>
      <c r="V74" s="7">
        <f t="shared" si="49"/>
        <v>1.0220915627477151E-3</v>
      </c>
      <c r="W74" s="2"/>
      <c r="X74" s="6">
        <f t="shared" si="50"/>
        <v>106.77999999999997</v>
      </c>
      <c r="Y74" s="2"/>
      <c r="Z74" s="7">
        <f t="shared" si="51"/>
        <v>0.39548148148148138</v>
      </c>
    </row>
    <row r="75" spans="1:26" s="26" customFormat="1" outlineLevel="1" collapsed="1" x14ac:dyDescent="0.25">
      <c r="A75" s="25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176.4</v>
      </c>
      <c r="E75" s="1"/>
      <c r="F75" s="5">
        <f t="shared" ref="F75:F84" si="52">IF(D$12=0,0,D75/D$12)</f>
        <v>1.3247139811845556E-3</v>
      </c>
      <c r="G75" s="1"/>
      <c r="H75" s="1">
        <f>SUM(OSRRefH22_13x_0)</f>
        <v>180</v>
      </c>
      <c r="I75" s="1"/>
      <c r="J75" s="5">
        <f t="shared" ref="J75:J84" si="53">IF(H$12=0,0,H75/H$12)</f>
        <v>1.4611338398597311E-3</v>
      </c>
      <c r="K75" s="1"/>
      <c r="L75" s="1">
        <f t="shared" ref="L75:L84" si="54">+D75-H75</f>
        <v>-3.5999999999999943</v>
      </c>
      <c r="M75" s="1"/>
      <c r="N75" s="5">
        <f t="shared" ref="N75:N84" si="55">IF(H75=0,0,L75/H75)</f>
        <v>-1.9999999999999969E-2</v>
      </c>
      <c r="O75" s="13"/>
      <c r="P75" s="1">
        <f>SUM(OSRRefP22_13x_0)</f>
        <v>705.6</v>
      </c>
      <c r="Q75" s="1"/>
      <c r="R75" s="5">
        <f t="shared" ref="R75:R84" si="56">IF(P$12=0,0,P75/P$12)</f>
        <v>2.5558006514611259E-3</v>
      </c>
      <c r="S75" s="1"/>
      <c r="T75" s="1">
        <f>SUM(OSRRefT22_13x_0)</f>
        <v>720</v>
      </c>
      <c r="U75" s="1"/>
      <c r="V75" s="5">
        <f t="shared" ref="V75:V84" si="57">IF(T$12=0,0,T75/T$12)</f>
        <v>2.7255775006605741E-3</v>
      </c>
      <c r="W75" s="1"/>
      <c r="X75" s="1">
        <f t="shared" ref="X75:X84" si="58">+P75-T75</f>
        <v>-14.399999999999977</v>
      </c>
      <c r="Y75" s="1"/>
      <c r="Z75" s="5">
        <f t="shared" ref="Z75:Z84" si="59">IF(T75=0,0,X75/T75)</f>
        <v>-1.9999999999999969E-2</v>
      </c>
    </row>
    <row r="76" spans="1:26" s="24" customFormat="1" hidden="1" outlineLevel="2" x14ac:dyDescent="0.25">
      <c r="A76" s="27"/>
      <c r="B76" s="11" t="str">
        <f>CONCATENATE("          ", "6275", " - ", "SUBSCRIPTIONS")</f>
        <v xml:space="preserve">          6275 - SUBSCRIPTIONS</v>
      </c>
      <c r="C76" s="11"/>
      <c r="D76" s="6">
        <v>176.4</v>
      </c>
      <c r="E76" s="2"/>
      <c r="F76" s="7">
        <f t="shared" si="52"/>
        <v>1.3247139811845556E-3</v>
      </c>
      <c r="G76" s="2"/>
      <c r="H76" s="6">
        <v>180</v>
      </c>
      <c r="I76" s="2"/>
      <c r="J76" s="7">
        <f t="shared" si="53"/>
        <v>1.4611338398597311E-3</v>
      </c>
      <c r="K76" s="2"/>
      <c r="L76" s="6">
        <f t="shared" si="54"/>
        <v>-3.5999999999999943</v>
      </c>
      <c r="M76" s="2"/>
      <c r="N76" s="7">
        <f t="shared" si="55"/>
        <v>-1.9999999999999969E-2</v>
      </c>
      <c r="O76" s="11"/>
      <c r="P76" s="6">
        <v>705.6</v>
      </c>
      <c r="Q76" s="2"/>
      <c r="R76" s="7">
        <f t="shared" si="56"/>
        <v>2.5558006514611259E-3</v>
      </c>
      <c r="S76" s="2"/>
      <c r="T76" s="6">
        <v>720</v>
      </c>
      <c r="U76" s="2"/>
      <c r="V76" s="7">
        <f t="shared" si="57"/>
        <v>2.7255775006605741E-3</v>
      </c>
      <c r="W76" s="2"/>
      <c r="X76" s="6">
        <f t="shared" si="58"/>
        <v>-14.399999999999977</v>
      </c>
      <c r="Y76" s="2"/>
      <c r="Z76" s="7">
        <f t="shared" si="59"/>
        <v>-1.9999999999999969E-2</v>
      </c>
    </row>
    <row r="77" spans="1:26" s="26" customFormat="1" outlineLevel="1" collapsed="1" x14ac:dyDescent="0.25">
      <c r="A77" s="25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829.77</v>
      </c>
      <c r="E77" s="1"/>
      <c r="F77" s="5">
        <f t="shared" si="52"/>
        <v>6.2313374159155823E-3</v>
      </c>
      <c r="G77" s="1"/>
      <c r="H77" s="1">
        <f>SUM(OSRRefH22_14x_0)</f>
        <v>100</v>
      </c>
      <c r="I77" s="1"/>
      <c r="J77" s="5">
        <f t="shared" si="53"/>
        <v>8.1174102214429512E-4</v>
      </c>
      <c r="K77" s="1"/>
      <c r="L77" s="1">
        <f t="shared" si="54"/>
        <v>729.77</v>
      </c>
      <c r="M77" s="1"/>
      <c r="N77" s="5">
        <f t="shared" si="55"/>
        <v>7.2976999999999999</v>
      </c>
      <c r="O77" s="13"/>
      <c r="P77" s="1">
        <f>SUM(OSRRefP22_14x_0)</f>
        <v>7766.82</v>
      </c>
      <c r="Q77" s="1"/>
      <c r="R77" s="5">
        <f t="shared" si="56"/>
        <v>2.81327148749735E-2</v>
      </c>
      <c r="S77" s="1"/>
      <c r="T77" s="1">
        <f>SUM(OSRRefT22_14x_0)</f>
        <v>4170</v>
      </c>
      <c r="U77" s="1"/>
      <c r="V77" s="5">
        <f t="shared" si="57"/>
        <v>1.5785636357992492E-2</v>
      </c>
      <c r="W77" s="1"/>
      <c r="X77" s="1">
        <f t="shared" si="58"/>
        <v>3596.8199999999997</v>
      </c>
      <c r="Y77" s="1"/>
      <c r="Z77" s="5">
        <f t="shared" si="59"/>
        <v>0.86254676258992802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/>
      <c r="Q78" s="2"/>
      <c r="R78" s="7">
        <f t="shared" si="56"/>
        <v>0</v>
      </c>
      <c r="S78" s="2"/>
      <c r="T78" s="6">
        <v>3000</v>
      </c>
      <c r="U78" s="2"/>
      <c r="V78" s="7">
        <f t="shared" si="57"/>
        <v>1.1356572919419057E-2</v>
      </c>
      <c r="W78" s="2"/>
      <c r="X78" s="6">
        <f t="shared" si="58"/>
        <v>-3000</v>
      </c>
      <c r="Y78" s="2"/>
      <c r="Z78" s="7">
        <f t="shared" si="59"/>
        <v>-1</v>
      </c>
    </row>
    <row r="79" spans="1:26" s="24" customFormat="1" hidden="1" outlineLevel="2" x14ac:dyDescent="0.25">
      <c r="A79" s="27"/>
      <c r="B79" s="11" t="str">
        <f>CONCATENATE("          ", "6237", " - ", "JANITORIAL SUPPLIES")</f>
        <v xml:space="preserve">          6237 - JANITORIAL SUPPLIES</v>
      </c>
      <c r="C79" s="11"/>
      <c r="D79" s="6">
        <v>145.84</v>
      </c>
      <c r="E79" s="2"/>
      <c r="F79" s="7">
        <f t="shared" si="52"/>
        <v>1.0952170465757119E-3</v>
      </c>
      <c r="G79" s="2"/>
      <c r="H79" s="6">
        <v>100</v>
      </c>
      <c r="I79" s="2"/>
      <c r="J79" s="7">
        <f t="shared" si="53"/>
        <v>8.1174102214429512E-4</v>
      </c>
      <c r="K79" s="2"/>
      <c r="L79" s="6">
        <f t="shared" si="54"/>
        <v>45.84</v>
      </c>
      <c r="M79" s="2"/>
      <c r="N79" s="7">
        <f t="shared" si="55"/>
        <v>0.45840000000000003</v>
      </c>
      <c r="O79" s="11"/>
      <c r="P79" s="6">
        <v>399.39</v>
      </c>
      <c r="Q79" s="2"/>
      <c r="R79" s="7">
        <f t="shared" si="56"/>
        <v>1.4466570609227027E-3</v>
      </c>
      <c r="S79" s="2"/>
      <c r="T79" s="6">
        <v>600</v>
      </c>
      <c r="U79" s="2"/>
      <c r="V79" s="7">
        <f t="shared" si="57"/>
        <v>2.2713145838838115E-3</v>
      </c>
      <c r="W79" s="2"/>
      <c r="X79" s="6">
        <f t="shared" si="58"/>
        <v>-200.61</v>
      </c>
      <c r="Y79" s="2"/>
      <c r="Z79" s="7">
        <f t="shared" si="59"/>
        <v>-0.33435000000000004</v>
      </c>
    </row>
    <row r="80" spans="1:26" s="24" customFormat="1" hidden="1" outlineLevel="2" x14ac:dyDescent="0.25">
      <c r="A80" s="27"/>
      <c r="B80" s="11" t="str">
        <f>CONCATENATE("          ", "6241", " - ", "OFFICE EXPENSE")</f>
        <v xml:space="preserve">          6241 - OFFICE EXPENSE</v>
      </c>
      <c r="C80" s="11"/>
      <c r="D80" s="6">
        <v>35.549999999999997</v>
      </c>
      <c r="E80" s="2"/>
      <c r="F80" s="7">
        <f t="shared" si="52"/>
        <v>2.6697041967749968E-4</v>
      </c>
      <c r="G80" s="2"/>
      <c r="H80" s="6"/>
      <c r="I80" s="2"/>
      <c r="J80" s="7">
        <f t="shared" si="53"/>
        <v>0</v>
      </c>
      <c r="K80" s="2"/>
      <c r="L80" s="6">
        <f t="shared" si="54"/>
        <v>35.549999999999997</v>
      </c>
      <c r="M80" s="2"/>
      <c r="N80" s="7">
        <f t="shared" si="55"/>
        <v>0</v>
      </c>
      <c r="O80" s="11"/>
      <c r="P80" s="6">
        <v>328.13</v>
      </c>
      <c r="Q80" s="2"/>
      <c r="R80" s="7">
        <f t="shared" si="56"/>
        <v>1.1885414792572834E-3</v>
      </c>
      <c r="S80" s="2"/>
      <c r="T80" s="6">
        <v>240</v>
      </c>
      <c r="U80" s="2"/>
      <c r="V80" s="7">
        <f t="shared" si="57"/>
        <v>9.0852583355352458E-4</v>
      </c>
      <c r="W80" s="2"/>
      <c r="X80" s="6">
        <f t="shared" si="58"/>
        <v>88.13</v>
      </c>
      <c r="Y80" s="2"/>
      <c r="Z80" s="7">
        <f t="shared" si="59"/>
        <v>0.3672083333333333</v>
      </c>
    </row>
    <row r="81" spans="1:26" s="24" customFormat="1" hidden="1" outlineLevel="2" x14ac:dyDescent="0.25">
      <c r="A81" s="27"/>
      <c r="B81" s="11" t="str">
        <f>CONCATENATE("          ", "6243", " - ", "PAPER SUPPLIES")</f>
        <v xml:space="preserve">          6243 - PAPER SUPPLIES</v>
      </c>
      <c r="C81" s="11"/>
      <c r="D81" s="6">
        <v>85.26</v>
      </c>
      <c r="E81" s="2"/>
      <c r="F81" s="7">
        <f t="shared" si="52"/>
        <v>6.4027842423920191E-4</v>
      </c>
      <c r="G81" s="2"/>
      <c r="H81" s="6"/>
      <c r="I81" s="2"/>
      <c r="J81" s="7">
        <f t="shared" si="53"/>
        <v>0</v>
      </c>
      <c r="K81" s="2"/>
      <c r="L81" s="6">
        <f t="shared" si="54"/>
        <v>85.26</v>
      </c>
      <c r="M81" s="2"/>
      <c r="N81" s="7">
        <f t="shared" si="55"/>
        <v>0</v>
      </c>
      <c r="O81" s="11"/>
      <c r="P81" s="6">
        <v>430.34</v>
      </c>
      <c r="Q81" s="2"/>
      <c r="R81" s="7">
        <f t="shared" si="56"/>
        <v>1.558763112740619E-3</v>
      </c>
      <c r="S81" s="2"/>
      <c r="T81" s="6"/>
      <c r="U81" s="2"/>
      <c r="V81" s="7">
        <f t="shared" si="57"/>
        <v>0</v>
      </c>
      <c r="W81" s="2"/>
      <c r="X81" s="6">
        <f t="shared" si="58"/>
        <v>430.34</v>
      </c>
      <c r="Y81" s="2"/>
      <c r="Z81" s="7">
        <f t="shared" si="59"/>
        <v>0</v>
      </c>
    </row>
    <row r="82" spans="1:26" s="24" customFormat="1" hidden="1" outlineLevel="2" x14ac:dyDescent="0.25">
      <c r="A82" s="27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</v>
      </c>
      <c r="U82" s="2"/>
      <c r="V82" s="7">
        <f t="shared" si="57"/>
        <v>1.1356572919419057E-4</v>
      </c>
      <c r="W82" s="2"/>
      <c r="X82" s="6">
        <f t="shared" si="58"/>
        <v>-30</v>
      </c>
      <c r="Y82" s="2"/>
      <c r="Z82" s="7">
        <f t="shared" si="59"/>
        <v>-1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6">
        <v>563.12</v>
      </c>
      <c r="E83" s="2"/>
      <c r="F83" s="7">
        <f t="shared" si="52"/>
        <v>4.2288715254231689E-3</v>
      </c>
      <c r="G83" s="2"/>
      <c r="H83" s="6"/>
      <c r="I83" s="2"/>
      <c r="J83" s="7">
        <f t="shared" si="53"/>
        <v>0</v>
      </c>
      <c r="K83" s="2"/>
      <c r="L83" s="6">
        <f t="shared" si="54"/>
        <v>563.12</v>
      </c>
      <c r="M83" s="2"/>
      <c r="N83" s="7">
        <f t="shared" si="55"/>
        <v>0</v>
      </c>
      <c r="O83" s="11"/>
      <c r="P83" s="6">
        <v>6608.96</v>
      </c>
      <c r="Q83" s="2"/>
      <c r="R83" s="7">
        <f t="shared" si="56"/>
        <v>2.3938753222052894E-2</v>
      </c>
      <c r="S83" s="2"/>
      <c r="T83" s="6"/>
      <c r="U83" s="2"/>
      <c r="V83" s="7">
        <f t="shared" si="57"/>
        <v>0</v>
      </c>
      <c r="W83" s="2"/>
      <c r="X83" s="6">
        <f t="shared" si="58"/>
        <v>6608.96</v>
      </c>
      <c r="Y83" s="2"/>
      <c r="Z83" s="7">
        <f t="shared" si="59"/>
        <v>0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300</v>
      </c>
      <c r="U84" s="2"/>
      <c r="V84" s="7">
        <f t="shared" si="57"/>
        <v>1.1356572919419057E-3</v>
      </c>
      <c r="W84" s="2"/>
      <c r="X84" s="6">
        <f t="shared" si="58"/>
        <v>-300</v>
      </c>
      <c r="Y84" s="2"/>
      <c r="Z84" s="7">
        <f t="shared" si="59"/>
        <v>-1</v>
      </c>
    </row>
    <row r="85" spans="1:26" s="26" customFormat="1" outlineLevel="1" collapsed="1" x14ac:dyDescent="0.25">
      <c r="A85" s="25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38.15</v>
      </c>
      <c r="E85" s="1"/>
      <c r="F85" s="5">
        <f t="shared" ref="F85:F92" si="60">IF(D$12=0,0,D85/D$12)</f>
        <v>2.8649568243872332E-4</v>
      </c>
      <c r="G85" s="1"/>
      <c r="H85" s="1">
        <f>SUM(OSRRefH22_15x_0)</f>
        <v>40</v>
      </c>
      <c r="I85" s="1"/>
      <c r="J85" s="5">
        <f t="shared" ref="J85:J92" si="61">IF(H$12=0,0,H85/H$12)</f>
        <v>3.2469640885771805E-4</v>
      </c>
      <c r="K85" s="1"/>
      <c r="L85" s="1">
        <f t="shared" ref="L85:L92" si="62">+D85-H85</f>
        <v>-1.8500000000000014</v>
      </c>
      <c r="M85" s="1"/>
      <c r="N85" s="5">
        <f t="shared" ref="N85:N92" si="63">IF(H85=0,0,L85/H85)</f>
        <v>-4.6250000000000034E-2</v>
      </c>
      <c r="O85" s="13"/>
      <c r="P85" s="1">
        <f>SUM(OSRRefP22_15x_0)</f>
        <v>155.6</v>
      </c>
      <c r="Q85" s="1"/>
      <c r="R85" s="5">
        <f t="shared" ref="R85:R92" si="64">IF(P$12=0,0,P85/P$12)</f>
        <v>5.6360910057731174E-4</v>
      </c>
      <c r="S85" s="1"/>
      <c r="T85" s="1">
        <f>SUM(OSRRefT22_15x_0)</f>
        <v>160</v>
      </c>
      <c r="U85" s="1"/>
      <c r="V85" s="5">
        <f t="shared" ref="V85:V92" si="65">IF(T$12=0,0,T85/T$12)</f>
        <v>6.0568388903568305E-4</v>
      </c>
      <c r="W85" s="1"/>
      <c r="X85" s="1">
        <f t="shared" ref="X85:X92" si="66">+P85-T85</f>
        <v>-4.4000000000000057</v>
      </c>
      <c r="Y85" s="1"/>
      <c r="Z85" s="5">
        <f t="shared" ref="Z85:Z92" si="67">IF(T85=0,0,X85/T85)</f>
        <v>-2.7500000000000035E-2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38.15</v>
      </c>
      <c r="E86" s="2"/>
      <c r="F86" s="7">
        <f t="shared" si="60"/>
        <v>2.8649568243872332E-4</v>
      </c>
      <c r="G86" s="2"/>
      <c r="H86" s="6">
        <v>40</v>
      </c>
      <c r="I86" s="2"/>
      <c r="J86" s="7">
        <f t="shared" si="61"/>
        <v>3.2469640885771805E-4</v>
      </c>
      <c r="K86" s="2"/>
      <c r="L86" s="6">
        <f t="shared" si="62"/>
        <v>-1.8500000000000014</v>
      </c>
      <c r="M86" s="2"/>
      <c r="N86" s="7">
        <f t="shared" si="63"/>
        <v>-4.6250000000000034E-2</v>
      </c>
      <c r="O86" s="11"/>
      <c r="P86" s="6">
        <v>155.6</v>
      </c>
      <c r="Q86" s="2"/>
      <c r="R86" s="7">
        <f t="shared" si="64"/>
        <v>5.6360910057731174E-4</v>
      </c>
      <c r="S86" s="2"/>
      <c r="T86" s="6">
        <v>160</v>
      </c>
      <c r="U86" s="2"/>
      <c r="V86" s="7">
        <f t="shared" si="65"/>
        <v>6.0568388903568305E-4</v>
      </c>
      <c r="W86" s="2"/>
      <c r="X86" s="6">
        <f t="shared" si="66"/>
        <v>-4.4000000000000057</v>
      </c>
      <c r="Y86" s="2"/>
      <c r="Z86" s="7">
        <f t="shared" si="67"/>
        <v>-2.7500000000000035E-2</v>
      </c>
    </row>
    <row r="87" spans="1:26" s="26" customFormat="1" outlineLevel="1" collapsed="1" x14ac:dyDescent="0.25">
      <c r="A87" s="25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0</v>
      </c>
      <c r="M87" s="1"/>
      <c r="N87" s="5">
        <f t="shared" si="63"/>
        <v>0</v>
      </c>
      <c r="O87" s="13"/>
      <c r="P87" s="1">
        <f>SUM(OSRRefP22_16x_0)</f>
        <v>0</v>
      </c>
      <c r="Q87" s="1"/>
      <c r="R87" s="5">
        <f t="shared" si="64"/>
        <v>0</v>
      </c>
      <c r="S87" s="1"/>
      <c r="T87" s="1">
        <f>SUM(OSRRefT22_16x_0)</f>
        <v>100</v>
      </c>
      <c r="U87" s="1"/>
      <c r="V87" s="5">
        <f t="shared" si="65"/>
        <v>3.7855243064730193E-4</v>
      </c>
      <c r="W87" s="1"/>
      <c r="X87" s="1">
        <f t="shared" si="66"/>
        <v>-100</v>
      </c>
      <c r="Y87" s="1"/>
      <c r="Z87" s="5">
        <f t="shared" si="67"/>
        <v>-1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/>
      <c r="Q88" s="2"/>
      <c r="R88" s="7">
        <f t="shared" si="64"/>
        <v>0</v>
      </c>
      <c r="S88" s="2"/>
      <c r="T88" s="6">
        <v>100</v>
      </c>
      <c r="U88" s="2"/>
      <c r="V88" s="7">
        <f t="shared" si="65"/>
        <v>3.7855243064730193E-4</v>
      </c>
      <c r="W88" s="2"/>
      <c r="X88" s="6">
        <f t="shared" si="66"/>
        <v>-100</v>
      </c>
      <c r="Y88" s="2"/>
      <c r="Z88" s="7">
        <f t="shared" si="67"/>
        <v>-1</v>
      </c>
    </row>
    <row r="89" spans="1:26" s="26" customFormat="1" outlineLevel="1" collapsed="1" x14ac:dyDescent="0.25">
      <c r="A89" s="25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1000</v>
      </c>
      <c r="I89" s="1"/>
      <c r="J89" s="5">
        <f t="shared" si="61"/>
        <v>8.117410221442951E-3</v>
      </c>
      <c r="K89" s="1"/>
      <c r="L89" s="1">
        <f t="shared" si="62"/>
        <v>-1000</v>
      </c>
      <c r="M89" s="1"/>
      <c r="N89" s="5">
        <f t="shared" si="63"/>
        <v>-1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3.7855243064730195E-3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>
        <v>1000</v>
      </c>
      <c r="I90" s="2"/>
      <c r="J90" s="7">
        <f t="shared" si="61"/>
        <v>8.117410221442951E-3</v>
      </c>
      <c r="K90" s="2"/>
      <c r="L90" s="6">
        <f t="shared" si="62"/>
        <v>-1000</v>
      </c>
      <c r="M90" s="2"/>
      <c r="N90" s="7">
        <f t="shared" si="63"/>
        <v>-1</v>
      </c>
      <c r="O90" s="11"/>
      <c r="P90" s="6"/>
      <c r="Q90" s="2"/>
      <c r="R90" s="7">
        <f t="shared" si="64"/>
        <v>0</v>
      </c>
      <c r="S90" s="2"/>
      <c r="T90" s="6">
        <v>1000</v>
      </c>
      <c r="U90" s="2"/>
      <c r="V90" s="7">
        <f t="shared" si="65"/>
        <v>3.7855243064730195E-3</v>
      </c>
      <c r="W90" s="2"/>
      <c r="X90" s="6">
        <f t="shared" si="66"/>
        <v>-1000</v>
      </c>
      <c r="Y90" s="2"/>
      <c r="Z90" s="7">
        <f t="shared" si="67"/>
        <v>-1</v>
      </c>
    </row>
    <row r="91" spans="1:26" s="26" customFormat="1" outlineLevel="1" collapsed="1" x14ac:dyDescent="0.25">
      <c r="A91" s="25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771</v>
      </c>
      <c r="E91" s="1"/>
      <c r="F91" s="5">
        <f t="shared" si="60"/>
        <v>5.7899913803474623E-3</v>
      </c>
      <c r="G91" s="1"/>
      <c r="H91" s="1">
        <f>SUM(OSRRefH22_18x_0)</f>
        <v>1100</v>
      </c>
      <c r="I91" s="1"/>
      <c r="J91" s="5">
        <f t="shared" si="61"/>
        <v>8.9291512435872456E-3</v>
      </c>
      <c r="K91" s="1"/>
      <c r="L91" s="1">
        <f t="shared" si="62"/>
        <v>-329</v>
      </c>
      <c r="M91" s="1"/>
      <c r="N91" s="5">
        <f t="shared" si="63"/>
        <v>-0.29909090909090907</v>
      </c>
      <c r="O91" s="13"/>
      <c r="P91" s="1">
        <f>SUM(OSRRefP22_18x_0)</f>
        <v>2313</v>
      </c>
      <c r="Q91" s="1"/>
      <c r="R91" s="5">
        <f t="shared" si="64"/>
        <v>8.3780710130804768E-3</v>
      </c>
      <c r="S91" s="1"/>
      <c r="T91" s="1">
        <f>SUM(OSRRefT22_18x_0)</f>
        <v>4400</v>
      </c>
      <c r="U91" s="1"/>
      <c r="V91" s="5">
        <f t="shared" si="65"/>
        <v>1.6656306948481286E-2</v>
      </c>
      <c r="W91" s="1"/>
      <c r="X91" s="1">
        <f t="shared" si="66"/>
        <v>-2087</v>
      </c>
      <c r="Y91" s="1"/>
      <c r="Z91" s="5">
        <f t="shared" si="67"/>
        <v>-0.47431818181818181</v>
      </c>
    </row>
    <row r="92" spans="1:26" s="24" customFormat="1" hidden="1" outlineLevel="2" x14ac:dyDescent="0.25">
      <c r="A92" s="27"/>
      <c r="B92" s="11" t="str">
        <f>CONCATENATE("          ", "6274", " - ", "UTILITIES")</f>
        <v xml:space="preserve">          6274 - UTILITIES</v>
      </c>
      <c r="C92" s="11"/>
      <c r="D92" s="6">
        <v>771</v>
      </c>
      <c r="E92" s="2"/>
      <c r="F92" s="7">
        <f t="shared" si="60"/>
        <v>5.7899913803474623E-3</v>
      </c>
      <c r="G92" s="2"/>
      <c r="H92" s="6">
        <v>1100</v>
      </c>
      <c r="I92" s="2"/>
      <c r="J92" s="7">
        <f t="shared" si="61"/>
        <v>8.9291512435872456E-3</v>
      </c>
      <c r="K92" s="2"/>
      <c r="L92" s="6">
        <f t="shared" si="62"/>
        <v>-329</v>
      </c>
      <c r="M92" s="2"/>
      <c r="N92" s="7">
        <f t="shared" si="63"/>
        <v>-0.29909090909090907</v>
      </c>
      <c r="O92" s="11"/>
      <c r="P92" s="6">
        <v>2313</v>
      </c>
      <c r="Q92" s="2"/>
      <c r="R92" s="7">
        <f t="shared" si="64"/>
        <v>8.3780710130804768E-3</v>
      </c>
      <c r="S92" s="2"/>
      <c r="T92" s="6">
        <v>4400</v>
      </c>
      <c r="U92" s="2"/>
      <c r="V92" s="7">
        <f t="shared" si="65"/>
        <v>1.6656306948481286E-2</v>
      </c>
      <c r="W92" s="2"/>
      <c r="X92" s="6">
        <f t="shared" si="66"/>
        <v>-2087</v>
      </c>
      <c r="Y92" s="2"/>
      <c r="Z92" s="7">
        <f t="shared" si="67"/>
        <v>-0.47431818181818181</v>
      </c>
    </row>
    <row r="93" spans="1:26" s="61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2">
        <f>+D22-D24+D94</f>
        <v>37115.219999999994</v>
      </c>
      <c r="E96" s="14"/>
      <c r="F96" s="20">
        <f>IF(D$12=0,0,D96/D$12)</f>
        <v>0.27872477805408524</v>
      </c>
      <c r="G96" s="14"/>
      <c r="H96" s="22">
        <f>+H22-H24+H94</f>
        <v>26009.535279999996</v>
      </c>
      <c r="I96" s="14"/>
      <c r="J96" s="20">
        <f>IF(H$12=0,0,H96/H$12)</f>
        <v>0.21113006753685301</v>
      </c>
      <c r="K96" s="16"/>
      <c r="L96" s="22">
        <f>+D96-H96</f>
        <v>11105.684719999997</v>
      </c>
      <c r="M96" s="16"/>
      <c r="N96" s="20">
        <f>IF(H96=0,0,L96/H96)</f>
        <v>0.42698512681769063</v>
      </c>
      <c r="O96" s="29"/>
      <c r="P96" s="22">
        <f>+P22-P24+P94</f>
        <v>32817.639999999956</v>
      </c>
      <c r="Q96" s="14"/>
      <c r="R96" s="20">
        <f>IF(P$12=0,0,P96/P$12)</f>
        <v>0.11887095477808474</v>
      </c>
      <c r="S96" s="14"/>
      <c r="T96" s="22">
        <f>+T22-T24+T94</f>
        <v>14457.993189250017</v>
      </c>
      <c r="U96" s="14"/>
      <c r="V96" s="20">
        <f>IF(T$12=0,0,T96/T$12)</f>
        <v>5.4731084640727304E-2</v>
      </c>
      <c r="W96" s="16"/>
      <c r="X96" s="22">
        <f>+P96-T96</f>
        <v>18359.646810749939</v>
      </c>
      <c r="Y96" s="16"/>
      <c r="Z96" s="20">
        <f>IF(T96=0,0,X96/T96)</f>
        <v>1.269861354230055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12439.52</v>
      </c>
      <c r="E98" s="4"/>
      <c r="F98" s="12">
        <f>IF(D$12=0,0,D98/D$12)</f>
        <v>9.3417267932113968E-2</v>
      </c>
      <c r="G98" s="4"/>
      <c r="H98" s="4">
        <v>13981</v>
      </c>
      <c r="I98" s="4"/>
      <c r="J98" s="12">
        <f>IF(H$12=0,0,H98/H$12)</f>
        <v>0.1134895123059939</v>
      </c>
      <c r="K98" s="4"/>
      <c r="L98" s="4">
        <f>+D98-H98</f>
        <v>-1541.4799999999996</v>
      </c>
      <c r="M98" s="4"/>
      <c r="N98" s="12">
        <f>IF(H98=0,0,L98/H98)</f>
        <v>-0.11025534654173517</v>
      </c>
      <c r="O98" s="10"/>
      <c r="P98" s="4">
        <v>27790.7</v>
      </c>
      <c r="Q98" s="4"/>
      <c r="R98" s="12">
        <f>IF(P$12=0,0,P98/P$12)</f>
        <v>0.10066254133299421</v>
      </c>
      <c r="S98" s="4"/>
      <c r="T98" s="4">
        <v>31812</v>
      </c>
      <c r="U98" s="4"/>
      <c r="V98" s="12">
        <f>IF(T$12=0,0,T98/T$12)</f>
        <v>0.12042509923751969</v>
      </c>
      <c r="W98" s="4"/>
      <c r="X98" s="4">
        <f>+P98-T98</f>
        <v>-4021.2999999999993</v>
      </c>
      <c r="Y98" s="4"/>
      <c r="Z98" s="12">
        <f>IF(T98=0,0,X98/T98)</f>
        <v>-0.12640827360744372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1">
        <f>+D96-D98</f>
        <v>24675.699999999993</v>
      </c>
      <c r="E100" s="14"/>
      <c r="F100" s="33">
        <f>IF(D$12=0,0,D100/D$12)</f>
        <v>0.18530751012197125</v>
      </c>
      <c r="G100" s="14"/>
      <c r="H100" s="31">
        <f>+H96-H98</f>
        <v>12028.535279999996</v>
      </c>
      <c r="I100" s="14"/>
      <c r="J100" s="33">
        <f>IF(H$12=0,0,H100/H$12)</f>
        <v>9.7640555230859113E-2</v>
      </c>
      <c r="K100" s="16"/>
      <c r="L100" s="31">
        <f>D100-H100</f>
        <v>12647.164719999997</v>
      </c>
      <c r="M100" s="16"/>
      <c r="N100" s="33">
        <f>IF(H100=0,0,L100/H100)</f>
        <v>1.0514301555093415</v>
      </c>
      <c r="O100" s="29"/>
      <c r="P100" s="31">
        <f>+P96-P98</f>
        <v>5026.939999999955</v>
      </c>
      <c r="Q100" s="14"/>
      <c r="R100" s="33">
        <f>IF(P$12=0,0,P100/P$12)</f>
        <v>1.820841344509053E-2</v>
      </c>
      <c r="S100" s="14"/>
      <c r="T100" s="31">
        <f>+T96-T98</f>
        <v>-17354.006810749983</v>
      </c>
      <c r="U100" s="14"/>
      <c r="V100" s="33">
        <f>IF(T$12=0,0,T100/T$12)</f>
        <v>-6.5694014596792388E-2</v>
      </c>
      <c r="W100" s="16"/>
      <c r="X100" s="31">
        <f>P100-T100</f>
        <v>22380.946810749938</v>
      </c>
      <c r="Y100" s="16"/>
      <c r="Z100" s="33">
        <f>IF(T100=0,0,X100/T100)</f>
        <v>-1.2896702793089838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2">
        <f>SUM(D100:D102)</f>
        <v>24675.699999999993</v>
      </c>
      <c r="E103" s="14"/>
      <c r="F103" s="34">
        <f>IF(D$12=0,0,D103/D$12)</f>
        <v>0.18530751012197125</v>
      </c>
      <c r="G103" s="14"/>
      <c r="H103" s="32">
        <f>SUM(H100:H102)</f>
        <v>12028.535279999996</v>
      </c>
      <c r="I103" s="14"/>
      <c r="J103" s="34">
        <f>IF(H$12=0,0,H103/H$12)</f>
        <v>9.7640555230859113E-2</v>
      </c>
      <c r="K103" s="16"/>
      <c r="L103" s="32">
        <f>+D103-H103</f>
        <v>12647.164719999997</v>
      </c>
      <c r="M103" s="16"/>
      <c r="N103" s="34">
        <f>IF(H103=0,0,L103/H103)</f>
        <v>1.0514301555093415</v>
      </c>
      <c r="O103" s="29"/>
      <c r="P103" s="32">
        <f>SUM(P100:P102)</f>
        <v>5026.939999999955</v>
      </c>
      <c r="Q103" s="14"/>
      <c r="R103" s="34">
        <f>IF(P$12=0,0,P103/P$12)</f>
        <v>1.820841344509053E-2</v>
      </c>
      <c r="S103" s="14"/>
      <c r="T103" s="32">
        <f>SUM(T100:T102)</f>
        <v>-17354.006810749983</v>
      </c>
      <c r="U103" s="14"/>
      <c r="V103" s="34">
        <f>IF(T$12=0,0,T103/T$12)</f>
        <v>-6.5694014596792388E-2</v>
      </c>
      <c r="W103" s="16"/>
      <c r="X103" s="32">
        <f>+P103-T103</f>
        <v>22380.946810749938</v>
      </c>
      <c r="Y103" s="16"/>
      <c r="Z103" s="34">
        <f>IF(T103=0,0,X103/T103)</f>
        <v>-1.2896702793089838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0">
        <v>43791.34837013889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4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5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40929.759999999995</v>
      </c>
      <c r="E12" s="4"/>
      <c r="F12" s="12"/>
      <c r="G12" s="4"/>
      <c r="H12" s="4">
        <f>SUM(OSRRefH13x_0)</f>
        <v>42945.608659999998</v>
      </c>
      <c r="I12" s="4"/>
      <c r="J12" s="12"/>
      <c r="K12" s="4"/>
      <c r="L12" s="4">
        <f t="shared" ref="L12:L31" si="0">+D12-H12</f>
        <v>-2015.8486600000033</v>
      </c>
      <c r="M12" s="4"/>
      <c r="N12" s="12">
        <f t="shared" ref="N12:N31" si="1">IF(H12=0,0,L12/H12)</f>
        <v>-4.6939575963620847E-2</v>
      </c>
      <c r="O12" s="10"/>
      <c r="P12" s="4">
        <f>SUM(OSRRefP13x_0)</f>
        <v>194468.44000000003</v>
      </c>
      <c r="Q12" s="4"/>
      <c r="R12" s="12"/>
      <c r="S12" s="4"/>
      <c r="T12" s="4">
        <f>SUM(OSRRefT13x_0)</f>
        <v>190927.88386</v>
      </c>
      <c r="U12" s="4"/>
      <c r="V12" s="12"/>
      <c r="W12" s="4"/>
      <c r="X12" s="4">
        <f t="shared" ref="X12:X31" si="2">+P12-T12</f>
        <v>3540.5561400000297</v>
      </c>
      <c r="Y12" s="4"/>
      <c r="Z12" s="12">
        <f t="shared" ref="Z12:Z31" si="3">IF(T12=0,0,X12/T12)</f>
        <v>1.8543944804815318E-2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42945.608659999998</v>
      </c>
      <c r="I13" s="2"/>
      <c r="J13" s="19"/>
      <c r="K13" s="2"/>
      <c r="L13" s="2">
        <f t="shared" si="0"/>
        <v>-42945.608659999998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190927.88386</v>
      </c>
      <c r="U13" s="2"/>
      <c r="V13" s="19"/>
      <c r="W13" s="2"/>
      <c r="X13" s="2">
        <f t="shared" si="2"/>
        <v>-190927.88386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--16.56</f>
        <v>16.559999999999999</v>
      </c>
      <c r="E14" s="2"/>
      <c r="F14" s="19"/>
      <c r="G14" s="2"/>
      <c r="H14" s="2"/>
      <c r="I14" s="2"/>
      <c r="J14" s="19"/>
      <c r="K14" s="2"/>
      <c r="L14" s="2">
        <f t="shared" si="0"/>
        <v>16.559999999999999</v>
      </c>
      <c r="M14" s="2"/>
      <c r="N14" s="19">
        <f t="shared" si="1"/>
        <v>0</v>
      </c>
      <c r="O14" s="11"/>
      <c r="P14" s="2">
        <f>--100.28</f>
        <v>100.28</v>
      </c>
      <c r="Q14" s="2"/>
      <c r="R14" s="19"/>
      <c r="S14" s="2"/>
      <c r="T14" s="2"/>
      <c r="U14" s="2"/>
      <c r="V14" s="19"/>
      <c r="W14" s="2"/>
      <c r="X14" s="2">
        <f t="shared" si="2"/>
        <v>100.28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--35189.92</f>
        <v>35189.919999999998</v>
      </c>
      <c r="E16" s="2"/>
      <c r="F16" s="19"/>
      <c r="G16" s="2"/>
      <c r="H16" s="2"/>
      <c r="I16" s="2"/>
      <c r="J16" s="19"/>
      <c r="K16" s="2"/>
      <c r="L16" s="2">
        <f t="shared" si="0"/>
        <v>35189.919999999998</v>
      </c>
      <c r="M16" s="2"/>
      <c r="N16" s="19">
        <f t="shared" si="1"/>
        <v>0</v>
      </c>
      <c r="O16" s="11"/>
      <c r="P16" s="2">
        <f>--163546.37</f>
        <v>163546.37</v>
      </c>
      <c r="Q16" s="2"/>
      <c r="R16" s="19"/>
      <c r="S16" s="2"/>
      <c r="T16" s="2"/>
      <c r="U16" s="2"/>
      <c r="V16" s="19"/>
      <c r="W16" s="2"/>
      <c r="X16" s="2">
        <f t="shared" si="2"/>
        <v>163546.37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--3782</f>
        <v>3782</v>
      </c>
      <c r="E17" s="2"/>
      <c r="F17" s="19"/>
      <c r="G17" s="2"/>
      <c r="H17" s="2"/>
      <c r="I17" s="2"/>
      <c r="J17" s="19"/>
      <c r="K17" s="2"/>
      <c r="L17" s="2">
        <f t="shared" si="0"/>
        <v>3782</v>
      </c>
      <c r="M17" s="2"/>
      <c r="N17" s="19">
        <f t="shared" si="1"/>
        <v>0</v>
      </c>
      <c r="O17" s="11"/>
      <c r="P17" s="2">
        <f>--21176.69</f>
        <v>21176.69</v>
      </c>
      <c r="Q17" s="2"/>
      <c r="R17" s="19"/>
      <c r="S17" s="2"/>
      <c r="T17" s="2"/>
      <c r="U17" s="2"/>
      <c r="V17" s="19"/>
      <c r="W17" s="2"/>
      <c r="X17" s="2">
        <f t="shared" si="2"/>
        <v>21176.69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--2731.46</f>
        <v>2731.46</v>
      </c>
      <c r="E18" s="2"/>
      <c r="F18" s="19"/>
      <c r="G18" s="2"/>
      <c r="H18" s="2"/>
      <c r="I18" s="2"/>
      <c r="J18" s="19"/>
      <c r="K18" s="2"/>
      <c r="L18" s="2">
        <f t="shared" si="0"/>
        <v>2731.46</v>
      </c>
      <c r="M18" s="2"/>
      <c r="N18" s="19">
        <f t="shared" si="1"/>
        <v>0</v>
      </c>
      <c r="O18" s="11"/>
      <c r="P18" s="2">
        <f>--14213.96</f>
        <v>14213.96</v>
      </c>
      <c r="Q18" s="2"/>
      <c r="R18" s="19"/>
      <c r="S18" s="2"/>
      <c r="T18" s="2"/>
      <c r="U18" s="2"/>
      <c r="V18" s="19"/>
      <c r="W18" s="2"/>
      <c r="X18" s="2">
        <f t="shared" si="2"/>
        <v>14213.96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"4044", " - ", "TAXABLE SALES-ACCESSORIES")</f>
        <v xml:space="preserve">          4044 - TAXABLE SALES-ACCESSORIES</v>
      </c>
      <c r="C19" s="11"/>
      <c r="D19" s="2">
        <f>--274.45</f>
        <v>274.45</v>
      </c>
      <c r="E19" s="2"/>
      <c r="F19" s="19"/>
      <c r="G19" s="2"/>
      <c r="H19" s="2"/>
      <c r="I19" s="2"/>
      <c r="J19" s="19"/>
      <c r="K19" s="2"/>
      <c r="L19" s="2">
        <f t="shared" si="0"/>
        <v>274.45</v>
      </c>
      <c r="M19" s="2"/>
      <c r="N19" s="19">
        <f t="shared" si="1"/>
        <v>0</v>
      </c>
      <c r="O19" s="11"/>
      <c r="P19" s="2">
        <f>--1212.95</f>
        <v>1212.95</v>
      </c>
      <c r="Q19" s="2"/>
      <c r="R19" s="19"/>
      <c r="S19" s="2"/>
      <c r="T19" s="2"/>
      <c r="U19" s="2"/>
      <c r="V19" s="19"/>
      <c r="W19" s="2"/>
      <c r="X19" s="2">
        <f t="shared" si="2"/>
        <v>1212.95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"4045", " - ", "TAXABLE SALES-SPECIAL ORDERS")</f>
        <v xml:space="preserve">          4045 - TAXABLE SALES-SPECIAL ORDERS</v>
      </c>
      <c r="C20" s="11"/>
      <c r="D20" s="2">
        <f t="shared" ref="D20:D21" si="4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--367.76</f>
        <v>367.76</v>
      </c>
      <c r="Q20" s="2"/>
      <c r="R20" s="19"/>
      <c r="S20" s="2"/>
      <c r="T20" s="2"/>
      <c r="U20" s="2"/>
      <c r="V20" s="19"/>
      <c r="W20" s="2"/>
      <c r="X20" s="2">
        <f t="shared" si="2"/>
        <v>367.76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"4092", " - ", "TAXABLE SALES-GRAD MERCH")</f>
        <v xml:space="preserve">          4092 - TAXABLE SALES-GRAD MERCH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-39.95</f>
        <v>-39.950000000000003</v>
      </c>
      <c r="Q21" s="2"/>
      <c r="R21" s="19"/>
      <c r="S21" s="2"/>
      <c r="T21" s="2"/>
      <c r="U21" s="2"/>
      <c r="V21" s="19"/>
      <c r="W21" s="2"/>
      <c r="X21" s="2">
        <f t="shared" si="2"/>
        <v>-39.950000000000003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"4095", " - ", "TAXABLE SALES-CUSTOMER SERVICE")</f>
        <v xml:space="preserve">          4095 - TAXABLE SALES-CUSTOMER SERVICE</v>
      </c>
      <c r="C22" s="11"/>
      <c r="D22" s="2">
        <f>--2.97</f>
        <v>2.97</v>
      </c>
      <c r="E22" s="2"/>
      <c r="F22" s="19"/>
      <c r="G22" s="2"/>
      <c r="H22" s="2"/>
      <c r="I22" s="2"/>
      <c r="J22" s="19"/>
      <c r="K22" s="2"/>
      <c r="L22" s="2">
        <f t="shared" si="0"/>
        <v>2.97</v>
      </c>
      <c r="M22" s="2"/>
      <c r="N22" s="19">
        <f t="shared" si="1"/>
        <v>0</v>
      </c>
      <c r="O22" s="11"/>
      <c r="P22" s="2">
        <f>--26.73</f>
        <v>26.73</v>
      </c>
      <c r="Q22" s="2"/>
      <c r="R22" s="19"/>
      <c r="S22" s="2"/>
      <c r="T22" s="2"/>
      <c r="U22" s="2"/>
      <c r="V22" s="19"/>
      <c r="W22" s="2"/>
      <c r="X22" s="2">
        <f t="shared" si="2"/>
        <v>26.73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>--12</f>
        <v>12</v>
      </c>
      <c r="E23" s="2"/>
      <c r="F23" s="19"/>
      <c r="G23" s="2"/>
      <c r="H23" s="2"/>
      <c r="I23" s="2"/>
      <c r="J23" s="19"/>
      <c r="K23" s="2"/>
      <c r="L23" s="2">
        <f t="shared" si="0"/>
        <v>12</v>
      </c>
      <c r="M23" s="2"/>
      <c r="N23" s="19">
        <f t="shared" si="1"/>
        <v>0</v>
      </c>
      <c r="O23" s="11"/>
      <c r="P23" s="2">
        <f>--85.5</f>
        <v>85.5</v>
      </c>
      <c r="Q23" s="2"/>
      <c r="R23" s="19"/>
      <c r="S23" s="2"/>
      <c r="T23" s="2"/>
      <c r="U23" s="2"/>
      <c r="V23" s="19"/>
      <c r="W23" s="2"/>
      <c r="X23" s="2">
        <f t="shared" si="2"/>
        <v>85.5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"4142", " - ", "NON-TAXABLE SALES-EVERYDAY GIF")</f>
        <v xml:space="preserve">          4142 - NON-TAXABLE SALES-EVERYDAY GIF</v>
      </c>
      <c r="C24" s="11"/>
      <c r="D24" s="2">
        <f>--44.1</f>
        <v>44.1</v>
      </c>
      <c r="E24" s="2"/>
      <c r="F24" s="19"/>
      <c r="G24" s="2"/>
      <c r="H24" s="2"/>
      <c r="I24" s="2"/>
      <c r="J24" s="19"/>
      <c r="K24" s="2"/>
      <c r="L24" s="2">
        <f t="shared" si="0"/>
        <v>44.1</v>
      </c>
      <c r="M24" s="2"/>
      <c r="N24" s="19">
        <f t="shared" si="1"/>
        <v>0</v>
      </c>
      <c r="O24" s="11"/>
      <c r="P24" s="2">
        <f>--157.57</f>
        <v>157.57</v>
      </c>
      <c r="Q24" s="2"/>
      <c r="R24" s="19"/>
      <c r="S24" s="2"/>
      <c r="T24" s="2"/>
      <c r="U24" s="2"/>
      <c r="V24" s="19"/>
      <c r="W24" s="2"/>
      <c r="X24" s="2">
        <f t="shared" si="2"/>
        <v>157.57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"4226", " - ", "SALES RETURN TAXABLE-WRITING I")</f>
        <v xml:space="preserve">          4226 - SALES RETURN TAXABLE-WRITING I</v>
      </c>
      <c r="C25" s="11"/>
      <c r="D25" s="2">
        <f>-134.8</f>
        <v>-134.80000000000001</v>
      </c>
      <c r="E25" s="2"/>
      <c r="F25" s="19"/>
      <c r="G25" s="2"/>
      <c r="H25" s="2"/>
      <c r="I25" s="2"/>
      <c r="J25" s="19"/>
      <c r="K25" s="2"/>
      <c r="L25" s="2">
        <f t="shared" si="0"/>
        <v>-134.80000000000001</v>
      </c>
      <c r="M25" s="2"/>
      <c r="N25" s="19">
        <f t="shared" si="1"/>
        <v>0</v>
      </c>
      <c r="O25" s="11"/>
      <c r="P25" s="2">
        <f>-134.8</f>
        <v>-134.80000000000001</v>
      </c>
      <c r="Q25" s="2"/>
      <c r="R25" s="19"/>
      <c r="S25" s="2"/>
      <c r="T25" s="2"/>
      <c r="U25" s="2"/>
      <c r="V25" s="19"/>
      <c r="W25" s="2"/>
      <c r="X25" s="2">
        <f t="shared" si="2"/>
        <v>-134.80000000000001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-882.2</f>
        <v>-882.2</v>
      </c>
      <c r="E26" s="2"/>
      <c r="F26" s="19"/>
      <c r="G26" s="2"/>
      <c r="H26" s="2"/>
      <c r="I26" s="2"/>
      <c r="J26" s="19"/>
      <c r="K26" s="2"/>
      <c r="L26" s="2">
        <f t="shared" si="0"/>
        <v>-882.2</v>
      </c>
      <c r="M26" s="2"/>
      <c r="N26" s="19">
        <f t="shared" si="1"/>
        <v>0</v>
      </c>
      <c r="O26" s="11"/>
      <c r="P26" s="2">
        <f>-5238.24</f>
        <v>-5238.24</v>
      </c>
      <c r="Q26" s="2"/>
      <c r="R26" s="19"/>
      <c r="S26" s="2"/>
      <c r="T26" s="2"/>
      <c r="U26" s="2"/>
      <c r="V26" s="19"/>
      <c r="W26" s="2"/>
      <c r="X26" s="2">
        <f t="shared" si="2"/>
        <v>-5238.24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-57.75</f>
        <v>-57.75</v>
      </c>
      <c r="E27" s="2"/>
      <c r="F27" s="19"/>
      <c r="G27" s="2"/>
      <c r="H27" s="2"/>
      <c r="I27" s="2"/>
      <c r="J27" s="19"/>
      <c r="K27" s="2"/>
      <c r="L27" s="2">
        <f t="shared" si="0"/>
        <v>-57.75</v>
      </c>
      <c r="M27" s="2"/>
      <c r="N27" s="19">
        <f t="shared" si="1"/>
        <v>0</v>
      </c>
      <c r="O27" s="11"/>
      <c r="P27" s="2">
        <f>-734.25</f>
        <v>-734.25</v>
      </c>
      <c r="Q27" s="2"/>
      <c r="R27" s="19"/>
      <c r="S27" s="2"/>
      <c r="T27" s="2"/>
      <c r="U27" s="2"/>
      <c r="V27" s="19"/>
      <c r="W27" s="2"/>
      <c r="X27" s="2">
        <f t="shared" si="2"/>
        <v>-734.25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-48.95</f>
        <v>-48.95</v>
      </c>
      <c r="E28" s="2"/>
      <c r="F28" s="19"/>
      <c r="G28" s="2"/>
      <c r="H28" s="2"/>
      <c r="I28" s="2"/>
      <c r="J28" s="19"/>
      <c r="K28" s="2"/>
      <c r="L28" s="2">
        <f t="shared" si="0"/>
        <v>-48.95</v>
      </c>
      <c r="M28" s="2"/>
      <c r="N28" s="19">
        <f t="shared" si="1"/>
        <v>0</v>
      </c>
      <c r="O28" s="11"/>
      <c r="P28" s="2">
        <f>-288.09</f>
        <v>-288.08999999999997</v>
      </c>
      <c r="Q28" s="2"/>
      <c r="R28" s="19"/>
      <c r="S28" s="2"/>
      <c r="T28" s="2"/>
      <c r="U28" s="2"/>
      <c r="V28" s="19"/>
      <c r="W28" s="2"/>
      <c r="X28" s="2">
        <f t="shared" si="2"/>
        <v>-288.08999999999997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 t="shared" ref="D29:D31" si="5">0</f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-22.95</f>
        <v>-22.95</v>
      </c>
      <c r="Q29" s="2"/>
      <c r="R29" s="19"/>
      <c r="S29" s="2"/>
      <c r="T29" s="2"/>
      <c r="U29" s="2"/>
      <c r="V29" s="19"/>
      <c r="W29" s="2"/>
      <c r="X29" s="2">
        <f t="shared" si="2"/>
        <v>-22.95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-9.99</f>
        <v>-9.99</v>
      </c>
      <c r="Q30" s="2"/>
      <c r="R30" s="19"/>
      <c r="S30" s="2"/>
      <c r="T30" s="2"/>
      <c r="U30" s="2"/>
      <c r="V30" s="19"/>
      <c r="W30" s="2"/>
      <c r="X30" s="2">
        <f t="shared" si="2"/>
        <v>-9.99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"4295", " - ", "SALES RETURN TAXABLE-CUSTOMER")</f>
        <v xml:space="preserve">          4295 - SALES RETURN TAXABLE-CUSTOMER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--0.99</f>
        <v>0.99</v>
      </c>
      <c r="Q31" s="2"/>
      <c r="R31" s="19"/>
      <c r="S31" s="2"/>
      <c r="T31" s="2"/>
      <c r="U31" s="2"/>
      <c r="V31" s="19"/>
      <c r="W31" s="2"/>
      <c r="X31" s="2">
        <f t="shared" si="2"/>
        <v>0.99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9" t="s">
        <v>8</v>
      </c>
      <c r="C33" s="10"/>
      <c r="D33" s="4">
        <f>SUM(OSRRefD16x_0)</f>
        <v>17512.269999999993</v>
      </c>
      <c r="E33" s="4"/>
      <c r="F33" s="12">
        <f t="shared" ref="F33:F47" si="6">IF(D$12=0,0,D33/D$12)</f>
        <v>0.42786153644682978</v>
      </c>
      <c r="G33" s="4"/>
      <c r="H33" s="4">
        <f>SUM(OSRRefH16x_0)</f>
        <v>18259.431280000001</v>
      </c>
      <c r="I33" s="4"/>
      <c r="J33" s="12">
        <f t="shared" ref="J33:J47" si="7">IF(H$12=0,0,H33/H$12)</f>
        <v>0.42517574787587142</v>
      </c>
      <c r="K33" s="4"/>
      <c r="L33" s="4">
        <f t="shared" ref="L33:L47" si="8">+D33-H33</f>
        <v>-747.16128000000754</v>
      </c>
      <c r="M33" s="4"/>
      <c r="N33" s="12">
        <f t="shared" ref="N33:N47" si="9">IF(H33=0,0,L33/H33)</f>
        <v>-4.0919197785661124E-2</v>
      </c>
      <c r="O33" s="10"/>
      <c r="P33" s="4">
        <f>SUM(OSRRefP16x_0)</f>
        <v>82521.22</v>
      </c>
      <c r="Q33" s="4"/>
      <c r="R33" s="12">
        <f t="shared" ref="R33:R47" si="10">IF(P$12=0,0,P33/P$12)</f>
        <v>0.42434247942751013</v>
      </c>
      <c r="S33" s="4"/>
      <c r="T33" s="4">
        <f>SUM(OSRRefT16x_0)</f>
        <v>81345.048470000009</v>
      </c>
      <c r="U33" s="4"/>
      <c r="V33" s="12">
        <f t="shared" ref="V33:V47" si="11">IF(T$12=0,0,T33/T$12)</f>
        <v>0.42605117086851063</v>
      </c>
      <c r="W33" s="4"/>
      <c r="X33" s="4">
        <f t="shared" ref="X33:X47" si="12">+P33-T33</f>
        <v>1176.1715299999923</v>
      </c>
      <c r="Y33" s="4"/>
      <c r="Z33" s="12">
        <f t="shared" ref="Z33:Z47" si="13">IF(T33=0,0,X33/T33)</f>
        <v>1.4459042709080978E-2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6"/>
        <v>0</v>
      </c>
      <c r="G34" s="2"/>
      <c r="H34" s="2">
        <v>18259.431280000001</v>
      </c>
      <c r="I34" s="2"/>
      <c r="J34" s="19">
        <f t="shared" si="7"/>
        <v>0.42517574787587142</v>
      </c>
      <c r="K34" s="2"/>
      <c r="L34" s="2">
        <f t="shared" si="8"/>
        <v>-18259.431280000001</v>
      </c>
      <c r="M34" s="2"/>
      <c r="N34" s="19">
        <f t="shared" si="9"/>
        <v>-1</v>
      </c>
      <c r="O34" s="11"/>
      <c r="P34" s="2"/>
      <c r="Q34" s="2"/>
      <c r="R34" s="19">
        <f t="shared" si="10"/>
        <v>0</v>
      </c>
      <c r="S34" s="2"/>
      <c r="T34" s="2">
        <v>81345.048470000009</v>
      </c>
      <c r="U34" s="2"/>
      <c r="V34" s="19">
        <f t="shared" si="11"/>
        <v>0.42605117086851063</v>
      </c>
      <c r="W34" s="2"/>
      <c r="X34" s="2">
        <f t="shared" si="12"/>
        <v>-81345.048470000009</v>
      </c>
      <c r="Y34" s="2"/>
      <c r="Z34" s="19">
        <f t="shared" si="13"/>
        <v>-1</v>
      </c>
    </row>
    <row r="35" spans="1:26" s="24" customFormat="1" hidden="1" outlineLevel="1" x14ac:dyDescent="0.25">
      <c r="A35" s="44"/>
      <c r="B35" s="11" t="str">
        <f>CONCATENATE("          ", "5026", " - ", "PURCHASES @ COST-WRITING INSTR")</f>
        <v xml:space="preserve">          5026 - PURCHASES @ COST-WRITING INSTR</v>
      </c>
      <c r="C35" s="11"/>
      <c r="D35" s="2">
        <v>28.56</v>
      </c>
      <c r="E35" s="2"/>
      <c r="F35" s="19">
        <f t="shared" si="6"/>
        <v>6.9778078346904556E-4</v>
      </c>
      <c r="G35" s="2"/>
      <c r="H35" s="2"/>
      <c r="I35" s="2"/>
      <c r="J35" s="19">
        <f t="shared" si="7"/>
        <v>0</v>
      </c>
      <c r="K35" s="2"/>
      <c r="L35" s="2">
        <f t="shared" si="8"/>
        <v>28.56</v>
      </c>
      <c r="M35" s="2"/>
      <c r="N35" s="19">
        <f t="shared" si="9"/>
        <v>0</v>
      </c>
      <c r="O35" s="11"/>
      <c r="P35" s="2">
        <v>-36.369999999999997</v>
      </c>
      <c r="Q35" s="2"/>
      <c r="R35" s="19">
        <f t="shared" si="10"/>
        <v>-1.8702263462390089E-4</v>
      </c>
      <c r="S35" s="2"/>
      <c r="T35" s="2"/>
      <c r="U35" s="2"/>
      <c r="V35" s="19">
        <f t="shared" si="11"/>
        <v>0</v>
      </c>
      <c r="W35" s="2"/>
      <c r="X35" s="2">
        <f t="shared" si="12"/>
        <v>-36.369999999999997</v>
      </c>
      <c r="Y35" s="2"/>
      <c r="Z35" s="19">
        <f t="shared" si="13"/>
        <v>0</v>
      </c>
    </row>
    <row r="36" spans="1:26" s="24" customFormat="1" hidden="1" outlineLevel="1" x14ac:dyDescent="0.25">
      <c r="A36" s="44"/>
      <c r="B36" s="11" t="str">
        <f>CONCATENATE("          ", "5027", " - ", "PURCHASES @ COST-SCHOOL SUPPLI")</f>
        <v xml:space="preserve">          5027 - PURCHASES @ COST-SCHOOL SUPPLI</v>
      </c>
      <c r="C36" s="11"/>
      <c r="D36" s="2">
        <v>18.54</v>
      </c>
      <c r="E36" s="2"/>
      <c r="F36" s="19">
        <f t="shared" si="6"/>
        <v>4.5297113884860312E-4</v>
      </c>
      <c r="G36" s="2"/>
      <c r="H36" s="2"/>
      <c r="I36" s="2"/>
      <c r="J36" s="19">
        <f t="shared" si="7"/>
        <v>0</v>
      </c>
      <c r="K36" s="2"/>
      <c r="L36" s="2">
        <f t="shared" si="8"/>
        <v>18.54</v>
      </c>
      <c r="M36" s="2"/>
      <c r="N36" s="19">
        <f t="shared" si="9"/>
        <v>0</v>
      </c>
      <c r="O36" s="11"/>
      <c r="P36" s="2">
        <v>47</v>
      </c>
      <c r="Q36" s="2"/>
      <c r="R36" s="19">
        <f t="shared" si="10"/>
        <v>2.4168446047080953E-4</v>
      </c>
      <c r="S36" s="2"/>
      <c r="T36" s="2"/>
      <c r="U36" s="2"/>
      <c r="V36" s="19">
        <f t="shared" si="11"/>
        <v>0</v>
      </c>
      <c r="W36" s="2"/>
      <c r="X36" s="2">
        <f t="shared" si="12"/>
        <v>47</v>
      </c>
      <c r="Y36" s="2"/>
      <c r="Z36" s="19">
        <f t="shared" si="13"/>
        <v>0</v>
      </c>
    </row>
    <row r="37" spans="1:26" s="24" customFormat="1" hidden="1" outlineLevel="1" x14ac:dyDescent="0.25">
      <c r="A37" s="44"/>
      <c r="B37" s="11" t="str">
        <f>CONCATENATE("          ", "5037", " - ", "PURCHASES @ COST-WATER")</f>
        <v xml:space="preserve">          5037 - PURCHASES @ COST-WATER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29.76</v>
      </c>
      <c r="Q37" s="2"/>
      <c r="R37" s="19">
        <f t="shared" si="10"/>
        <v>1.5303254348109132E-4</v>
      </c>
      <c r="S37" s="2"/>
      <c r="T37" s="2"/>
      <c r="U37" s="2"/>
      <c r="V37" s="19">
        <f t="shared" si="11"/>
        <v>0</v>
      </c>
      <c r="W37" s="2"/>
      <c r="X37" s="2">
        <f t="shared" si="12"/>
        <v>29.76</v>
      </c>
      <c r="Y37" s="2"/>
      <c r="Z37" s="19">
        <f t="shared" si="13"/>
        <v>0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16353.169999999998</v>
      </c>
      <c r="E38" s="2"/>
      <c r="F38" s="19">
        <f t="shared" si="6"/>
        <v>0.39954228903370065</v>
      </c>
      <c r="G38" s="2"/>
      <c r="H38" s="2"/>
      <c r="I38" s="2"/>
      <c r="J38" s="19">
        <f t="shared" si="7"/>
        <v>0</v>
      </c>
      <c r="K38" s="2"/>
      <c r="L38" s="2">
        <f t="shared" si="8"/>
        <v>16353.169999999998</v>
      </c>
      <c r="M38" s="2"/>
      <c r="N38" s="19">
        <f t="shared" si="9"/>
        <v>0</v>
      </c>
      <c r="O38" s="11"/>
      <c r="P38" s="2">
        <v>100775.53</v>
      </c>
      <c r="Q38" s="2"/>
      <c r="R38" s="19">
        <f t="shared" si="10"/>
        <v>0.5182102041853166</v>
      </c>
      <c r="S38" s="2"/>
      <c r="T38" s="2"/>
      <c r="U38" s="2"/>
      <c r="V38" s="19">
        <f t="shared" si="11"/>
        <v>0</v>
      </c>
      <c r="W38" s="2"/>
      <c r="X38" s="2">
        <f t="shared" si="12"/>
        <v>100775.53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669.89</v>
      </c>
      <c r="E39" s="2"/>
      <c r="F39" s="19">
        <f t="shared" si="6"/>
        <v>1.6366819644190438E-2</v>
      </c>
      <c r="G39" s="2"/>
      <c r="H39" s="2"/>
      <c r="I39" s="2"/>
      <c r="J39" s="19">
        <f t="shared" si="7"/>
        <v>0</v>
      </c>
      <c r="K39" s="2"/>
      <c r="L39" s="2">
        <f t="shared" si="8"/>
        <v>669.89</v>
      </c>
      <c r="M39" s="2"/>
      <c r="N39" s="19">
        <f t="shared" si="9"/>
        <v>0</v>
      </c>
      <c r="O39" s="11"/>
      <c r="P39" s="2">
        <v>12054.64</v>
      </c>
      <c r="Q39" s="2"/>
      <c r="R39" s="19">
        <f t="shared" si="10"/>
        <v>6.1987641799358277E-2</v>
      </c>
      <c r="S39" s="2"/>
      <c r="T39" s="2"/>
      <c r="U39" s="2"/>
      <c r="V39" s="19">
        <f t="shared" si="11"/>
        <v>0</v>
      </c>
      <c r="W39" s="2"/>
      <c r="X39" s="2">
        <f t="shared" si="12"/>
        <v>12054.64</v>
      </c>
      <c r="Y39" s="2"/>
      <c r="Z39" s="19">
        <f t="shared" si="13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1805.37</v>
      </c>
      <c r="E40" s="2"/>
      <c r="F40" s="19">
        <f t="shared" si="6"/>
        <v>4.4108980849142533E-2</v>
      </c>
      <c r="G40" s="2"/>
      <c r="H40" s="2"/>
      <c r="I40" s="2"/>
      <c r="J40" s="19">
        <f t="shared" si="7"/>
        <v>0</v>
      </c>
      <c r="K40" s="2"/>
      <c r="L40" s="2">
        <f t="shared" si="8"/>
        <v>1805.37</v>
      </c>
      <c r="M40" s="2"/>
      <c r="N40" s="19">
        <f t="shared" si="9"/>
        <v>0</v>
      </c>
      <c r="O40" s="11"/>
      <c r="P40" s="2">
        <v>9440.5400000000009</v>
      </c>
      <c r="Q40" s="2"/>
      <c r="R40" s="19">
        <f t="shared" si="10"/>
        <v>4.854535779687439E-2</v>
      </c>
      <c r="S40" s="2"/>
      <c r="T40" s="2"/>
      <c r="U40" s="2"/>
      <c r="V40" s="19">
        <f t="shared" si="11"/>
        <v>0</v>
      </c>
      <c r="W40" s="2"/>
      <c r="X40" s="2">
        <f t="shared" si="12"/>
        <v>9440.5400000000009</v>
      </c>
      <c r="Y40" s="2"/>
      <c r="Z40" s="19">
        <f t="shared" si="13"/>
        <v>0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605.14</v>
      </c>
      <c r="E41" s="2"/>
      <c r="F41" s="19">
        <f t="shared" si="6"/>
        <v>1.4784841152256941E-2</v>
      </c>
      <c r="G41" s="2"/>
      <c r="H41" s="2"/>
      <c r="I41" s="2"/>
      <c r="J41" s="19">
        <f t="shared" si="7"/>
        <v>0</v>
      </c>
      <c r="K41" s="2"/>
      <c r="L41" s="2">
        <f t="shared" si="8"/>
        <v>605.14</v>
      </c>
      <c r="M41" s="2"/>
      <c r="N41" s="19">
        <f t="shared" si="9"/>
        <v>0</v>
      </c>
      <c r="O41" s="11"/>
      <c r="P41" s="2">
        <v>2352.5700000000002</v>
      </c>
      <c r="Q41" s="2"/>
      <c r="R41" s="19">
        <f t="shared" si="10"/>
        <v>1.2097438535527923E-2</v>
      </c>
      <c r="S41" s="2"/>
      <c r="T41" s="2"/>
      <c r="U41" s="2"/>
      <c r="V41" s="19">
        <f t="shared" si="11"/>
        <v>0</v>
      </c>
      <c r="W41" s="2"/>
      <c r="X41" s="2">
        <f t="shared" si="12"/>
        <v>2352.5700000000002</v>
      </c>
      <c r="Y41" s="2"/>
      <c r="Z41" s="19">
        <f t="shared" si="13"/>
        <v>0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-968.2</v>
      </c>
      <c r="Q42" s="2"/>
      <c r="R42" s="19">
        <f t="shared" si="10"/>
        <v>-4.9786998856986764E-3</v>
      </c>
      <c r="S42" s="2"/>
      <c r="T42" s="2"/>
      <c r="U42" s="2"/>
      <c r="V42" s="19">
        <f t="shared" si="11"/>
        <v>0</v>
      </c>
      <c r="W42" s="2"/>
      <c r="X42" s="2">
        <f t="shared" si="12"/>
        <v>-968.2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"5083", " - ", "PURCHASES @ COST-COMPUTER EQUI")</f>
        <v xml:space="preserve">          5083 - PURCHASES @ COST-COMPUTER EQUI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39.950000000000003</v>
      </c>
      <c r="Q43" s="2"/>
      <c r="R43" s="19">
        <f t="shared" si="10"/>
        <v>2.0543179140018809E-4</v>
      </c>
      <c r="S43" s="2"/>
      <c r="T43" s="2"/>
      <c r="U43" s="2"/>
      <c r="V43" s="19">
        <f t="shared" si="11"/>
        <v>0</v>
      </c>
      <c r="W43" s="2"/>
      <c r="X43" s="2">
        <f t="shared" si="12"/>
        <v>39.950000000000003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"5092", " - ", "PURCHASES @ COST-GRAD MERCH")</f>
        <v xml:space="preserve">          5092 - PURCHASES @ COST-GRAD MERCH</v>
      </c>
      <c r="C44" s="11"/>
      <c r="D44" s="2">
        <v>-47.4</v>
      </c>
      <c r="E44" s="2"/>
      <c r="F44" s="19">
        <f t="shared" si="6"/>
        <v>-1.158081552396105E-3</v>
      </c>
      <c r="G44" s="2"/>
      <c r="H44" s="2"/>
      <c r="I44" s="2"/>
      <c r="J44" s="19">
        <f t="shared" si="7"/>
        <v>0</v>
      </c>
      <c r="K44" s="2"/>
      <c r="L44" s="2">
        <f t="shared" si="8"/>
        <v>-47.4</v>
      </c>
      <c r="M44" s="2"/>
      <c r="N44" s="19">
        <f t="shared" si="9"/>
        <v>0</v>
      </c>
      <c r="O44" s="11"/>
      <c r="P44" s="2">
        <v>-60.35</v>
      </c>
      <c r="Q44" s="2"/>
      <c r="R44" s="19">
        <f t="shared" si="10"/>
        <v>-3.1033313168964583E-4</v>
      </c>
      <c r="S44" s="2"/>
      <c r="T44" s="2"/>
      <c r="U44" s="2"/>
      <c r="V44" s="19">
        <f t="shared" si="11"/>
        <v>0</v>
      </c>
      <c r="W44" s="2"/>
      <c r="X44" s="2">
        <f t="shared" si="12"/>
        <v>-60.35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"5095", " - ", "PURCHASES @ COST-CUSTOMER SERV")</f>
        <v xml:space="preserve">          5095 - PURCHASES @ COST-CUSTOMER SERV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-11.85</v>
      </c>
      <c r="Q45" s="2"/>
      <c r="R45" s="19">
        <f t="shared" si="10"/>
        <v>-6.0935337374023248E-5</v>
      </c>
      <c r="S45" s="2"/>
      <c r="T45" s="2"/>
      <c r="U45" s="2"/>
      <c r="V45" s="19">
        <f t="shared" si="11"/>
        <v>0</v>
      </c>
      <c r="W45" s="2"/>
      <c r="X45" s="2">
        <f t="shared" si="12"/>
        <v>-11.85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-19434</v>
      </c>
      <c r="E46" s="2"/>
      <c r="F46" s="19">
        <f t="shared" si="6"/>
        <v>-0.4748134364824031</v>
      </c>
      <c r="G46" s="2"/>
      <c r="H46" s="2"/>
      <c r="I46" s="2"/>
      <c r="J46" s="19">
        <f t="shared" si="7"/>
        <v>0</v>
      </c>
      <c r="K46" s="2"/>
      <c r="L46" s="2">
        <f t="shared" si="8"/>
        <v>-19434</v>
      </c>
      <c r="M46" s="2"/>
      <c r="N46" s="19">
        <f t="shared" si="9"/>
        <v>0</v>
      </c>
      <c r="O46" s="11"/>
      <c r="P46" s="2">
        <v>-123664</v>
      </c>
      <c r="Q46" s="2"/>
      <c r="R46" s="19">
        <f t="shared" si="10"/>
        <v>-0.63590781105664229</v>
      </c>
      <c r="S46" s="2"/>
      <c r="T46" s="2"/>
      <c r="U46" s="2"/>
      <c r="V46" s="19">
        <f t="shared" si="11"/>
        <v>0</v>
      </c>
      <c r="W46" s="2"/>
      <c r="X46" s="2">
        <f t="shared" si="12"/>
        <v>-123664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17513</v>
      </c>
      <c r="E47" s="2"/>
      <c r="F47" s="19">
        <f t="shared" si="6"/>
        <v>0.42787937188002084</v>
      </c>
      <c r="G47" s="2"/>
      <c r="H47" s="2"/>
      <c r="I47" s="2"/>
      <c r="J47" s="19">
        <f t="shared" si="7"/>
        <v>0</v>
      </c>
      <c r="K47" s="2"/>
      <c r="L47" s="2">
        <f t="shared" si="8"/>
        <v>17513</v>
      </c>
      <c r="M47" s="2"/>
      <c r="N47" s="19">
        <f t="shared" si="9"/>
        <v>0</v>
      </c>
      <c r="O47" s="11"/>
      <c r="P47" s="2">
        <v>82522</v>
      </c>
      <c r="Q47" s="2"/>
      <c r="R47" s="19">
        <f t="shared" si="10"/>
        <v>0.42434649036110944</v>
      </c>
      <c r="S47" s="2"/>
      <c r="T47" s="2"/>
      <c r="U47" s="2"/>
      <c r="V47" s="19">
        <f t="shared" si="11"/>
        <v>0</v>
      </c>
      <c r="W47" s="2"/>
      <c r="X47" s="2">
        <f t="shared" si="12"/>
        <v>82522</v>
      </c>
      <c r="Y47" s="2"/>
      <c r="Z47" s="19">
        <f t="shared" si="13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8" t="s">
        <v>6</v>
      </c>
      <c r="C49" s="28"/>
      <c r="D49" s="22">
        <f>D12-D33</f>
        <v>23417.49</v>
      </c>
      <c r="E49" s="14"/>
      <c r="F49" s="20">
        <f>IF(D$12=0,0,D49/D$12)</f>
        <v>0.57213846355317022</v>
      </c>
      <c r="G49" s="14"/>
      <c r="H49" s="22">
        <f>H12-H33</f>
        <v>24686.177379999997</v>
      </c>
      <c r="I49" s="14"/>
      <c r="J49" s="20">
        <f>IF(H$12=0,0,H49/H$12)</f>
        <v>0.57482425212412858</v>
      </c>
      <c r="K49" s="16"/>
      <c r="L49" s="22">
        <f>+D49-H49</f>
        <v>-1268.6873799999958</v>
      </c>
      <c r="M49" s="16"/>
      <c r="N49" s="20">
        <f>IF(H49=0,0,L49/H49)</f>
        <v>-5.1392621890007498E-2</v>
      </c>
      <c r="O49" s="29"/>
      <c r="P49" s="22">
        <f>P12-P33</f>
        <v>111947.22000000003</v>
      </c>
      <c r="Q49" s="14"/>
      <c r="R49" s="20">
        <f>IF(P$12=0,0,P49/P$12)</f>
        <v>0.57565752057248987</v>
      </c>
      <c r="S49" s="14"/>
      <c r="T49" s="22">
        <f>T12-T33</f>
        <v>109582.83538999999</v>
      </c>
      <c r="U49" s="14"/>
      <c r="V49" s="20">
        <f>IF(T$12=0,0,T49/T$12)</f>
        <v>0.57394882913148937</v>
      </c>
      <c r="W49" s="16"/>
      <c r="X49" s="22">
        <f>+P49-T49</f>
        <v>2364.3846100000374</v>
      </c>
      <c r="Y49" s="16"/>
      <c r="Z49" s="20">
        <f>IF(T49=0,0,X49/T49)</f>
        <v>2.1576231364933269E-2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9" t="s">
        <v>9</v>
      </c>
      <c r="C51" s="10"/>
      <c r="D51" s="21">
        <f>SUM(OSRRefD22x_0)</f>
        <v>30074.730000000003</v>
      </c>
      <c r="E51" s="21"/>
      <c r="F51" s="35">
        <f t="shared" ref="F51:F61" si="14">IF(D$12=0,0,D51/D$12)</f>
        <v>0.73478881869817969</v>
      </c>
      <c r="G51" s="21"/>
      <c r="H51" s="21">
        <f>SUM(OSRRefH22x_0)</f>
        <v>25809.865916663461</v>
      </c>
      <c r="I51" s="21"/>
      <c r="J51" s="35">
        <f t="shared" ref="J51:J61" si="15">IF(H$12=0,0,H51/H$12)</f>
        <v>0.60098964066384386</v>
      </c>
      <c r="K51" s="4"/>
      <c r="L51" s="21">
        <f t="shared" ref="L51:L61" si="16">+D51-H51</f>
        <v>4264.8640833365425</v>
      </c>
      <c r="M51" s="4"/>
      <c r="N51" s="35">
        <f t="shared" ref="N51:N61" si="17">IF(H51=0,0,L51/H51)</f>
        <v>0.16524162105712628</v>
      </c>
      <c r="O51" s="10"/>
      <c r="P51" s="21">
        <f>SUM(OSRRefP22x_0)</f>
        <v>119620.39</v>
      </c>
      <c r="Q51" s="21"/>
      <c r="R51" s="35">
        <f t="shared" ref="R51:R61" si="18">IF(P$12=0,0,P51/P$12)</f>
        <v>0.61511466847782592</v>
      </c>
      <c r="S51" s="21"/>
      <c r="T51" s="21">
        <f>SUM(OSRRefT22x_0)</f>
        <v>106610.74267498846</v>
      </c>
      <c r="U51" s="21"/>
      <c r="V51" s="35">
        <f t="shared" ref="V51:V61" si="19">IF(T$12=0,0,T51/T$12)</f>
        <v>0.55838225679577513</v>
      </c>
      <c r="W51" s="4"/>
      <c r="X51" s="21">
        <f t="shared" ref="X51:X61" si="20">+P51-T51</f>
        <v>13009.647325011538</v>
      </c>
      <c r="Y51" s="4"/>
      <c r="Z51" s="35">
        <f t="shared" ref="Z51:Z61" si="21">IF(T51=0,0,X51/T51)</f>
        <v>0.12202942216313517</v>
      </c>
    </row>
    <row r="52" spans="1:26" s="26" customFormat="1" outlineLevel="1" collapsed="1" x14ac:dyDescent="0.25">
      <c r="A52" s="25"/>
      <c r="B52" s="13" t="str">
        <f>CONCATENATE("     ","*Benefits                                         ")</f>
        <v xml:space="preserve">     *Benefits                                         </v>
      </c>
      <c r="C52" s="13"/>
      <c r="D52" s="1">
        <f>SUM(OSRRefD22_0x_0)</f>
        <v>2060.23</v>
      </c>
      <c r="E52" s="1"/>
      <c r="F52" s="5">
        <f t="shared" si="14"/>
        <v>5.033574592179383E-2</v>
      </c>
      <c r="G52" s="1"/>
      <c r="H52" s="1">
        <f>SUM(OSRRefH22_0x_0)</f>
        <v>1993.3337051250001</v>
      </c>
      <c r="I52" s="1"/>
      <c r="J52" s="5">
        <f t="shared" si="15"/>
        <v>4.6415309209055698E-2</v>
      </c>
      <c r="K52" s="1"/>
      <c r="L52" s="1">
        <f t="shared" si="16"/>
        <v>66.896294874999967</v>
      </c>
      <c r="M52" s="1"/>
      <c r="N52" s="5">
        <f t="shared" si="17"/>
        <v>3.3560007891807041E-2</v>
      </c>
      <c r="O52" s="13"/>
      <c r="P52" s="1">
        <f>SUM(OSRRefP22_0x_0)</f>
        <v>7598.94</v>
      </c>
      <c r="Q52" s="1"/>
      <c r="R52" s="5">
        <f t="shared" si="18"/>
        <v>3.9075440724469217E-2</v>
      </c>
      <c r="S52" s="1"/>
      <c r="T52" s="1">
        <f>SUM(OSRRefT22_0x_0)</f>
        <v>8668.1267134499994</v>
      </c>
      <c r="U52" s="1"/>
      <c r="V52" s="5">
        <f t="shared" si="19"/>
        <v>4.5400004117816549E-2</v>
      </c>
      <c r="W52" s="1"/>
      <c r="X52" s="1">
        <f t="shared" si="20"/>
        <v>-1069.1867134499998</v>
      </c>
      <c r="Y52" s="1"/>
      <c r="Z52" s="5">
        <f t="shared" si="21"/>
        <v>-0.1233469178283912</v>
      </c>
    </row>
    <row r="53" spans="1:26" s="24" customFormat="1" hidden="1" outlineLevel="2" x14ac:dyDescent="0.25">
      <c r="A53" s="27"/>
      <c r="B53" s="11" t="str">
        <f>CONCATENATE("          ", "6111", " - ", "F.I.C.A.")</f>
        <v xml:space="preserve">          6111 - F.I.C.A.</v>
      </c>
      <c r="C53" s="11"/>
      <c r="D53" s="6">
        <v>331.93</v>
      </c>
      <c r="E53" s="2"/>
      <c r="F53" s="7">
        <f t="shared" si="14"/>
        <v>8.109747039806733E-3</v>
      </c>
      <c r="G53" s="2"/>
      <c r="H53" s="6">
        <v>366.228501663462</v>
      </c>
      <c r="I53" s="2"/>
      <c r="J53" s="7">
        <f t="shared" si="15"/>
        <v>8.5277287501707051E-3</v>
      </c>
      <c r="K53" s="2"/>
      <c r="L53" s="6">
        <f t="shared" si="16"/>
        <v>-34.298501663461991</v>
      </c>
      <c r="M53" s="2"/>
      <c r="N53" s="7">
        <f t="shared" si="17"/>
        <v>-9.3653283421889097E-2</v>
      </c>
      <c r="O53" s="11"/>
      <c r="P53" s="6">
        <v>2163.1</v>
      </c>
      <c r="Q53" s="2"/>
      <c r="R53" s="7">
        <f t="shared" si="18"/>
        <v>1.1123141626476768E-2</v>
      </c>
      <c r="S53" s="2"/>
      <c r="T53" s="6">
        <v>2314.4988209884609</v>
      </c>
      <c r="U53" s="2"/>
      <c r="V53" s="7">
        <f t="shared" si="19"/>
        <v>1.2122371935393119E-2</v>
      </c>
      <c r="W53" s="2"/>
      <c r="X53" s="6">
        <f t="shared" si="20"/>
        <v>-151.39882098846101</v>
      </c>
      <c r="Y53" s="2"/>
      <c r="Z53" s="7">
        <f t="shared" si="21"/>
        <v>-6.5413220182070603E-2</v>
      </c>
    </row>
    <row r="54" spans="1:26" s="24" customFormat="1" hidden="1" outlineLevel="2" x14ac:dyDescent="0.25">
      <c r="A54" s="27"/>
      <c r="B54" s="11" t="str">
        <f>CONCATENATE("          ", "6112", " - ", "COMPENSATION INSURANCE")</f>
        <v xml:space="preserve">          6112 - COMPENSATION INSURANCE</v>
      </c>
      <c r="C54" s="11"/>
      <c r="D54" s="6">
        <v>-92.63</v>
      </c>
      <c r="E54" s="2"/>
      <c r="F54" s="7">
        <f t="shared" si="14"/>
        <v>-2.2631454472247089E-3</v>
      </c>
      <c r="G54" s="2"/>
      <c r="H54" s="6">
        <v>193.979056730769</v>
      </c>
      <c r="I54" s="2"/>
      <c r="J54" s="7">
        <f t="shared" si="15"/>
        <v>4.5168542904234863E-3</v>
      </c>
      <c r="K54" s="2"/>
      <c r="L54" s="6">
        <f t="shared" si="16"/>
        <v>-286.609056730769</v>
      </c>
      <c r="M54" s="2"/>
      <c r="N54" s="7">
        <f t="shared" si="17"/>
        <v>-1.4775257780976054</v>
      </c>
      <c r="O54" s="11"/>
      <c r="P54" s="6">
        <v>493.74</v>
      </c>
      <c r="Q54" s="2"/>
      <c r="R54" s="7">
        <f t="shared" si="18"/>
        <v>2.5389209683586702E-3</v>
      </c>
      <c r="S54" s="2"/>
      <c r="T54" s="6">
        <v>758.84150423076801</v>
      </c>
      <c r="U54" s="2"/>
      <c r="V54" s="7">
        <f t="shared" si="19"/>
        <v>3.9744928236212845E-3</v>
      </c>
      <c r="W54" s="2"/>
      <c r="X54" s="6">
        <f t="shared" si="20"/>
        <v>-265.101504230768</v>
      </c>
      <c r="Y54" s="2"/>
      <c r="Z54" s="7">
        <f t="shared" si="21"/>
        <v>-0.34935029614583274</v>
      </c>
    </row>
    <row r="55" spans="1:26" s="24" customFormat="1" hidden="1" outlineLevel="2" x14ac:dyDescent="0.25">
      <c r="A55" s="27"/>
      <c r="B55" s="11" t="str">
        <f>CONCATENATE("          ", "6113", " - ", "GROUP INSURANCE")</f>
        <v xml:space="preserve">          6113 - GROUP INSURANCE</v>
      </c>
      <c r="C55" s="11"/>
      <c r="D55" s="6">
        <v>988.44</v>
      </c>
      <c r="E55" s="2"/>
      <c r="F55" s="7">
        <f t="shared" si="14"/>
        <v>2.4149665182498021E-2</v>
      </c>
      <c r="G55" s="2"/>
      <c r="H55" s="6">
        <v>988.5</v>
      </c>
      <c r="I55" s="2"/>
      <c r="J55" s="7">
        <f t="shared" si="15"/>
        <v>2.3017487255238264E-2</v>
      </c>
      <c r="K55" s="2"/>
      <c r="L55" s="6">
        <f t="shared" si="16"/>
        <v>-5.999999999994543E-2</v>
      </c>
      <c r="M55" s="2"/>
      <c r="N55" s="7">
        <f t="shared" si="17"/>
        <v>-6.0698027314057084E-5</v>
      </c>
      <c r="O55" s="11"/>
      <c r="P55" s="6">
        <v>2484.7199999999998</v>
      </c>
      <c r="Q55" s="2"/>
      <c r="R55" s="7">
        <f t="shared" si="18"/>
        <v>1.2776983247255952E-2</v>
      </c>
      <c r="S55" s="2"/>
      <c r="T55" s="6">
        <v>3954</v>
      </c>
      <c r="U55" s="2"/>
      <c r="V55" s="7">
        <f t="shared" si="19"/>
        <v>2.070938995426836E-2</v>
      </c>
      <c r="W55" s="2"/>
      <c r="X55" s="6">
        <f t="shared" si="20"/>
        <v>-1469.2800000000002</v>
      </c>
      <c r="Y55" s="2"/>
      <c r="Z55" s="7">
        <f t="shared" si="21"/>
        <v>-0.37159332321699551</v>
      </c>
    </row>
    <row r="56" spans="1:26" s="24" customFormat="1" hidden="1" outlineLevel="2" x14ac:dyDescent="0.25">
      <c r="A56" s="27"/>
      <c r="B56" s="11" t="str">
        <f>CONCATENATE("          ", "6114", " - ", "STATE UNEMPLOYMENT INSURANCE")</f>
        <v xml:space="preserve">          6114 - STATE UNEMPLOYMENT INSURANCE</v>
      </c>
      <c r="C56" s="11"/>
      <c r="D56" s="6">
        <v>20.04</v>
      </c>
      <c r="E56" s="2"/>
      <c r="F56" s="7">
        <f t="shared" si="14"/>
        <v>4.8961928924088488E-4</v>
      </c>
      <c r="G56" s="2"/>
      <c r="H56" s="6">
        <v>26.5445025</v>
      </c>
      <c r="I56" s="2"/>
      <c r="J56" s="7">
        <f t="shared" si="15"/>
        <v>6.1809585026847773E-4</v>
      </c>
      <c r="K56" s="2"/>
      <c r="L56" s="6">
        <f t="shared" si="16"/>
        <v>-6.504502500000001</v>
      </c>
      <c r="M56" s="2"/>
      <c r="N56" s="7">
        <f t="shared" si="17"/>
        <v>-0.24504141676793531</v>
      </c>
      <c r="O56" s="11"/>
      <c r="P56" s="6">
        <v>100.27</v>
      </c>
      <c r="Q56" s="2"/>
      <c r="R56" s="7">
        <f t="shared" si="18"/>
        <v>5.1561065641293768E-4</v>
      </c>
      <c r="S56" s="2"/>
      <c r="T56" s="6">
        <v>103.841469</v>
      </c>
      <c r="U56" s="2"/>
      <c r="V56" s="7">
        <f t="shared" si="19"/>
        <v>5.4387796533765032E-4</v>
      </c>
      <c r="W56" s="2"/>
      <c r="X56" s="6">
        <f t="shared" si="20"/>
        <v>-3.5714690000000076</v>
      </c>
      <c r="Y56" s="2"/>
      <c r="Z56" s="7">
        <f t="shared" si="21"/>
        <v>-3.4393475308019839E-2</v>
      </c>
    </row>
    <row r="57" spans="1:26" s="24" customFormat="1" hidden="1" outlineLevel="2" x14ac:dyDescent="0.25">
      <c r="A57" s="27"/>
      <c r="B57" s="11" t="str">
        <f>CONCATENATE("          ", "6115", " - ", "P.E.R.S.")</f>
        <v xml:space="preserve">          6115 - P.E.R.S.</v>
      </c>
      <c r="C57" s="11"/>
      <c r="D57" s="6">
        <v>167.64</v>
      </c>
      <c r="E57" s="2"/>
      <c r="F57" s="7">
        <f t="shared" si="14"/>
        <v>4.0957972878414147E-3</v>
      </c>
      <c r="G57" s="2"/>
      <c r="H57" s="6">
        <v>215.67394230769202</v>
      </c>
      <c r="I57" s="2"/>
      <c r="J57" s="7">
        <f t="shared" si="15"/>
        <v>5.0220255117392953E-3</v>
      </c>
      <c r="K57" s="2"/>
      <c r="L57" s="6">
        <f t="shared" si="16"/>
        <v>-48.03394230769203</v>
      </c>
      <c r="M57" s="2"/>
      <c r="N57" s="7">
        <f t="shared" si="17"/>
        <v>-0.2227155575390013</v>
      </c>
      <c r="O57" s="11"/>
      <c r="P57" s="6">
        <v>698.54</v>
      </c>
      <c r="Q57" s="2"/>
      <c r="R57" s="7">
        <f t="shared" si="18"/>
        <v>3.5920481493038141E-3</v>
      </c>
      <c r="S57" s="2"/>
      <c r="T57" s="6">
        <v>776.42619230769208</v>
      </c>
      <c r="U57" s="2"/>
      <c r="V57" s="7">
        <f t="shared" si="19"/>
        <v>4.0665940281253794E-3</v>
      </c>
      <c r="W57" s="2"/>
      <c r="X57" s="6">
        <f t="shared" si="20"/>
        <v>-77.886192307692113</v>
      </c>
      <c r="Y57" s="2"/>
      <c r="Z57" s="7">
        <f t="shared" si="21"/>
        <v>-0.10031371053596087</v>
      </c>
    </row>
    <row r="58" spans="1:26" s="24" customFormat="1" hidden="1" outlineLevel="2" x14ac:dyDescent="0.25">
      <c r="A58" s="27"/>
      <c r="B58" s="11" t="str">
        <f>CONCATENATE("          ", "6116", " - ", "EDUCATIONAL BENEFITS")</f>
        <v xml:space="preserve">          6116 - EDUCATIONAL BENEFITS</v>
      </c>
      <c r="C58" s="11"/>
      <c r="D58" s="6"/>
      <c r="E58" s="2"/>
      <c r="F58" s="7">
        <f t="shared" si="14"/>
        <v>0</v>
      </c>
      <c r="G58" s="2"/>
      <c r="H58" s="6">
        <v>0</v>
      </c>
      <c r="I58" s="2"/>
      <c r="J58" s="7">
        <f t="shared" si="15"/>
        <v>0</v>
      </c>
      <c r="K58" s="2"/>
      <c r="L58" s="6">
        <f t="shared" si="16"/>
        <v>0</v>
      </c>
      <c r="M58" s="2"/>
      <c r="N58" s="7">
        <f t="shared" si="17"/>
        <v>0</v>
      </c>
      <c r="O58" s="11"/>
      <c r="P58" s="6"/>
      <c r="Q58" s="2"/>
      <c r="R58" s="7">
        <f t="shared" si="18"/>
        <v>0</v>
      </c>
      <c r="S58" s="2"/>
      <c r="T58" s="6">
        <v>0</v>
      </c>
      <c r="U58" s="2"/>
      <c r="V58" s="7">
        <f t="shared" si="19"/>
        <v>0</v>
      </c>
      <c r="W58" s="2"/>
      <c r="X58" s="6">
        <f t="shared" si="20"/>
        <v>0</v>
      </c>
      <c r="Y58" s="2"/>
      <c r="Z58" s="7">
        <f t="shared" si="21"/>
        <v>0</v>
      </c>
    </row>
    <row r="59" spans="1:26" s="24" customFormat="1" hidden="1" outlineLevel="2" x14ac:dyDescent="0.25">
      <c r="A59" s="27"/>
      <c r="B59" s="11" t="str">
        <f>CONCATENATE("          ", "6118", " - ", "VACATION")</f>
        <v xml:space="preserve">          6118 - VACATION</v>
      </c>
      <c r="C59" s="11"/>
      <c r="D59" s="6">
        <v>138.6</v>
      </c>
      <c r="E59" s="2"/>
      <c r="F59" s="7">
        <f t="shared" si="14"/>
        <v>3.3862890962468388E-3</v>
      </c>
      <c r="G59" s="2"/>
      <c r="H59" s="6">
        <v>75.2350961538462</v>
      </c>
      <c r="I59" s="2"/>
      <c r="J59" s="7">
        <f t="shared" si="15"/>
        <v>1.7518693645602228E-3</v>
      </c>
      <c r="K59" s="2"/>
      <c r="L59" s="6">
        <f t="shared" si="16"/>
        <v>63.364903846153794</v>
      </c>
      <c r="M59" s="2"/>
      <c r="N59" s="7">
        <f t="shared" si="17"/>
        <v>0.84222533213196971</v>
      </c>
      <c r="O59" s="11"/>
      <c r="P59" s="6">
        <v>618.75</v>
      </c>
      <c r="Q59" s="2"/>
      <c r="R59" s="7">
        <f t="shared" si="18"/>
        <v>3.1817502109853912E-3</v>
      </c>
      <c r="S59" s="2"/>
      <c r="T59" s="6">
        <v>270.84634615384624</v>
      </c>
      <c r="U59" s="2"/>
      <c r="V59" s="7">
        <f t="shared" si="19"/>
        <v>1.4185793121367612E-3</v>
      </c>
      <c r="W59" s="2"/>
      <c r="X59" s="6">
        <f t="shared" si="20"/>
        <v>347.90365384615376</v>
      </c>
      <c r="Y59" s="2"/>
      <c r="Z59" s="7">
        <f t="shared" si="21"/>
        <v>1.2845056202033363</v>
      </c>
    </row>
    <row r="60" spans="1:26" s="24" customFormat="1" hidden="1" outlineLevel="2" x14ac:dyDescent="0.25">
      <c r="A60" s="27"/>
      <c r="B60" s="11" t="str">
        <f>CONCATENATE("          ", "6119", " - ", "SICK LEAVE")</f>
        <v xml:space="preserve">          6119 - SICK LEAVE</v>
      </c>
      <c r="C60" s="11"/>
      <c r="D60" s="6">
        <v>166.05</v>
      </c>
      <c r="E60" s="2"/>
      <c r="F60" s="7">
        <f t="shared" si="14"/>
        <v>4.0569502484255962E-3</v>
      </c>
      <c r="G60" s="2"/>
      <c r="H60" s="6">
        <v>127.172605769231</v>
      </c>
      <c r="I60" s="2"/>
      <c r="J60" s="7">
        <f t="shared" si="15"/>
        <v>2.9612481866552499E-3</v>
      </c>
      <c r="K60" s="2"/>
      <c r="L60" s="6">
        <f t="shared" si="16"/>
        <v>38.877394230769013</v>
      </c>
      <c r="M60" s="2"/>
      <c r="N60" s="7">
        <f t="shared" si="17"/>
        <v>0.30570572959176773</v>
      </c>
      <c r="O60" s="11"/>
      <c r="P60" s="6">
        <v>550.32000000000005</v>
      </c>
      <c r="Q60" s="2"/>
      <c r="R60" s="7">
        <f t="shared" si="18"/>
        <v>2.8298679209850194E-3</v>
      </c>
      <c r="S60" s="2"/>
      <c r="T60" s="6">
        <v>489.67238076923195</v>
      </c>
      <c r="U60" s="2"/>
      <c r="V60" s="7">
        <f t="shared" si="19"/>
        <v>2.5646980989339914E-3</v>
      </c>
      <c r="W60" s="2"/>
      <c r="X60" s="6">
        <f t="shared" si="20"/>
        <v>60.6476192307681</v>
      </c>
      <c r="Y60" s="2"/>
      <c r="Z60" s="7">
        <f t="shared" si="21"/>
        <v>0.12385346123768724</v>
      </c>
    </row>
    <row r="61" spans="1:26" s="24" customFormat="1" hidden="1" outlineLevel="2" x14ac:dyDescent="0.25">
      <c r="A61" s="27"/>
      <c r="B61" s="11" t="str">
        <f>CONCATENATE("          ", "6156", " - ", "EMPLOYEE MEALS")</f>
        <v xml:space="preserve">          6156 - EMPLOYEE MEALS</v>
      </c>
      <c r="C61" s="11"/>
      <c r="D61" s="6">
        <v>340.16</v>
      </c>
      <c r="E61" s="2"/>
      <c r="F61" s="7">
        <f t="shared" si="14"/>
        <v>8.3108232249590533E-3</v>
      </c>
      <c r="G61" s="2"/>
      <c r="H61" s="6"/>
      <c r="I61" s="2"/>
      <c r="J61" s="7">
        <f t="shared" si="15"/>
        <v>0</v>
      </c>
      <c r="K61" s="2"/>
      <c r="L61" s="6">
        <f t="shared" si="16"/>
        <v>340.16</v>
      </c>
      <c r="M61" s="2"/>
      <c r="N61" s="7">
        <f t="shared" si="17"/>
        <v>0</v>
      </c>
      <c r="O61" s="11"/>
      <c r="P61" s="6">
        <v>489.5</v>
      </c>
      <c r="Q61" s="2"/>
      <c r="R61" s="7">
        <f t="shared" si="18"/>
        <v>2.5171179446906652E-3</v>
      </c>
      <c r="S61" s="2"/>
      <c r="T61" s="6"/>
      <c r="U61" s="2"/>
      <c r="V61" s="7">
        <f t="shared" si="19"/>
        <v>0</v>
      </c>
      <c r="W61" s="2"/>
      <c r="X61" s="6">
        <f t="shared" si="20"/>
        <v>489.5</v>
      </c>
      <c r="Y61" s="2"/>
      <c r="Z61" s="7">
        <f t="shared" si="21"/>
        <v>0</v>
      </c>
    </row>
    <row r="62" spans="1:26" s="26" customFormat="1" outlineLevel="1" collapsed="1" x14ac:dyDescent="0.25">
      <c r="A62" s="25"/>
      <c r="B62" s="13" t="str">
        <f>CONCATENATE("     ","*Payroll                                          ")</f>
        <v xml:space="preserve">     *Payroll                                          </v>
      </c>
      <c r="C62" s="13"/>
      <c r="D62" s="1">
        <f>SUM(OSRRefD22_1x_0)</f>
        <v>13152.26</v>
      </c>
      <c r="E62" s="1"/>
      <c r="F62" s="5">
        <f t="shared" ref="F62:F72" si="22">IF(D$12=0,0,D62/D$12)</f>
        <v>0.32133733498559486</v>
      </c>
      <c r="G62" s="1"/>
      <c r="H62" s="1">
        <f>SUM(OSRRefH22_1x_0)</f>
        <v>10084.032211538461</v>
      </c>
      <c r="I62" s="1"/>
      <c r="J62" s="5">
        <f t="shared" ref="J62:J72" si="23">IF(H$12=0,0,H62/H$12)</f>
        <v>0.23480939090591668</v>
      </c>
      <c r="K62" s="1"/>
      <c r="L62" s="1">
        <f t="shared" ref="L62:L72" si="24">+D62-H62</f>
        <v>3068.2277884615396</v>
      </c>
      <c r="M62" s="1"/>
      <c r="N62" s="5">
        <f t="shared" ref="N62:N72" si="25">IF(H62=0,0,L62/H62)</f>
        <v>0.30426596465556494</v>
      </c>
      <c r="O62" s="13"/>
      <c r="P62" s="1">
        <f>SUM(OSRRefP22_1x_0)</f>
        <v>44318.28</v>
      </c>
      <c r="Q62" s="1"/>
      <c r="R62" s="5">
        <f t="shared" ref="R62:R72" si="26">IF(P$12=0,0,P62/P$12)</f>
        <v>0.22789445937860145</v>
      </c>
      <c r="S62" s="1"/>
      <c r="T62" s="1">
        <f>SUM(OSRRefT22_1x_0)</f>
        <v>39487.61596153846</v>
      </c>
      <c r="U62" s="1"/>
      <c r="V62" s="5">
        <f t="shared" ref="V62:V72" si="27">IF(T$12=0,0,T62/T$12)</f>
        <v>0.20681953396861191</v>
      </c>
      <c r="W62" s="1"/>
      <c r="X62" s="1">
        <f t="shared" ref="X62:X72" si="28">+P62-T62</f>
        <v>4830.6640384615384</v>
      </c>
      <c r="Y62" s="1"/>
      <c r="Z62" s="5">
        <f t="shared" ref="Z62:Z72" si="29">IF(T62=0,0,X62/T62)</f>
        <v>0.12233364615292751</v>
      </c>
    </row>
    <row r="63" spans="1:26" s="24" customFormat="1" hidden="1" outlineLevel="2" x14ac:dyDescent="0.25">
      <c r="A63" s="27"/>
      <c r="B63" s="11" t="str">
        <f>CONCATENATE("          ", "6001", " - ", "ADMINISTRATIVE SALARIES")</f>
        <v xml:space="preserve">          6001 - ADMINISTRATIVE SALARIES</v>
      </c>
      <c r="C63" s="11"/>
      <c r="D63" s="6"/>
      <c r="E63" s="2"/>
      <c r="F63" s="7">
        <f t="shared" si="22"/>
        <v>0</v>
      </c>
      <c r="G63" s="2"/>
      <c r="H63" s="6">
        <v>0</v>
      </c>
      <c r="I63" s="2"/>
      <c r="J63" s="7">
        <f t="shared" si="23"/>
        <v>0</v>
      </c>
      <c r="K63" s="2"/>
      <c r="L63" s="6">
        <f t="shared" si="24"/>
        <v>0</v>
      </c>
      <c r="M63" s="2"/>
      <c r="N63" s="7">
        <f t="shared" si="25"/>
        <v>0</v>
      </c>
      <c r="O63" s="11"/>
      <c r="P63" s="6"/>
      <c r="Q63" s="2"/>
      <c r="R63" s="7">
        <f t="shared" si="26"/>
        <v>0</v>
      </c>
      <c r="S63" s="2"/>
      <c r="T63" s="6">
        <v>0</v>
      </c>
      <c r="U63" s="2"/>
      <c r="V63" s="7">
        <f t="shared" si="27"/>
        <v>0</v>
      </c>
      <c r="W63" s="2"/>
      <c r="X63" s="6">
        <f t="shared" si="28"/>
        <v>0</v>
      </c>
      <c r="Y63" s="2"/>
      <c r="Z63" s="7">
        <f t="shared" si="29"/>
        <v>0</v>
      </c>
    </row>
    <row r="64" spans="1:26" s="24" customFormat="1" hidden="1" outlineLevel="2" x14ac:dyDescent="0.25">
      <c r="A64" s="27"/>
      <c r="B64" s="11" t="str">
        <f>CONCATENATE("          ", "6002", " - ", "STAFF SALARIES")</f>
        <v xml:space="preserve">          6002 - STAFF SALARIES</v>
      </c>
      <c r="C64" s="11"/>
      <c r="D64" s="6">
        <v>3000</v>
      </c>
      <c r="E64" s="2"/>
      <c r="F64" s="7">
        <f t="shared" si="22"/>
        <v>7.3296300784563617E-2</v>
      </c>
      <c r="G64" s="2"/>
      <c r="H64" s="6">
        <v>2382.4447115384601</v>
      </c>
      <c r="I64" s="2"/>
      <c r="J64" s="7">
        <f t="shared" si="23"/>
        <v>5.5475863211073652E-2</v>
      </c>
      <c r="K64" s="2"/>
      <c r="L64" s="6">
        <f t="shared" si="24"/>
        <v>617.55528846153993</v>
      </c>
      <c r="M64" s="2"/>
      <c r="N64" s="7">
        <f t="shared" si="25"/>
        <v>0.2592107533369597</v>
      </c>
      <c r="O64" s="11"/>
      <c r="P64" s="6">
        <v>6861.9</v>
      </c>
      <c r="Q64" s="2"/>
      <c r="R64" s="7">
        <f t="shared" si="26"/>
        <v>3.528541700648187E-2</v>
      </c>
      <c r="S64" s="2"/>
      <c r="T64" s="6">
        <v>8576.8009615384617</v>
      </c>
      <c r="U64" s="2"/>
      <c r="V64" s="7">
        <f t="shared" si="27"/>
        <v>4.4921678217664095E-2</v>
      </c>
      <c r="W64" s="2"/>
      <c r="X64" s="6">
        <f t="shared" si="28"/>
        <v>-1714.9009615384621</v>
      </c>
      <c r="Y64" s="2"/>
      <c r="Z64" s="7">
        <f t="shared" si="29"/>
        <v>-0.19994645663677055</v>
      </c>
    </row>
    <row r="65" spans="1:26" s="24" customFormat="1" hidden="1" outlineLevel="2" x14ac:dyDescent="0.25">
      <c r="A65" s="27"/>
      <c r="B65" s="11" t="str">
        <f>CONCATENATE("          ", "6003", " - ", "STAFF HOURLY-9 MONTH")</f>
        <v xml:space="preserve">          6003 - STAFF HOURLY-9 MONTH</v>
      </c>
      <c r="C65" s="11"/>
      <c r="D65" s="6"/>
      <c r="E65" s="2"/>
      <c r="F65" s="7">
        <f t="shared" si="22"/>
        <v>0</v>
      </c>
      <c r="G65" s="2"/>
      <c r="H65" s="6">
        <v>0</v>
      </c>
      <c r="I65" s="2"/>
      <c r="J65" s="7">
        <f t="shared" si="23"/>
        <v>0</v>
      </c>
      <c r="K65" s="2"/>
      <c r="L65" s="6">
        <f t="shared" si="24"/>
        <v>0</v>
      </c>
      <c r="M65" s="2"/>
      <c r="N65" s="7">
        <f t="shared" si="25"/>
        <v>0</v>
      </c>
      <c r="O65" s="11"/>
      <c r="P65" s="6"/>
      <c r="Q65" s="2"/>
      <c r="R65" s="7">
        <f t="shared" si="26"/>
        <v>0</v>
      </c>
      <c r="S65" s="2"/>
      <c r="T65" s="6">
        <v>0</v>
      </c>
      <c r="U65" s="2"/>
      <c r="V65" s="7">
        <f t="shared" si="27"/>
        <v>0</v>
      </c>
      <c r="W65" s="2"/>
      <c r="X65" s="6">
        <f t="shared" si="28"/>
        <v>0</v>
      </c>
      <c r="Y65" s="2"/>
      <c r="Z65" s="7">
        <f t="shared" si="29"/>
        <v>0</v>
      </c>
    </row>
    <row r="66" spans="1:26" s="24" customFormat="1" hidden="1" outlineLevel="2" x14ac:dyDescent="0.25">
      <c r="A66" s="27"/>
      <c r="B66" s="11" t="str">
        <f>CONCATENATE("          ", "6004", " - ", "STAFF HOURLY")</f>
        <v xml:space="preserve">          6004 - STAFF HOURLY</v>
      </c>
      <c r="C66" s="11"/>
      <c r="D66" s="6"/>
      <c r="E66" s="2"/>
      <c r="F66" s="7">
        <f t="shared" si="22"/>
        <v>0</v>
      </c>
      <c r="G66" s="2"/>
      <c r="H66" s="6">
        <v>2277.5875000000001</v>
      </c>
      <c r="I66" s="2"/>
      <c r="J66" s="7">
        <f t="shared" si="23"/>
        <v>5.3034234955933214E-2</v>
      </c>
      <c r="K66" s="2"/>
      <c r="L66" s="6">
        <f t="shared" si="24"/>
        <v>-2277.5875000000001</v>
      </c>
      <c r="M66" s="2"/>
      <c r="N66" s="7">
        <f t="shared" si="25"/>
        <v>-1</v>
      </c>
      <c r="O66" s="11"/>
      <c r="P66" s="6"/>
      <c r="Q66" s="2"/>
      <c r="R66" s="7">
        <f t="shared" si="26"/>
        <v>0</v>
      </c>
      <c r="S66" s="2"/>
      <c r="T66" s="6">
        <v>8199.3150000000005</v>
      </c>
      <c r="U66" s="2"/>
      <c r="V66" s="7">
        <f t="shared" si="27"/>
        <v>4.294456542561504E-2</v>
      </c>
      <c r="W66" s="2"/>
      <c r="X66" s="6">
        <f t="shared" si="28"/>
        <v>-8199.3150000000005</v>
      </c>
      <c r="Y66" s="2"/>
      <c r="Z66" s="7">
        <f t="shared" si="29"/>
        <v>-1</v>
      </c>
    </row>
    <row r="67" spans="1:26" s="24" customFormat="1" hidden="1" outlineLevel="2" x14ac:dyDescent="0.25">
      <c r="A67" s="27"/>
      <c r="B67" s="11" t="str">
        <f>CONCATENATE("          ", "6005", " - ", "TEMPORARY WAGES-HOURLY")</f>
        <v xml:space="preserve">          6005 - TEMPORARY WAGES-HOURLY</v>
      </c>
      <c r="C67" s="11"/>
      <c r="D67" s="6">
        <v>550.25</v>
      </c>
      <c r="E67" s="2"/>
      <c r="F67" s="7">
        <f t="shared" si="22"/>
        <v>1.3443763168902043E-2</v>
      </c>
      <c r="G67" s="2"/>
      <c r="H67" s="6">
        <v>0</v>
      </c>
      <c r="I67" s="2"/>
      <c r="J67" s="7">
        <f t="shared" si="23"/>
        <v>0</v>
      </c>
      <c r="K67" s="2"/>
      <c r="L67" s="6">
        <f t="shared" si="24"/>
        <v>550.25</v>
      </c>
      <c r="M67" s="2"/>
      <c r="N67" s="7">
        <f t="shared" si="25"/>
        <v>0</v>
      </c>
      <c r="O67" s="11"/>
      <c r="P67" s="6">
        <v>882.6</v>
      </c>
      <c r="Q67" s="2"/>
      <c r="R67" s="7">
        <f t="shared" si="26"/>
        <v>4.53852563428801E-3</v>
      </c>
      <c r="S67" s="2"/>
      <c r="T67" s="6">
        <v>0</v>
      </c>
      <c r="U67" s="2"/>
      <c r="V67" s="7">
        <f t="shared" si="27"/>
        <v>0</v>
      </c>
      <c r="W67" s="2"/>
      <c r="X67" s="6">
        <f t="shared" si="28"/>
        <v>882.6</v>
      </c>
      <c r="Y67" s="2"/>
      <c r="Z67" s="7">
        <f t="shared" si="29"/>
        <v>0</v>
      </c>
    </row>
    <row r="68" spans="1:26" s="24" customFormat="1" hidden="1" outlineLevel="2" x14ac:dyDescent="0.25">
      <c r="A68" s="27"/>
      <c r="B68" s="11" t="str">
        <f>CONCATENATE("          ", "6006", " - ", "TEMPORARY PART TIME")</f>
        <v xml:space="preserve">          6006 - TEMPORARY PART TIME</v>
      </c>
      <c r="C68" s="11"/>
      <c r="D68" s="6"/>
      <c r="E68" s="2"/>
      <c r="F68" s="7">
        <f t="shared" si="22"/>
        <v>0</v>
      </c>
      <c r="G68" s="2"/>
      <c r="H68" s="6">
        <v>0</v>
      </c>
      <c r="I68" s="2"/>
      <c r="J68" s="7">
        <f t="shared" si="23"/>
        <v>0</v>
      </c>
      <c r="K68" s="2"/>
      <c r="L68" s="6">
        <f t="shared" si="24"/>
        <v>0</v>
      </c>
      <c r="M68" s="2"/>
      <c r="N68" s="7">
        <f t="shared" si="25"/>
        <v>0</v>
      </c>
      <c r="O68" s="11"/>
      <c r="P68" s="6"/>
      <c r="Q68" s="2"/>
      <c r="R68" s="7">
        <f t="shared" si="26"/>
        <v>0</v>
      </c>
      <c r="S68" s="2"/>
      <c r="T68" s="6">
        <v>0</v>
      </c>
      <c r="U68" s="2"/>
      <c r="V68" s="7">
        <f t="shared" si="27"/>
        <v>0</v>
      </c>
      <c r="W68" s="2"/>
      <c r="X68" s="6">
        <f t="shared" si="28"/>
        <v>0</v>
      </c>
      <c r="Y68" s="2"/>
      <c r="Z68" s="7">
        <f t="shared" si="29"/>
        <v>0</v>
      </c>
    </row>
    <row r="69" spans="1:26" s="24" customFormat="1" hidden="1" outlineLevel="2" x14ac:dyDescent="0.25">
      <c r="A69" s="27"/>
      <c r="B69" s="11" t="str">
        <f>CONCATENATE("          ", "6007", " - ", "STUDENT HOURLY")</f>
        <v xml:space="preserve">          6007 - STUDENT HOURLY</v>
      </c>
      <c r="C69" s="11"/>
      <c r="D69" s="6">
        <v>9602.01</v>
      </c>
      <c r="E69" s="2"/>
      <c r="F69" s="7">
        <f t="shared" si="22"/>
        <v>0.23459727103212921</v>
      </c>
      <c r="G69" s="2"/>
      <c r="H69" s="6">
        <v>0</v>
      </c>
      <c r="I69" s="2"/>
      <c r="J69" s="7">
        <f t="shared" si="23"/>
        <v>0</v>
      </c>
      <c r="K69" s="2"/>
      <c r="L69" s="6">
        <f t="shared" si="24"/>
        <v>9602.01</v>
      </c>
      <c r="M69" s="2"/>
      <c r="N69" s="7">
        <f t="shared" si="25"/>
        <v>0</v>
      </c>
      <c r="O69" s="11"/>
      <c r="P69" s="6">
        <v>36573.78</v>
      </c>
      <c r="Q69" s="2"/>
      <c r="R69" s="7">
        <f t="shared" si="26"/>
        <v>0.18807051673783157</v>
      </c>
      <c r="S69" s="2"/>
      <c r="T69" s="6">
        <v>13015.5</v>
      </c>
      <c r="U69" s="2"/>
      <c r="V69" s="7">
        <f t="shared" si="27"/>
        <v>6.8169717994380333E-2</v>
      </c>
      <c r="W69" s="2"/>
      <c r="X69" s="6">
        <f t="shared" si="28"/>
        <v>23558.28</v>
      </c>
      <c r="Y69" s="2"/>
      <c r="Z69" s="7">
        <f t="shared" si="29"/>
        <v>1.8100172870807882</v>
      </c>
    </row>
    <row r="70" spans="1:26" s="24" customFormat="1" hidden="1" outlineLevel="2" x14ac:dyDescent="0.25">
      <c r="A70" s="27"/>
      <c r="B70" s="11" t="str">
        <f>CONCATENATE("          ", "6008", " - ", "STUDENT HOURLY-FICA EXEMPT")</f>
        <v xml:space="preserve">          6008 - STUDENT HOURLY-FICA EXEMPT</v>
      </c>
      <c r="C70" s="11"/>
      <c r="D70" s="6"/>
      <c r="E70" s="2"/>
      <c r="F70" s="7">
        <f t="shared" si="22"/>
        <v>0</v>
      </c>
      <c r="G70" s="2"/>
      <c r="H70" s="6">
        <v>5424</v>
      </c>
      <c r="I70" s="2"/>
      <c r="J70" s="7">
        <f t="shared" si="23"/>
        <v>0.1262992927389098</v>
      </c>
      <c r="K70" s="2"/>
      <c r="L70" s="6">
        <f t="shared" si="24"/>
        <v>-5424</v>
      </c>
      <c r="M70" s="2"/>
      <c r="N70" s="7">
        <f t="shared" si="25"/>
        <v>-1</v>
      </c>
      <c r="O70" s="11"/>
      <c r="P70" s="6"/>
      <c r="Q70" s="2"/>
      <c r="R70" s="7">
        <f t="shared" si="26"/>
        <v>0</v>
      </c>
      <c r="S70" s="2"/>
      <c r="T70" s="6">
        <v>9696</v>
      </c>
      <c r="U70" s="2"/>
      <c r="V70" s="7">
        <f t="shared" si="27"/>
        <v>5.0783572330952459E-2</v>
      </c>
      <c r="W70" s="2"/>
      <c r="X70" s="6">
        <f t="shared" si="28"/>
        <v>-9696</v>
      </c>
      <c r="Y70" s="2"/>
      <c r="Z70" s="7">
        <f t="shared" si="29"/>
        <v>-1</v>
      </c>
    </row>
    <row r="71" spans="1:26" s="24" customFormat="1" hidden="1" outlineLevel="2" x14ac:dyDescent="0.25">
      <c r="A71" s="27"/>
      <c r="B71" s="11" t="str">
        <f>CONCATENATE("          ", "6009", " - ", "TEMPORARY-SEASONAL")</f>
        <v xml:space="preserve">          6009 - TEMPORARY-SEASONAL</v>
      </c>
      <c r="C71" s="11"/>
      <c r="D71" s="6"/>
      <c r="E71" s="2"/>
      <c r="F71" s="7">
        <f t="shared" si="22"/>
        <v>0</v>
      </c>
      <c r="G71" s="2"/>
      <c r="H71" s="6">
        <v>0</v>
      </c>
      <c r="I71" s="2"/>
      <c r="J71" s="7">
        <f t="shared" si="23"/>
        <v>0</v>
      </c>
      <c r="K71" s="2"/>
      <c r="L71" s="6">
        <f t="shared" si="24"/>
        <v>0</v>
      </c>
      <c r="M71" s="2"/>
      <c r="N71" s="7">
        <f t="shared" si="25"/>
        <v>0</v>
      </c>
      <c r="O71" s="11"/>
      <c r="P71" s="6"/>
      <c r="Q71" s="2"/>
      <c r="R71" s="7">
        <f t="shared" si="26"/>
        <v>0</v>
      </c>
      <c r="S71" s="2"/>
      <c r="T71" s="6">
        <v>0</v>
      </c>
      <c r="U71" s="2"/>
      <c r="V71" s="7">
        <f t="shared" si="27"/>
        <v>0</v>
      </c>
      <c r="W71" s="2"/>
      <c r="X71" s="6">
        <f t="shared" si="28"/>
        <v>0</v>
      </c>
      <c r="Y71" s="2"/>
      <c r="Z71" s="7">
        <f t="shared" si="29"/>
        <v>0</v>
      </c>
    </row>
    <row r="72" spans="1:26" s="24" customFormat="1" hidden="1" outlineLevel="2" x14ac:dyDescent="0.25">
      <c r="A72" s="27"/>
      <c r="B72" s="11" t="str">
        <f>CONCATENATE("          ", "6010", " - ", "GRATUITY")</f>
        <v xml:space="preserve">          6010 - GRATUITY</v>
      </c>
      <c r="C72" s="11"/>
      <c r="D72" s="6"/>
      <c r="E72" s="2"/>
      <c r="F72" s="7">
        <f t="shared" si="22"/>
        <v>0</v>
      </c>
      <c r="G72" s="2"/>
      <c r="H72" s="6">
        <v>0</v>
      </c>
      <c r="I72" s="2"/>
      <c r="J72" s="7">
        <f t="shared" si="23"/>
        <v>0</v>
      </c>
      <c r="K72" s="2"/>
      <c r="L72" s="6">
        <f t="shared" si="24"/>
        <v>0</v>
      </c>
      <c r="M72" s="2"/>
      <c r="N72" s="7">
        <f t="shared" si="25"/>
        <v>0</v>
      </c>
      <c r="O72" s="11"/>
      <c r="P72" s="6"/>
      <c r="Q72" s="2"/>
      <c r="R72" s="7">
        <f t="shared" si="26"/>
        <v>0</v>
      </c>
      <c r="S72" s="2"/>
      <c r="T72" s="6">
        <v>0</v>
      </c>
      <c r="U72" s="2"/>
      <c r="V72" s="7">
        <f t="shared" si="27"/>
        <v>0</v>
      </c>
      <c r="W72" s="2"/>
      <c r="X72" s="6">
        <f t="shared" si="28"/>
        <v>0</v>
      </c>
      <c r="Y72" s="2"/>
      <c r="Z72" s="7">
        <f t="shared" si="29"/>
        <v>0</v>
      </c>
    </row>
    <row r="73" spans="1:26" s="26" customFormat="1" outlineLevel="1" collapsed="1" x14ac:dyDescent="0.25">
      <c r="A73" s="25"/>
      <c r="B73" s="13" t="str">
        <f>CONCATENATE("     ","Advertising/Promo                                 ")</f>
        <v xml:space="preserve">     Advertising/Promo                                 </v>
      </c>
      <c r="C73" s="13"/>
      <c r="D73" s="1">
        <f>SUM(OSRRefD22_2x_0)</f>
        <v>336.34</v>
      </c>
      <c r="E73" s="1"/>
      <c r="F73" s="5">
        <f t="shared" ref="F73:F77" si="30">IF(D$12=0,0,D73/D$12)</f>
        <v>8.2174926019600407E-3</v>
      </c>
      <c r="G73" s="1"/>
      <c r="H73" s="1">
        <f>SUM(OSRRefH22_2x_0)</f>
        <v>500</v>
      </c>
      <c r="I73" s="1"/>
      <c r="J73" s="5">
        <f t="shared" ref="J73:J77" si="31">IF(H$12=0,0,H73/H$12)</f>
        <v>1.1642633917672365E-2</v>
      </c>
      <c r="K73" s="1"/>
      <c r="L73" s="1">
        <f t="shared" ref="L73:L77" si="32">+D73-H73</f>
        <v>-163.66000000000003</v>
      </c>
      <c r="M73" s="1"/>
      <c r="N73" s="5">
        <f t="shared" ref="N73:N77" si="33">IF(H73=0,0,L73/H73)</f>
        <v>-0.32732000000000006</v>
      </c>
      <c r="O73" s="13"/>
      <c r="P73" s="1">
        <f>SUM(OSRRefP22_2x_0)</f>
        <v>1257.73</v>
      </c>
      <c r="Q73" s="1"/>
      <c r="R73" s="5">
        <f t="shared" ref="R73:R77" si="34">IF(P$12=0,0,P73/P$12)</f>
        <v>6.4675275844244947E-3</v>
      </c>
      <c r="S73" s="1"/>
      <c r="T73" s="1">
        <f>SUM(OSRRefT22_2x_0)</f>
        <v>1650</v>
      </c>
      <c r="U73" s="1"/>
      <c r="V73" s="5">
        <f t="shared" ref="V73:V77" si="35">IF(T$12=0,0,T73/T$12)</f>
        <v>8.6420064300816377E-3</v>
      </c>
      <c r="W73" s="1"/>
      <c r="X73" s="1">
        <f t="shared" ref="X73:X77" si="36">+P73-T73</f>
        <v>-392.27</v>
      </c>
      <c r="Y73" s="1"/>
      <c r="Z73" s="5">
        <f t="shared" ref="Z73:Z77" si="37">IF(T73=0,0,X73/T73)</f>
        <v>-0.23773939393939392</v>
      </c>
    </row>
    <row r="74" spans="1:26" s="24" customFormat="1" hidden="1" outlineLevel="2" x14ac:dyDescent="0.25">
      <c r="A74" s="27"/>
      <c r="B74" s="11" t="str">
        <f>CONCATENATE("          ", "6362", " - ", "ADVERTISING EXPENSE")</f>
        <v xml:space="preserve">          6362 - ADVERTISING EXPENSE</v>
      </c>
      <c r="C74" s="11"/>
      <c r="D74" s="6">
        <v>336.34</v>
      </c>
      <c r="E74" s="2"/>
      <c r="F74" s="7">
        <f t="shared" si="30"/>
        <v>8.2174926019600407E-3</v>
      </c>
      <c r="G74" s="2"/>
      <c r="H74" s="6">
        <v>500</v>
      </c>
      <c r="I74" s="2"/>
      <c r="J74" s="7">
        <f t="shared" si="31"/>
        <v>1.1642633917672365E-2</v>
      </c>
      <c r="K74" s="2"/>
      <c r="L74" s="6">
        <f t="shared" si="32"/>
        <v>-163.66000000000003</v>
      </c>
      <c r="M74" s="2"/>
      <c r="N74" s="7">
        <f t="shared" si="33"/>
        <v>-0.32732000000000006</v>
      </c>
      <c r="O74" s="11"/>
      <c r="P74" s="6">
        <v>1257.73</v>
      </c>
      <c r="Q74" s="2"/>
      <c r="R74" s="7">
        <f t="shared" si="34"/>
        <v>6.4675275844244947E-3</v>
      </c>
      <c r="S74" s="2"/>
      <c r="T74" s="6">
        <v>1650</v>
      </c>
      <c r="U74" s="2"/>
      <c r="V74" s="7">
        <f t="shared" si="35"/>
        <v>8.6420064300816377E-3</v>
      </c>
      <c r="W74" s="2"/>
      <c r="X74" s="6">
        <f t="shared" si="36"/>
        <v>-392.27</v>
      </c>
      <c r="Y74" s="2"/>
      <c r="Z74" s="7">
        <f t="shared" si="37"/>
        <v>-0.23773939393939392</v>
      </c>
    </row>
    <row r="75" spans="1:26" s="26" customFormat="1" outlineLevel="1" collapsed="1" x14ac:dyDescent="0.25">
      <c r="A75" s="25"/>
      <c r="B75" s="13" t="str">
        <f>CONCATENATE("     ","Bad Debts/Over/Short                              ")</f>
        <v xml:space="preserve">     Bad Debts/Over/Short                              </v>
      </c>
      <c r="C75" s="13"/>
      <c r="D75" s="1">
        <f>SUM(OSRRefD22_3x_0)</f>
        <v>-6.68</v>
      </c>
      <c r="E75" s="1"/>
      <c r="F75" s="5">
        <f t="shared" si="30"/>
        <v>-1.6320642974696164E-4</v>
      </c>
      <c r="G75" s="1"/>
      <c r="H75" s="1">
        <f>SUM(OSRRefH22_3x_0)</f>
        <v>10</v>
      </c>
      <c r="I75" s="1"/>
      <c r="J75" s="5">
        <f t="shared" si="31"/>
        <v>2.3285267835344728E-4</v>
      </c>
      <c r="K75" s="1"/>
      <c r="L75" s="1">
        <f t="shared" si="32"/>
        <v>-16.68</v>
      </c>
      <c r="M75" s="1"/>
      <c r="N75" s="5">
        <f t="shared" si="33"/>
        <v>-1.6679999999999999</v>
      </c>
      <c r="O75" s="13"/>
      <c r="P75" s="1">
        <f>SUM(OSRRefP22_3x_0)</f>
        <v>23.03</v>
      </c>
      <c r="Q75" s="1"/>
      <c r="R75" s="5">
        <f t="shared" si="34"/>
        <v>1.1842538563069667E-4</v>
      </c>
      <c r="S75" s="1"/>
      <c r="T75" s="1">
        <f>SUM(OSRRefT22_3x_0)</f>
        <v>40</v>
      </c>
      <c r="U75" s="1"/>
      <c r="V75" s="5">
        <f t="shared" si="35"/>
        <v>2.0950318618379726E-4</v>
      </c>
      <c r="W75" s="1"/>
      <c r="X75" s="1">
        <f t="shared" si="36"/>
        <v>-16.97</v>
      </c>
      <c r="Y75" s="1"/>
      <c r="Z75" s="5">
        <f t="shared" si="37"/>
        <v>-0.42424999999999996</v>
      </c>
    </row>
    <row r="76" spans="1:26" s="24" customFormat="1" hidden="1" outlineLevel="2" x14ac:dyDescent="0.25">
      <c r="A76" s="27"/>
      <c r="B76" s="11" t="str">
        <f>CONCATENATE("          ", "6272", " - ", "CASH (OVER/SHORT)")</f>
        <v xml:space="preserve">          6272 - CASH (OVER/SHORT)</v>
      </c>
      <c r="C76" s="11"/>
      <c r="D76" s="6">
        <v>-6.68</v>
      </c>
      <c r="E76" s="2"/>
      <c r="F76" s="7">
        <f t="shared" si="30"/>
        <v>-1.6320642974696164E-4</v>
      </c>
      <c r="G76" s="2"/>
      <c r="H76" s="6"/>
      <c r="I76" s="2"/>
      <c r="J76" s="7">
        <f t="shared" si="31"/>
        <v>0</v>
      </c>
      <c r="K76" s="2"/>
      <c r="L76" s="6">
        <f t="shared" si="32"/>
        <v>-6.68</v>
      </c>
      <c r="M76" s="2"/>
      <c r="N76" s="7">
        <f t="shared" si="33"/>
        <v>0</v>
      </c>
      <c r="O76" s="11"/>
      <c r="P76" s="6">
        <v>23.03</v>
      </c>
      <c r="Q76" s="2"/>
      <c r="R76" s="7">
        <f t="shared" si="34"/>
        <v>1.1842538563069667E-4</v>
      </c>
      <c r="S76" s="2"/>
      <c r="T76" s="6"/>
      <c r="U76" s="2"/>
      <c r="V76" s="7">
        <f t="shared" si="35"/>
        <v>0</v>
      </c>
      <c r="W76" s="2"/>
      <c r="X76" s="6">
        <f t="shared" si="36"/>
        <v>23.03</v>
      </c>
      <c r="Y76" s="2"/>
      <c r="Z76" s="7">
        <f t="shared" si="37"/>
        <v>0</v>
      </c>
    </row>
    <row r="77" spans="1:26" s="24" customFormat="1" hidden="1" outlineLevel="2" x14ac:dyDescent="0.25">
      <c r="A77" s="27"/>
      <c r="B77" s="11" t="str">
        <f>CONCATENATE("          ", "6342", " - ", "BAD DEBT")</f>
        <v xml:space="preserve">          6342 - BAD DEBT</v>
      </c>
      <c r="C77" s="11"/>
      <c r="D77" s="6"/>
      <c r="E77" s="2"/>
      <c r="F77" s="7">
        <f t="shared" si="30"/>
        <v>0</v>
      </c>
      <c r="G77" s="2"/>
      <c r="H77" s="6">
        <v>10</v>
      </c>
      <c r="I77" s="2"/>
      <c r="J77" s="7">
        <f t="shared" si="31"/>
        <v>2.3285267835344728E-4</v>
      </c>
      <c r="K77" s="2"/>
      <c r="L77" s="6">
        <f t="shared" si="32"/>
        <v>-10</v>
      </c>
      <c r="M77" s="2"/>
      <c r="N77" s="7">
        <f t="shared" si="33"/>
        <v>-1</v>
      </c>
      <c r="O77" s="11"/>
      <c r="P77" s="6"/>
      <c r="Q77" s="2"/>
      <c r="R77" s="7">
        <f t="shared" si="34"/>
        <v>0</v>
      </c>
      <c r="S77" s="2"/>
      <c r="T77" s="6">
        <v>40</v>
      </c>
      <c r="U77" s="2"/>
      <c r="V77" s="7">
        <f t="shared" si="35"/>
        <v>2.0950318618379726E-4</v>
      </c>
      <c r="W77" s="2"/>
      <c r="X77" s="6">
        <f t="shared" si="36"/>
        <v>-40</v>
      </c>
      <c r="Y77" s="2"/>
      <c r="Z77" s="7">
        <f t="shared" si="37"/>
        <v>-1</v>
      </c>
    </row>
    <row r="78" spans="1:26" s="26" customFormat="1" outlineLevel="1" collapsed="1" x14ac:dyDescent="0.25">
      <c r="A78" s="25"/>
      <c r="B78" s="13" t="str">
        <f>CONCATENATE("     ","Bank/card Fees                                    ")</f>
        <v xml:space="preserve">     Bank/card Fees                                    </v>
      </c>
      <c r="C78" s="13"/>
      <c r="D78" s="1">
        <f>SUM(OSRRefD22_4x_0)</f>
        <v>566.46</v>
      </c>
      <c r="E78" s="1"/>
      <c r="F78" s="5">
        <f t="shared" ref="F78:F98" si="38">IF(D$12=0,0,D78/D$12)</f>
        <v>1.3839807514141302E-2</v>
      </c>
      <c r="G78" s="1"/>
      <c r="H78" s="1">
        <f>SUM(OSRRefH22_4x_0)</f>
        <v>550</v>
      </c>
      <c r="I78" s="1"/>
      <c r="J78" s="5">
        <f t="shared" ref="J78:J98" si="39">IF(H$12=0,0,H78/H$12)</f>
        <v>1.28068973094396E-2</v>
      </c>
      <c r="K78" s="1"/>
      <c r="L78" s="1">
        <f t="shared" ref="L78:L98" si="40">+D78-H78</f>
        <v>16.460000000000036</v>
      </c>
      <c r="M78" s="1"/>
      <c r="N78" s="5">
        <f t="shared" ref="N78:N98" si="41">IF(H78=0,0,L78/H78)</f>
        <v>2.9927272727272792E-2</v>
      </c>
      <c r="O78" s="13"/>
      <c r="P78" s="1">
        <f>SUM(OSRRefP22_4x_0)</f>
        <v>2589.2399999999998</v>
      </c>
      <c r="Q78" s="1"/>
      <c r="R78" s="5">
        <f t="shared" ref="R78:R98" si="42">IF(P$12=0,0,P78/P$12)</f>
        <v>1.3314448349562528E-2</v>
      </c>
      <c r="S78" s="1"/>
      <c r="T78" s="1">
        <f>SUM(OSRRefT22_4x_0)</f>
        <v>2245</v>
      </c>
      <c r="U78" s="1"/>
      <c r="V78" s="5">
        <f t="shared" ref="V78:V98" si="43">IF(T$12=0,0,T78/T$12)</f>
        <v>1.1758366324565622E-2</v>
      </c>
      <c r="W78" s="1"/>
      <c r="X78" s="1">
        <f t="shared" ref="X78:X98" si="44">+P78-T78</f>
        <v>344.23999999999978</v>
      </c>
      <c r="Y78" s="1"/>
      <c r="Z78" s="5">
        <f t="shared" ref="Z78:Z98" si="45">IF(T78=0,0,X78/T78)</f>
        <v>0.15333630289532285</v>
      </c>
    </row>
    <row r="79" spans="1:26" s="24" customFormat="1" hidden="1" outlineLevel="2" x14ac:dyDescent="0.25">
      <c r="A79" s="27"/>
      <c r="B79" s="11" t="str">
        <f>CONCATENATE("          ", "6381", " - ", "BANK/CREDIT CARD FEES")</f>
        <v xml:space="preserve">          6381 - BANK/CREDIT CARD FEES</v>
      </c>
      <c r="C79" s="11"/>
      <c r="D79" s="6">
        <v>566.46</v>
      </c>
      <c r="E79" s="2"/>
      <c r="F79" s="7">
        <f t="shared" si="38"/>
        <v>1.3839807514141302E-2</v>
      </c>
      <c r="G79" s="2"/>
      <c r="H79" s="6">
        <v>550</v>
      </c>
      <c r="I79" s="2"/>
      <c r="J79" s="7">
        <f t="shared" si="39"/>
        <v>1.28068973094396E-2</v>
      </c>
      <c r="K79" s="2"/>
      <c r="L79" s="6">
        <f t="shared" si="40"/>
        <v>16.460000000000036</v>
      </c>
      <c r="M79" s="2"/>
      <c r="N79" s="7">
        <f t="shared" si="41"/>
        <v>2.9927272727272792E-2</v>
      </c>
      <c r="O79" s="11"/>
      <c r="P79" s="6">
        <v>2589.2399999999998</v>
      </c>
      <c r="Q79" s="2"/>
      <c r="R79" s="7">
        <f t="shared" si="42"/>
        <v>1.3314448349562528E-2</v>
      </c>
      <c r="S79" s="2"/>
      <c r="T79" s="6">
        <v>2245</v>
      </c>
      <c r="U79" s="2"/>
      <c r="V79" s="7">
        <f t="shared" si="43"/>
        <v>1.1758366324565622E-2</v>
      </c>
      <c r="W79" s="2"/>
      <c r="X79" s="6">
        <f t="shared" si="44"/>
        <v>344.23999999999978</v>
      </c>
      <c r="Y79" s="2"/>
      <c r="Z79" s="7">
        <f t="shared" si="45"/>
        <v>0.15333630289532285</v>
      </c>
    </row>
    <row r="80" spans="1:26" s="26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SUM(OSRRefD22_5x_0)</f>
        <v>5568.47</v>
      </c>
      <c r="E80" s="1"/>
      <c r="F80" s="5">
        <f t="shared" si="38"/>
        <v>0.136049417343273</v>
      </c>
      <c r="G80" s="1"/>
      <c r="H80" s="1">
        <f>SUM(OSRRefH22_5x_0)</f>
        <v>3000</v>
      </c>
      <c r="I80" s="1"/>
      <c r="J80" s="5">
        <f t="shared" si="39"/>
        <v>6.9855803506034181E-2</v>
      </c>
      <c r="K80" s="1"/>
      <c r="L80" s="1">
        <f t="shared" si="40"/>
        <v>2568.4700000000003</v>
      </c>
      <c r="M80" s="1"/>
      <c r="N80" s="5">
        <f t="shared" si="41"/>
        <v>0.85615666666666679</v>
      </c>
      <c r="O80" s="13"/>
      <c r="P80" s="1">
        <f>SUM(OSRRefP22_5x_0)</f>
        <v>28224.83</v>
      </c>
      <c r="Q80" s="1"/>
      <c r="R80" s="5">
        <f t="shared" si="42"/>
        <v>0.14513835766873018</v>
      </c>
      <c r="S80" s="1"/>
      <c r="T80" s="1">
        <f>SUM(OSRRefT22_5x_0)</f>
        <v>14000</v>
      </c>
      <c r="U80" s="1"/>
      <c r="V80" s="5">
        <f t="shared" si="43"/>
        <v>7.3326115164329034E-2</v>
      </c>
      <c r="W80" s="1"/>
      <c r="X80" s="1">
        <f t="shared" si="44"/>
        <v>14224.830000000002</v>
      </c>
      <c r="Y80" s="1"/>
      <c r="Z80" s="5">
        <f t="shared" si="45"/>
        <v>1.0160592857142858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6">
        <v>5568.47</v>
      </c>
      <c r="E81" s="2"/>
      <c r="F81" s="7">
        <f t="shared" si="38"/>
        <v>0.136049417343273</v>
      </c>
      <c r="G81" s="2"/>
      <c r="H81" s="6">
        <v>3000</v>
      </c>
      <c r="I81" s="2"/>
      <c r="J81" s="7">
        <f t="shared" si="39"/>
        <v>6.9855803506034181E-2</v>
      </c>
      <c r="K81" s="2"/>
      <c r="L81" s="6">
        <f t="shared" si="40"/>
        <v>2568.4700000000003</v>
      </c>
      <c r="M81" s="2"/>
      <c r="N81" s="7">
        <f t="shared" si="41"/>
        <v>0.85615666666666679</v>
      </c>
      <c r="O81" s="11"/>
      <c r="P81" s="6">
        <v>28224.83</v>
      </c>
      <c r="Q81" s="2"/>
      <c r="R81" s="7">
        <f t="shared" si="42"/>
        <v>0.14513835766873018</v>
      </c>
      <c r="S81" s="2"/>
      <c r="T81" s="6">
        <v>14000</v>
      </c>
      <c r="U81" s="2"/>
      <c r="V81" s="7">
        <f t="shared" si="43"/>
        <v>7.3326115164329034E-2</v>
      </c>
      <c r="W81" s="2"/>
      <c r="X81" s="6">
        <f t="shared" si="44"/>
        <v>14224.830000000002</v>
      </c>
      <c r="Y81" s="2"/>
      <c r="Z81" s="7">
        <f t="shared" si="45"/>
        <v>1.0160592857142858</v>
      </c>
    </row>
    <row r="82" spans="1:26" s="26" customFormat="1" outlineLevel="1" collapsed="1" x14ac:dyDescent="0.25">
      <c r="A82" s="25"/>
      <c r="B82" s="13" t="str">
        <f>CONCATENATE("     ","Donations                                         ")</f>
        <v xml:space="preserve">     Donations                                         </v>
      </c>
      <c r="C82" s="13"/>
      <c r="D82" s="1">
        <f>SUM(OSRRefD22_6x_0)</f>
        <v>0</v>
      </c>
      <c r="E82" s="1"/>
      <c r="F82" s="5">
        <f t="shared" si="38"/>
        <v>0</v>
      </c>
      <c r="G82" s="1"/>
      <c r="H82" s="1">
        <f>SUM(OSRRefH22_6x_0)</f>
        <v>25</v>
      </c>
      <c r="I82" s="1"/>
      <c r="J82" s="5">
        <f t="shared" si="39"/>
        <v>5.8213169588361825E-4</v>
      </c>
      <c r="K82" s="1"/>
      <c r="L82" s="1">
        <f t="shared" si="40"/>
        <v>-25</v>
      </c>
      <c r="M82" s="1"/>
      <c r="N82" s="5">
        <f t="shared" si="41"/>
        <v>-1</v>
      </c>
      <c r="O82" s="13"/>
      <c r="P82" s="1">
        <f>SUM(OSRRefP22_6x_0)</f>
        <v>0</v>
      </c>
      <c r="Q82" s="1"/>
      <c r="R82" s="5">
        <f t="shared" si="42"/>
        <v>0</v>
      </c>
      <c r="S82" s="1"/>
      <c r="T82" s="1">
        <f>SUM(OSRRefT22_6x_0)</f>
        <v>175</v>
      </c>
      <c r="U82" s="1"/>
      <c r="V82" s="5">
        <f t="shared" si="43"/>
        <v>9.1657643955411305E-4</v>
      </c>
      <c r="W82" s="1"/>
      <c r="X82" s="1">
        <f t="shared" si="44"/>
        <v>-175</v>
      </c>
      <c r="Y82" s="1"/>
      <c r="Z82" s="5">
        <f t="shared" si="45"/>
        <v>-1</v>
      </c>
    </row>
    <row r="83" spans="1:26" s="24" customFormat="1" hidden="1" outlineLevel="2" x14ac:dyDescent="0.25">
      <c r="A83" s="27"/>
      <c r="B83" s="11" t="str">
        <f>CONCATENATE("          ", "6395", " - ", "DONATION-OFF CAMPUS")</f>
        <v xml:space="preserve">          6395 - DONATION-OFF CAMPUS</v>
      </c>
      <c r="C83" s="11"/>
      <c r="D83" s="6"/>
      <c r="E83" s="2"/>
      <c r="F83" s="7">
        <f t="shared" si="38"/>
        <v>0</v>
      </c>
      <c r="G83" s="2"/>
      <c r="H83" s="6">
        <v>25</v>
      </c>
      <c r="I83" s="2"/>
      <c r="J83" s="7">
        <f t="shared" si="39"/>
        <v>5.8213169588361825E-4</v>
      </c>
      <c r="K83" s="2"/>
      <c r="L83" s="6">
        <f t="shared" si="40"/>
        <v>-25</v>
      </c>
      <c r="M83" s="2"/>
      <c r="N83" s="7">
        <f t="shared" si="41"/>
        <v>-1</v>
      </c>
      <c r="O83" s="11"/>
      <c r="P83" s="6"/>
      <c r="Q83" s="2"/>
      <c r="R83" s="7">
        <f t="shared" si="42"/>
        <v>0</v>
      </c>
      <c r="S83" s="2"/>
      <c r="T83" s="6">
        <v>175</v>
      </c>
      <c r="U83" s="2"/>
      <c r="V83" s="7">
        <f t="shared" si="43"/>
        <v>9.1657643955411305E-4</v>
      </c>
      <c r="W83" s="2"/>
      <c r="X83" s="6">
        <f t="shared" si="44"/>
        <v>-175</v>
      </c>
      <c r="Y83" s="2"/>
      <c r="Z83" s="7">
        <f t="shared" si="45"/>
        <v>-1</v>
      </c>
    </row>
    <row r="84" spans="1:26" s="26" customFormat="1" outlineLevel="1" collapsed="1" x14ac:dyDescent="0.25">
      <c r="A84" s="25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SUM(OSRRefD22_7x_0)</f>
        <v>0</v>
      </c>
      <c r="E84" s="1"/>
      <c r="F84" s="5">
        <f t="shared" si="38"/>
        <v>0</v>
      </c>
      <c r="G84" s="1"/>
      <c r="H84" s="1">
        <f>SUM(OSRRefH22_7x_0)</f>
        <v>50</v>
      </c>
      <c r="I84" s="1"/>
      <c r="J84" s="5">
        <f t="shared" si="39"/>
        <v>1.1642633917672365E-3</v>
      </c>
      <c r="K84" s="1"/>
      <c r="L84" s="1">
        <f t="shared" si="40"/>
        <v>-50</v>
      </c>
      <c r="M84" s="1"/>
      <c r="N84" s="5">
        <f t="shared" si="41"/>
        <v>-1</v>
      </c>
      <c r="O84" s="13"/>
      <c r="P84" s="1">
        <f>SUM(OSRRefP22_7x_0)</f>
        <v>120.93</v>
      </c>
      <c r="Q84" s="1"/>
      <c r="R84" s="5">
        <f t="shared" si="42"/>
        <v>6.2184897456882976E-4</v>
      </c>
      <c r="S84" s="1"/>
      <c r="T84" s="1">
        <f>SUM(OSRRefT22_7x_0)</f>
        <v>200</v>
      </c>
      <c r="U84" s="1"/>
      <c r="V84" s="5">
        <f t="shared" si="43"/>
        <v>1.0475159309189864E-3</v>
      </c>
      <c r="W84" s="1"/>
      <c r="X84" s="1">
        <f t="shared" si="44"/>
        <v>-79.069999999999993</v>
      </c>
      <c r="Y84" s="1"/>
      <c r="Z84" s="5">
        <f t="shared" si="45"/>
        <v>-0.39534999999999998</v>
      </c>
    </row>
    <row r="85" spans="1:26" s="24" customFormat="1" hidden="1" outlineLevel="2" x14ac:dyDescent="0.25">
      <c r="A85" s="27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8"/>
        <v>0</v>
      </c>
      <c r="G85" s="2"/>
      <c r="H85" s="6">
        <v>50</v>
      </c>
      <c r="I85" s="2"/>
      <c r="J85" s="7">
        <f t="shared" si="39"/>
        <v>1.1642633917672365E-3</v>
      </c>
      <c r="K85" s="2"/>
      <c r="L85" s="6">
        <f t="shared" si="40"/>
        <v>-50</v>
      </c>
      <c r="M85" s="2"/>
      <c r="N85" s="7">
        <f t="shared" si="41"/>
        <v>-1</v>
      </c>
      <c r="O85" s="11"/>
      <c r="P85" s="6">
        <v>120.93</v>
      </c>
      <c r="Q85" s="2"/>
      <c r="R85" s="7">
        <f t="shared" si="42"/>
        <v>6.2184897456882976E-4</v>
      </c>
      <c r="S85" s="2"/>
      <c r="T85" s="6">
        <v>200</v>
      </c>
      <c r="U85" s="2"/>
      <c r="V85" s="7">
        <f t="shared" si="43"/>
        <v>1.0475159309189864E-3</v>
      </c>
      <c r="W85" s="2"/>
      <c r="X85" s="6">
        <f t="shared" si="44"/>
        <v>-79.069999999999993</v>
      </c>
      <c r="Y85" s="2"/>
      <c r="Z85" s="7">
        <f t="shared" si="45"/>
        <v>-0.39534999999999998</v>
      </c>
    </row>
    <row r="86" spans="1:26" s="26" customFormat="1" outlineLevel="1" collapsed="1" x14ac:dyDescent="0.25">
      <c r="A86" s="25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SUM(OSRRefD22_8x_0)</f>
        <v>0</v>
      </c>
      <c r="E86" s="1"/>
      <c r="F86" s="5">
        <f t="shared" si="38"/>
        <v>0</v>
      </c>
      <c r="G86" s="1"/>
      <c r="H86" s="1">
        <f>SUM(OSRRefH22_8x_0)</f>
        <v>0</v>
      </c>
      <c r="I86" s="1"/>
      <c r="J86" s="5">
        <f t="shared" si="39"/>
        <v>0</v>
      </c>
      <c r="K86" s="1"/>
      <c r="L86" s="1">
        <f t="shared" si="40"/>
        <v>0</v>
      </c>
      <c r="M86" s="1"/>
      <c r="N86" s="5">
        <f t="shared" si="41"/>
        <v>0</v>
      </c>
      <c r="O86" s="13"/>
      <c r="P86" s="1">
        <f>SUM(OSRRefP22_8x_0)</f>
        <v>0</v>
      </c>
      <c r="Q86" s="1"/>
      <c r="R86" s="5">
        <f t="shared" si="42"/>
        <v>0</v>
      </c>
      <c r="S86" s="1"/>
      <c r="T86" s="1">
        <f>SUM(OSRRefT22_8x_0)</f>
        <v>240</v>
      </c>
      <c r="U86" s="1"/>
      <c r="V86" s="5">
        <f t="shared" si="43"/>
        <v>1.2570191171027835E-3</v>
      </c>
      <c r="W86" s="1"/>
      <c r="X86" s="1">
        <f t="shared" si="44"/>
        <v>-240</v>
      </c>
      <c r="Y86" s="1"/>
      <c r="Z86" s="5">
        <f t="shared" si="45"/>
        <v>-1</v>
      </c>
    </row>
    <row r="87" spans="1:26" s="24" customFormat="1" hidden="1" outlineLevel="2" x14ac:dyDescent="0.25">
      <c r="A87" s="27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8"/>
        <v>0</v>
      </c>
      <c r="G87" s="2"/>
      <c r="H87" s="6">
        <v>0</v>
      </c>
      <c r="I87" s="2"/>
      <c r="J87" s="7">
        <f t="shared" si="39"/>
        <v>0</v>
      </c>
      <c r="K87" s="2"/>
      <c r="L87" s="6">
        <f t="shared" si="40"/>
        <v>0</v>
      </c>
      <c r="M87" s="2"/>
      <c r="N87" s="7">
        <f t="shared" si="41"/>
        <v>0</v>
      </c>
      <c r="O87" s="11"/>
      <c r="P87" s="6"/>
      <c r="Q87" s="2"/>
      <c r="R87" s="7">
        <f t="shared" si="42"/>
        <v>0</v>
      </c>
      <c r="S87" s="2"/>
      <c r="T87" s="6">
        <v>240</v>
      </c>
      <c r="U87" s="2"/>
      <c r="V87" s="7">
        <f t="shared" si="43"/>
        <v>1.2570191171027835E-3</v>
      </c>
      <c r="W87" s="2"/>
      <c r="X87" s="6">
        <f t="shared" si="44"/>
        <v>-240</v>
      </c>
      <c r="Y87" s="2"/>
      <c r="Z87" s="7">
        <f t="shared" si="45"/>
        <v>-1</v>
      </c>
    </row>
    <row r="88" spans="1:26" s="26" customFormat="1" outlineLevel="1" collapsed="1" x14ac:dyDescent="0.25">
      <c r="A88" s="25"/>
      <c r="B88" s="13" t="str">
        <f>CONCATENATE("     ","Insurance                                         ")</f>
        <v xml:space="preserve">     Insurance                                         </v>
      </c>
      <c r="C88" s="13"/>
      <c r="D88" s="1">
        <f>SUM(OSRRefD22_9x_0)</f>
        <v>161.18</v>
      </c>
      <c r="E88" s="1"/>
      <c r="F88" s="5">
        <f t="shared" si="38"/>
        <v>3.9379659201519875E-3</v>
      </c>
      <c r="G88" s="1"/>
      <c r="H88" s="1">
        <f>SUM(OSRRefH22_9x_0)</f>
        <v>155</v>
      </c>
      <c r="I88" s="1"/>
      <c r="J88" s="5">
        <f t="shared" si="39"/>
        <v>3.6092165144784331E-3</v>
      </c>
      <c r="K88" s="1"/>
      <c r="L88" s="1">
        <f t="shared" si="40"/>
        <v>6.1800000000000068</v>
      </c>
      <c r="M88" s="1"/>
      <c r="N88" s="5">
        <f t="shared" si="41"/>
        <v>3.9870967741935527E-2</v>
      </c>
      <c r="O88" s="13"/>
      <c r="P88" s="1">
        <f>SUM(OSRRefP22_9x_0)</f>
        <v>644.72</v>
      </c>
      <c r="Q88" s="1"/>
      <c r="R88" s="5">
        <f t="shared" si="42"/>
        <v>3.3152937309519218E-3</v>
      </c>
      <c r="S88" s="1"/>
      <c r="T88" s="1">
        <f>SUM(OSRRefT22_9x_0)</f>
        <v>620</v>
      </c>
      <c r="U88" s="1"/>
      <c r="V88" s="5">
        <f t="shared" si="43"/>
        <v>3.2472993858488576E-3</v>
      </c>
      <c r="W88" s="1"/>
      <c r="X88" s="1">
        <f t="shared" si="44"/>
        <v>24.720000000000027</v>
      </c>
      <c r="Y88" s="1"/>
      <c r="Z88" s="5">
        <f t="shared" si="45"/>
        <v>3.9870967741935527E-2</v>
      </c>
    </row>
    <row r="89" spans="1:26" s="24" customFormat="1" hidden="1" outlineLevel="2" x14ac:dyDescent="0.25">
      <c r="A89" s="27"/>
      <c r="B89" s="11" t="str">
        <f>CONCATENATE("          ", "6314", " - ", "LIABILITY INSURANCE")</f>
        <v xml:space="preserve">          6314 - LIABILITY INSURANCE</v>
      </c>
      <c r="C89" s="11"/>
      <c r="D89" s="6">
        <v>161.18</v>
      </c>
      <c r="E89" s="2"/>
      <c r="F89" s="7">
        <f t="shared" si="38"/>
        <v>3.9379659201519875E-3</v>
      </c>
      <c r="G89" s="2"/>
      <c r="H89" s="6">
        <v>155</v>
      </c>
      <c r="I89" s="2"/>
      <c r="J89" s="7">
        <f t="shared" si="39"/>
        <v>3.6092165144784331E-3</v>
      </c>
      <c r="K89" s="2"/>
      <c r="L89" s="6">
        <f t="shared" si="40"/>
        <v>6.1800000000000068</v>
      </c>
      <c r="M89" s="2"/>
      <c r="N89" s="7">
        <f t="shared" si="41"/>
        <v>3.9870967741935527E-2</v>
      </c>
      <c r="O89" s="11"/>
      <c r="P89" s="6">
        <v>644.72</v>
      </c>
      <c r="Q89" s="2"/>
      <c r="R89" s="7">
        <f t="shared" si="42"/>
        <v>3.3152937309519218E-3</v>
      </c>
      <c r="S89" s="2"/>
      <c r="T89" s="6">
        <v>620</v>
      </c>
      <c r="U89" s="2"/>
      <c r="V89" s="7">
        <f t="shared" si="43"/>
        <v>3.2472993858488576E-3</v>
      </c>
      <c r="W89" s="2"/>
      <c r="X89" s="6">
        <f t="shared" si="44"/>
        <v>24.720000000000027</v>
      </c>
      <c r="Y89" s="2"/>
      <c r="Z89" s="7">
        <f t="shared" si="45"/>
        <v>3.9870967741935527E-2</v>
      </c>
    </row>
    <row r="90" spans="1:26" s="26" customFormat="1" outlineLevel="1" collapsed="1" x14ac:dyDescent="0.25">
      <c r="A90" s="25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SUM(OSRRefD22_10x_0)</f>
        <v>300</v>
      </c>
      <c r="E90" s="1"/>
      <c r="F90" s="5">
        <f t="shared" si="38"/>
        <v>7.3296300784563614E-3</v>
      </c>
      <c r="G90" s="1"/>
      <c r="H90" s="1">
        <f>SUM(OSRRefH22_10x_0)</f>
        <v>300</v>
      </c>
      <c r="I90" s="1"/>
      <c r="J90" s="5">
        <f t="shared" si="39"/>
        <v>6.9855803506034186E-3</v>
      </c>
      <c r="K90" s="1"/>
      <c r="L90" s="1">
        <f t="shared" si="40"/>
        <v>0</v>
      </c>
      <c r="M90" s="1"/>
      <c r="N90" s="5">
        <f t="shared" si="41"/>
        <v>0</v>
      </c>
      <c r="O90" s="13"/>
      <c r="P90" s="1">
        <f>SUM(OSRRefP22_10x_0)</f>
        <v>1200</v>
      </c>
      <c r="Q90" s="1"/>
      <c r="R90" s="5">
        <f t="shared" si="42"/>
        <v>6.1706670758504556E-3</v>
      </c>
      <c r="S90" s="1"/>
      <c r="T90" s="1">
        <f>SUM(OSRRefT22_10x_0)</f>
        <v>1200</v>
      </c>
      <c r="U90" s="1"/>
      <c r="V90" s="5">
        <f t="shared" si="43"/>
        <v>6.2850955855139178E-3</v>
      </c>
      <c r="W90" s="1"/>
      <c r="X90" s="1">
        <f t="shared" si="44"/>
        <v>0</v>
      </c>
      <c r="Y90" s="1"/>
      <c r="Z90" s="5">
        <f t="shared" si="45"/>
        <v>0</v>
      </c>
    </row>
    <row r="91" spans="1:26" s="24" customFormat="1" hidden="1" outlineLevel="2" x14ac:dyDescent="0.25">
      <c r="A91" s="27"/>
      <c r="B91" s="11" t="str">
        <f>CONCATENATE("          ", "6408", " - ", "INVENTORY ADJUSTMENT")</f>
        <v xml:space="preserve">          6408 - INVENTORY ADJUSTMENT</v>
      </c>
      <c r="C91" s="11"/>
      <c r="D91" s="6">
        <v>300</v>
      </c>
      <c r="E91" s="2"/>
      <c r="F91" s="7">
        <f t="shared" si="38"/>
        <v>7.3296300784563614E-3</v>
      </c>
      <c r="G91" s="2"/>
      <c r="H91" s="6">
        <v>300</v>
      </c>
      <c r="I91" s="2"/>
      <c r="J91" s="7">
        <f t="shared" si="39"/>
        <v>6.9855803506034186E-3</v>
      </c>
      <c r="K91" s="2"/>
      <c r="L91" s="6">
        <f t="shared" si="40"/>
        <v>0</v>
      </c>
      <c r="M91" s="2"/>
      <c r="N91" s="7">
        <f t="shared" si="41"/>
        <v>0</v>
      </c>
      <c r="O91" s="11"/>
      <c r="P91" s="6">
        <v>1200</v>
      </c>
      <c r="Q91" s="2"/>
      <c r="R91" s="7">
        <f t="shared" si="42"/>
        <v>6.1706670758504556E-3</v>
      </c>
      <c r="S91" s="2"/>
      <c r="T91" s="6">
        <v>1200</v>
      </c>
      <c r="U91" s="2"/>
      <c r="V91" s="7">
        <f t="shared" si="43"/>
        <v>6.2850955855139178E-3</v>
      </c>
      <c r="W91" s="2"/>
      <c r="X91" s="6">
        <f t="shared" si="44"/>
        <v>0</v>
      </c>
      <c r="Y91" s="2"/>
      <c r="Z91" s="7">
        <f t="shared" si="45"/>
        <v>0</v>
      </c>
    </row>
    <row r="92" spans="1:26" s="26" customFormat="1" outlineLevel="1" collapsed="1" x14ac:dyDescent="0.25">
      <c r="A92" s="25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SUM(OSRRefD22_11x_0)</f>
        <v>0</v>
      </c>
      <c r="E92" s="1"/>
      <c r="F92" s="5">
        <f t="shared" si="38"/>
        <v>0</v>
      </c>
      <c r="G92" s="1"/>
      <c r="H92" s="1">
        <f>SUM(OSRRefH22_11x_0)</f>
        <v>0</v>
      </c>
      <c r="I92" s="1"/>
      <c r="J92" s="5">
        <f t="shared" si="39"/>
        <v>0</v>
      </c>
      <c r="K92" s="1"/>
      <c r="L92" s="1">
        <f t="shared" si="40"/>
        <v>0</v>
      </c>
      <c r="M92" s="1"/>
      <c r="N92" s="5">
        <f t="shared" si="41"/>
        <v>0</v>
      </c>
      <c r="O92" s="13"/>
      <c r="P92" s="1">
        <f>SUM(OSRRefP22_11x_0)</f>
        <v>750</v>
      </c>
      <c r="Q92" s="1"/>
      <c r="R92" s="5">
        <f t="shared" si="42"/>
        <v>3.8566669224065347E-3</v>
      </c>
      <c r="S92" s="1"/>
      <c r="T92" s="1">
        <f>SUM(OSRRefT22_11x_0)</f>
        <v>900</v>
      </c>
      <c r="U92" s="1"/>
      <c r="V92" s="5">
        <f t="shared" si="43"/>
        <v>4.7138216891354379E-3</v>
      </c>
      <c r="W92" s="1"/>
      <c r="X92" s="1">
        <f t="shared" si="44"/>
        <v>-150</v>
      </c>
      <c r="Y92" s="1"/>
      <c r="Z92" s="5">
        <f t="shared" si="45"/>
        <v>-0.16666666666666666</v>
      </c>
    </row>
    <row r="93" spans="1:26" s="24" customFormat="1" hidden="1" outlineLevel="2" x14ac:dyDescent="0.25">
      <c r="A93" s="27"/>
      <c r="B93" s="11" t="str">
        <f>CONCATENATE("          ", "6336", " - ", "PROFESSIONAL SERVICES")</f>
        <v xml:space="preserve">          6336 - PROFESSIONAL SERVICES</v>
      </c>
      <c r="C93" s="11"/>
      <c r="D93" s="6"/>
      <c r="E93" s="2"/>
      <c r="F93" s="7">
        <f t="shared" si="38"/>
        <v>0</v>
      </c>
      <c r="G93" s="2"/>
      <c r="H93" s="6">
        <v>0</v>
      </c>
      <c r="I93" s="2"/>
      <c r="J93" s="7">
        <f t="shared" si="39"/>
        <v>0</v>
      </c>
      <c r="K93" s="2"/>
      <c r="L93" s="6">
        <f t="shared" si="40"/>
        <v>0</v>
      </c>
      <c r="M93" s="2"/>
      <c r="N93" s="7">
        <f t="shared" si="41"/>
        <v>0</v>
      </c>
      <c r="O93" s="11"/>
      <c r="P93" s="6">
        <v>750</v>
      </c>
      <c r="Q93" s="2"/>
      <c r="R93" s="7">
        <f t="shared" si="42"/>
        <v>3.8566669224065347E-3</v>
      </c>
      <c r="S93" s="2"/>
      <c r="T93" s="6">
        <v>900</v>
      </c>
      <c r="U93" s="2"/>
      <c r="V93" s="7">
        <f t="shared" si="43"/>
        <v>4.7138216891354379E-3</v>
      </c>
      <c r="W93" s="2"/>
      <c r="X93" s="6">
        <f t="shared" si="44"/>
        <v>-150</v>
      </c>
      <c r="Y93" s="2"/>
      <c r="Z93" s="7">
        <f t="shared" si="45"/>
        <v>-0.16666666666666666</v>
      </c>
    </row>
    <row r="94" spans="1:26" s="26" customFormat="1" outlineLevel="1" collapsed="1" x14ac:dyDescent="0.25">
      <c r="A94" s="25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SUM(OSRRefD22_12x_0)</f>
        <v>6900</v>
      </c>
      <c r="E94" s="1"/>
      <c r="F94" s="5">
        <f t="shared" si="38"/>
        <v>0.1685814918044963</v>
      </c>
      <c r="G94" s="1"/>
      <c r="H94" s="1">
        <f>SUM(OSRRefH22_12x_0)</f>
        <v>7200</v>
      </c>
      <c r="I94" s="1"/>
      <c r="J94" s="5">
        <f t="shared" si="39"/>
        <v>0.16765392841448204</v>
      </c>
      <c r="K94" s="1"/>
      <c r="L94" s="1">
        <f t="shared" si="40"/>
        <v>-300</v>
      </c>
      <c r="M94" s="1"/>
      <c r="N94" s="5">
        <f t="shared" si="41"/>
        <v>-4.1666666666666664E-2</v>
      </c>
      <c r="O94" s="13"/>
      <c r="P94" s="1">
        <f>SUM(OSRRefP22_12x_0)</f>
        <v>27600</v>
      </c>
      <c r="Q94" s="1"/>
      <c r="R94" s="5">
        <f t="shared" si="42"/>
        <v>0.14192534274456048</v>
      </c>
      <c r="S94" s="1"/>
      <c r="T94" s="1">
        <f>SUM(OSRRefT22_12x_0)</f>
        <v>28800</v>
      </c>
      <c r="U94" s="1"/>
      <c r="V94" s="5">
        <f t="shared" si="43"/>
        <v>0.15084229405233401</v>
      </c>
      <c r="W94" s="1"/>
      <c r="X94" s="1">
        <f t="shared" si="44"/>
        <v>-1200</v>
      </c>
      <c r="Y94" s="1"/>
      <c r="Z94" s="5">
        <f t="shared" si="45"/>
        <v>-4.1666666666666664E-2</v>
      </c>
    </row>
    <row r="95" spans="1:26" s="24" customFormat="1" hidden="1" outlineLevel="2" x14ac:dyDescent="0.25">
      <c r="A95" s="27"/>
      <c r="B95" s="11" t="str">
        <f>CONCATENATE("          ", "6273", " - ", "RENT")</f>
        <v xml:space="preserve">          6273 - RENT</v>
      </c>
      <c r="C95" s="11"/>
      <c r="D95" s="6">
        <v>6900</v>
      </c>
      <c r="E95" s="2"/>
      <c r="F95" s="7">
        <f t="shared" si="38"/>
        <v>0.1685814918044963</v>
      </c>
      <c r="G95" s="2"/>
      <c r="H95" s="6">
        <v>7200</v>
      </c>
      <c r="I95" s="2"/>
      <c r="J95" s="7">
        <f t="shared" si="39"/>
        <v>0.16765392841448204</v>
      </c>
      <c r="K95" s="2"/>
      <c r="L95" s="6">
        <f t="shared" si="40"/>
        <v>-300</v>
      </c>
      <c r="M95" s="2"/>
      <c r="N95" s="7">
        <f t="shared" si="41"/>
        <v>-4.1666666666666664E-2</v>
      </c>
      <c r="O95" s="11"/>
      <c r="P95" s="6">
        <v>27600</v>
      </c>
      <c r="Q95" s="2"/>
      <c r="R95" s="7">
        <f t="shared" si="42"/>
        <v>0.14192534274456048</v>
      </c>
      <c r="S95" s="2"/>
      <c r="T95" s="6">
        <v>28800</v>
      </c>
      <c r="U95" s="2"/>
      <c r="V95" s="7">
        <f t="shared" si="43"/>
        <v>0.15084229405233401</v>
      </c>
      <c r="W95" s="2"/>
      <c r="X95" s="6">
        <f t="shared" si="44"/>
        <v>-1200</v>
      </c>
      <c r="Y95" s="2"/>
      <c r="Z95" s="7">
        <f t="shared" si="45"/>
        <v>-4.1666666666666664E-2</v>
      </c>
    </row>
    <row r="96" spans="1:26" s="26" customFormat="1" outlineLevel="1" collapsed="1" x14ac:dyDescent="0.25">
      <c r="A96" s="25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SUM(OSRRefD22_13x_0)</f>
        <v>104.28999999999999</v>
      </c>
      <c r="E96" s="1"/>
      <c r="F96" s="5">
        <f t="shared" si="38"/>
        <v>2.548023736274046E-3</v>
      </c>
      <c r="G96" s="1"/>
      <c r="H96" s="1">
        <f>SUM(OSRRefH22_13x_0)</f>
        <v>100</v>
      </c>
      <c r="I96" s="1"/>
      <c r="J96" s="5">
        <f t="shared" si="39"/>
        <v>2.328526783534473E-3</v>
      </c>
      <c r="K96" s="1"/>
      <c r="L96" s="1">
        <f t="shared" si="40"/>
        <v>4.289999999999992</v>
      </c>
      <c r="M96" s="1"/>
      <c r="N96" s="5">
        <f t="shared" si="41"/>
        <v>4.2899999999999917E-2</v>
      </c>
      <c r="O96" s="13"/>
      <c r="P96" s="1">
        <f>SUM(OSRRefP22_13x_0)</f>
        <v>104.28999999999999</v>
      </c>
      <c r="Q96" s="1"/>
      <c r="R96" s="5">
        <f t="shared" si="42"/>
        <v>5.3628239111703667E-4</v>
      </c>
      <c r="S96" s="1"/>
      <c r="T96" s="1">
        <f>SUM(OSRRefT22_13x_0)</f>
        <v>750</v>
      </c>
      <c r="U96" s="1"/>
      <c r="V96" s="5">
        <f t="shared" si="43"/>
        <v>3.9281847409461989E-3</v>
      </c>
      <c r="W96" s="1"/>
      <c r="X96" s="1">
        <f t="shared" si="44"/>
        <v>-645.71</v>
      </c>
      <c r="Y96" s="1"/>
      <c r="Z96" s="5">
        <f t="shared" si="45"/>
        <v>-0.86094666666666675</v>
      </c>
    </row>
    <row r="97" spans="1:26" s="24" customFormat="1" hidden="1" outlineLevel="2" x14ac:dyDescent="0.25">
      <c r="A97" s="27"/>
      <c r="B97" s="11" t="str">
        <f>CONCATENATE("          ", "6373", " - ", "MAINTENANCE CONTRACTS")</f>
        <v xml:space="preserve">          6373 - MAINTENANCE CONTRACTS</v>
      </c>
      <c r="C97" s="11"/>
      <c r="D97" s="6">
        <v>45.65</v>
      </c>
      <c r="E97" s="2"/>
      <c r="F97" s="7">
        <f t="shared" si="38"/>
        <v>1.115325376938443E-3</v>
      </c>
      <c r="G97" s="2"/>
      <c r="H97" s="6">
        <v>0</v>
      </c>
      <c r="I97" s="2"/>
      <c r="J97" s="7">
        <f t="shared" si="39"/>
        <v>0</v>
      </c>
      <c r="K97" s="2"/>
      <c r="L97" s="6">
        <f t="shared" si="40"/>
        <v>45.65</v>
      </c>
      <c r="M97" s="2"/>
      <c r="N97" s="7">
        <f t="shared" si="41"/>
        <v>0</v>
      </c>
      <c r="O97" s="11"/>
      <c r="P97" s="6">
        <v>45.65</v>
      </c>
      <c r="Q97" s="2"/>
      <c r="R97" s="7">
        <f t="shared" si="42"/>
        <v>2.3474246001047776E-4</v>
      </c>
      <c r="S97" s="2"/>
      <c r="T97" s="6">
        <v>75</v>
      </c>
      <c r="U97" s="2"/>
      <c r="V97" s="7">
        <f t="shared" si="43"/>
        <v>3.9281847409461986E-4</v>
      </c>
      <c r="W97" s="2"/>
      <c r="X97" s="6">
        <f t="shared" si="44"/>
        <v>-29.35</v>
      </c>
      <c r="Y97" s="2"/>
      <c r="Z97" s="7">
        <f t="shared" si="45"/>
        <v>-0.39133333333333337</v>
      </c>
    </row>
    <row r="98" spans="1:26" s="24" customFormat="1" hidden="1" outlineLevel="2" x14ac:dyDescent="0.25">
      <c r="A98" s="27"/>
      <c r="B98" s="11" t="str">
        <f>CONCATENATE("          ", "6375", " - ", "OUTSIDE REPAIRS &amp; MAINTENANCE")</f>
        <v xml:space="preserve">          6375 - OUTSIDE REPAIRS &amp; MAINTENANCE</v>
      </c>
      <c r="C98" s="11"/>
      <c r="D98" s="6">
        <v>58.64</v>
      </c>
      <c r="E98" s="2"/>
      <c r="F98" s="7">
        <f t="shared" si="38"/>
        <v>1.4326983593356034E-3</v>
      </c>
      <c r="G98" s="2"/>
      <c r="H98" s="6">
        <v>100</v>
      </c>
      <c r="I98" s="2"/>
      <c r="J98" s="7">
        <f t="shared" si="39"/>
        <v>2.328526783534473E-3</v>
      </c>
      <c r="K98" s="2"/>
      <c r="L98" s="6">
        <f t="shared" si="40"/>
        <v>-41.36</v>
      </c>
      <c r="M98" s="2"/>
      <c r="N98" s="7">
        <f t="shared" si="41"/>
        <v>-0.41359999999999997</v>
      </c>
      <c r="O98" s="11"/>
      <c r="P98" s="6">
        <v>58.64</v>
      </c>
      <c r="Q98" s="2"/>
      <c r="R98" s="7">
        <f t="shared" si="42"/>
        <v>3.0153993110655896E-4</v>
      </c>
      <c r="S98" s="2"/>
      <c r="T98" s="6">
        <v>675</v>
      </c>
      <c r="U98" s="2"/>
      <c r="V98" s="7">
        <f t="shared" si="43"/>
        <v>3.5353662668515789E-3</v>
      </c>
      <c r="W98" s="2"/>
      <c r="X98" s="6">
        <f t="shared" si="44"/>
        <v>-616.36</v>
      </c>
      <c r="Y98" s="2"/>
      <c r="Z98" s="7">
        <f t="shared" si="45"/>
        <v>-0.9131259259259259</v>
      </c>
    </row>
    <row r="99" spans="1:26" s="26" customFormat="1" outlineLevel="1" collapsed="1" x14ac:dyDescent="0.25">
      <c r="A99" s="25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SUM(OSRRefD22_14x_0)</f>
        <v>914.53</v>
      </c>
      <c r="E99" s="1"/>
      <c r="F99" s="5">
        <f t="shared" ref="F99:F102" si="46">IF(D$12=0,0,D99/D$12)</f>
        <v>2.2343888652168985E-2</v>
      </c>
      <c r="G99" s="1"/>
      <c r="H99" s="1">
        <f>SUM(OSRRefH22_14x_0)</f>
        <v>232.5</v>
      </c>
      <c r="I99" s="1"/>
      <c r="J99" s="5">
        <f t="shared" ref="J99:J102" si="47">IF(H$12=0,0,H99/H$12)</f>
        <v>5.4138247717176492E-3</v>
      </c>
      <c r="K99" s="1"/>
      <c r="L99" s="1">
        <f t="shared" ref="L99:L102" si="48">+D99-H99</f>
        <v>682.03</v>
      </c>
      <c r="M99" s="1"/>
      <c r="N99" s="5">
        <f t="shared" ref="N99:N102" si="49">IF(H99=0,0,L99/H99)</f>
        <v>2.9334623655913976</v>
      </c>
      <c r="O99" s="13"/>
      <c r="P99" s="1">
        <f>SUM(OSRRefP22_14x_0)</f>
        <v>1638.6399999999999</v>
      </c>
      <c r="Q99" s="1"/>
      <c r="R99" s="5">
        <f t="shared" ref="R99:R102" si="50">IF(P$12=0,0,P99/P$12)</f>
        <v>8.4262515809763253E-3</v>
      </c>
      <c r="S99" s="1"/>
      <c r="T99" s="1">
        <f>SUM(OSRRefT22_14x_0)</f>
        <v>930</v>
      </c>
      <c r="U99" s="1"/>
      <c r="V99" s="5">
        <f t="shared" ref="V99:V102" si="51">IF(T$12=0,0,T99/T$12)</f>
        <v>4.8709490787732859E-3</v>
      </c>
      <c r="W99" s="1"/>
      <c r="X99" s="1">
        <f t="shared" ref="X99:X102" si="52">+P99-T99</f>
        <v>708.63999999999987</v>
      </c>
      <c r="Y99" s="1"/>
      <c r="Z99" s="5">
        <f t="shared" ref="Z99:Z102" si="53">IF(T99=0,0,X99/T99)</f>
        <v>0.76197849462365574</v>
      </c>
    </row>
    <row r="100" spans="1:26" s="24" customFormat="1" hidden="1" outlineLevel="2" x14ac:dyDescent="0.25">
      <c r="A100" s="27"/>
      <c r="B100" s="11" t="str">
        <f>CONCATENATE("          ", "6283", " - ", "PLANT SERVICE")</f>
        <v xml:space="preserve">          6283 - PLANT SERVICE</v>
      </c>
      <c r="C100" s="11"/>
      <c r="D100" s="6"/>
      <c r="E100" s="2"/>
      <c r="F100" s="7">
        <f t="shared" si="46"/>
        <v>0</v>
      </c>
      <c r="G100" s="2"/>
      <c r="H100" s="6">
        <v>60</v>
      </c>
      <c r="I100" s="2"/>
      <c r="J100" s="7">
        <f t="shared" si="47"/>
        <v>1.3971160701206837E-3</v>
      </c>
      <c r="K100" s="2"/>
      <c r="L100" s="6">
        <f t="shared" si="48"/>
        <v>-60</v>
      </c>
      <c r="M100" s="2"/>
      <c r="N100" s="7">
        <f t="shared" si="49"/>
        <v>-1</v>
      </c>
      <c r="O100" s="11"/>
      <c r="P100" s="6">
        <v>178.65</v>
      </c>
      <c r="Q100" s="2"/>
      <c r="R100" s="7">
        <f t="shared" si="50"/>
        <v>9.1865806091723668E-4</v>
      </c>
      <c r="S100" s="2"/>
      <c r="T100" s="6">
        <v>240</v>
      </c>
      <c r="U100" s="2"/>
      <c r="V100" s="7">
        <f t="shared" si="51"/>
        <v>1.2570191171027835E-3</v>
      </c>
      <c r="W100" s="2"/>
      <c r="X100" s="6">
        <f t="shared" si="52"/>
        <v>-61.349999999999994</v>
      </c>
      <c r="Y100" s="2"/>
      <c r="Z100" s="7">
        <f t="shared" si="53"/>
        <v>-0.25562499999999999</v>
      </c>
    </row>
    <row r="101" spans="1:26" s="24" customFormat="1" hidden="1" outlineLevel="2" x14ac:dyDescent="0.25">
      <c r="A101" s="27"/>
      <c r="B101" s="11" t="str">
        <f>CONCATENATE("          ", "6284", " - ", "TRASH REMOVAL EXPENSE")</f>
        <v xml:space="preserve">          6284 - TRASH REMOVAL EXPENSE</v>
      </c>
      <c r="C101" s="11"/>
      <c r="D101" s="6">
        <v>134.82</v>
      </c>
      <c r="E101" s="2"/>
      <c r="F101" s="7">
        <f t="shared" si="46"/>
        <v>3.2939357572582886E-3</v>
      </c>
      <c r="G101" s="2"/>
      <c r="H101" s="6">
        <v>62.5</v>
      </c>
      <c r="I101" s="2"/>
      <c r="J101" s="7">
        <f t="shared" si="47"/>
        <v>1.4553292397090456E-3</v>
      </c>
      <c r="K101" s="2"/>
      <c r="L101" s="6">
        <f t="shared" si="48"/>
        <v>72.319999999999993</v>
      </c>
      <c r="M101" s="2"/>
      <c r="N101" s="7">
        <f t="shared" si="49"/>
        <v>1.1571199999999999</v>
      </c>
      <c r="O101" s="11"/>
      <c r="P101" s="6">
        <v>539.28</v>
      </c>
      <c r="Q101" s="2"/>
      <c r="R101" s="7">
        <f t="shared" si="50"/>
        <v>2.7730977838871947E-3</v>
      </c>
      <c r="S101" s="2"/>
      <c r="T101" s="6">
        <v>250</v>
      </c>
      <c r="U101" s="2"/>
      <c r="V101" s="7">
        <f t="shared" si="51"/>
        <v>1.3093949136487328E-3</v>
      </c>
      <c r="W101" s="2"/>
      <c r="X101" s="6">
        <f t="shared" si="52"/>
        <v>289.27999999999997</v>
      </c>
      <c r="Y101" s="2"/>
      <c r="Z101" s="7">
        <f t="shared" si="53"/>
        <v>1.1571199999999999</v>
      </c>
    </row>
    <row r="102" spans="1:26" s="24" customFormat="1" hidden="1" outlineLevel="2" x14ac:dyDescent="0.25">
      <c r="A102" s="27"/>
      <c r="B102" s="11" t="str">
        <f>CONCATENATE("          ", "6285", " - ", "JANITORIAL SERVICES")</f>
        <v xml:space="preserve">          6285 - JANITORIAL SERVICES</v>
      </c>
      <c r="C102" s="11"/>
      <c r="D102" s="6">
        <v>779.71</v>
      </c>
      <c r="E102" s="2"/>
      <c r="F102" s="7">
        <f t="shared" si="46"/>
        <v>1.90499528949107E-2</v>
      </c>
      <c r="G102" s="2"/>
      <c r="H102" s="6">
        <v>110</v>
      </c>
      <c r="I102" s="2"/>
      <c r="J102" s="7">
        <f t="shared" si="47"/>
        <v>2.5613794618879202E-3</v>
      </c>
      <c r="K102" s="2"/>
      <c r="L102" s="6">
        <f t="shared" si="48"/>
        <v>669.71</v>
      </c>
      <c r="M102" s="2"/>
      <c r="N102" s="7">
        <f t="shared" si="49"/>
        <v>6.0882727272727273</v>
      </c>
      <c r="O102" s="11"/>
      <c r="P102" s="6">
        <v>920.71</v>
      </c>
      <c r="Q102" s="2"/>
      <c r="R102" s="7">
        <f t="shared" si="50"/>
        <v>4.7344957361718943E-3</v>
      </c>
      <c r="S102" s="2"/>
      <c r="T102" s="6">
        <v>440</v>
      </c>
      <c r="U102" s="2"/>
      <c r="V102" s="7">
        <f t="shared" si="51"/>
        <v>2.3045350480217696E-3</v>
      </c>
      <c r="W102" s="2"/>
      <c r="X102" s="6">
        <f t="shared" si="52"/>
        <v>480.71000000000004</v>
      </c>
      <c r="Y102" s="2"/>
      <c r="Z102" s="7">
        <f t="shared" si="53"/>
        <v>1.0925227272727274</v>
      </c>
    </row>
    <row r="103" spans="1:26" s="26" customFormat="1" outlineLevel="1" collapsed="1" x14ac:dyDescent="0.25">
      <c r="A103" s="25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SUM(OSRRefD22_15x_0)</f>
        <v>75</v>
      </c>
      <c r="E103" s="1"/>
      <c r="F103" s="5">
        <f t="shared" ref="F103:F105" si="54">IF(D$12=0,0,D103/D$12)</f>
        <v>1.8324075196140903E-3</v>
      </c>
      <c r="G103" s="1"/>
      <c r="H103" s="1">
        <f>SUM(OSRRefH22_15x_0)</f>
        <v>290</v>
      </c>
      <c r="I103" s="1"/>
      <c r="J103" s="5">
        <f t="shared" ref="J103:J105" si="55">IF(H$12=0,0,H103/H$12)</f>
        <v>6.752727672249971E-3</v>
      </c>
      <c r="K103" s="1"/>
      <c r="L103" s="1">
        <f t="shared" ref="L103:L105" si="56">+D103-H103</f>
        <v>-215</v>
      </c>
      <c r="M103" s="1"/>
      <c r="N103" s="5">
        <f t="shared" ref="N103:N105" si="57">IF(H103=0,0,L103/H103)</f>
        <v>-0.74137931034482762</v>
      </c>
      <c r="O103" s="13"/>
      <c r="P103" s="1">
        <f>SUM(OSRRefP22_15x_0)</f>
        <v>88.42</v>
      </c>
      <c r="Q103" s="1"/>
      <c r="R103" s="5">
        <f t="shared" ref="R103:R105" si="58">IF(P$12=0,0,P103/P$12)</f>
        <v>4.5467531903891441E-4</v>
      </c>
      <c r="S103" s="1"/>
      <c r="T103" s="1">
        <f>SUM(OSRRefT22_15x_0)</f>
        <v>1405</v>
      </c>
      <c r="U103" s="1"/>
      <c r="V103" s="5">
        <f t="shared" ref="V103:V105" si="59">IF(T$12=0,0,T103/T$12)</f>
        <v>7.3587994147058791E-3</v>
      </c>
      <c r="W103" s="1"/>
      <c r="X103" s="1">
        <f t="shared" ref="X103:X105" si="60">+P103-T103</f>
        <v>-1316.58</v>
      </c>
      <c r="Y103" s="1"/>
      <c r="Z103" s="5">
        <f t="shared" ref="Z103:Z105" si="61">IF(T103=0,0,X103/T103)</f>
        <v>-0.93706761565836294</v>
      </c>
    </row>
    <row r="104" spans="1:26" s="24" customFormat="1" hidden="1" outlineLevel="2" x14ac:dyDescent="0.25">
      <c r="A104" s="27"/>
      <c r="B104" s="11" t="str">
        <f>CONCATENATE("          ", "6258", " - ", "MEMBERSHIP DUES")</f>
        <v xml:space="preserve">          6258 - MEMBERSHIP DUES</v>
      </c>
      <c r="C104" s="11"/>
      <c r="D104" s="6"/>
      <c r="E104" s="2"/>
      <c r="F104" s="7">
        <f t="shared" si="54"/>
        <v>0</v>
      </c>
      <c r="G104" s="2"/>
      <c r="H104" s="6">
        <v>0</v>
      </c>
      <c r="I104" s="2"/>
      <c r="J104" s="7">
        <f t="shared" si="55"/>
        <v>0</v>
      </c>
      <c r="K104" s="2"/>
      <c r="L104" s="6">
        <f t="shared" si="56"/>
        <v>0</v>
      </c>
      <c r="M104" s="2"/>
      <c r="N104" s="7">
        <f t="shared" si="57"/>
        <v>0</v>
      </c>
      <c r="O104" s="11"/>
      <c r="P104" s="6"/>
      <c r="Q104" s="2"/>
      <c r="R104" s="7">
        <f t="shared" si="58"/>
        <v>0</v>
      </c>
      <c r="S104" s="2"/>
      <c r="T104" s="6">
        <v>395</v>
      </c>
      <c r="U104" s="2"/>
      <c r="V104" s="7">
        <f t="shared" si="59"/>
        <v>2.0688439635649981E-3</v>
      </c>
      <c r="W104" s="2"/>
      <c r="X104" s="6">
        <f t="shared" si="60"/>
        <v>-395</v>
      </c>
      <c r="Y104" s="2"/>
      <c r="Z104" s="7">
        <f t="shared" si="61"/>
        <v>-1</v>
      </c>
    </row>
    <row r="105" spans="1:26" s="24" customFormat="1" hidden="1" outlineLevel="2" x14ac:dyDescent="0.25">
      <c r="A105" s="27"/>
      <c r="B105" s="11" t="str">
        <f>CONCATENATE("          ", "6275", " - ", "SUBSCRIPTIONS")</f>
        <v xml:space="preserve">          6275 - SUBSCRIPTIONS</v>
      </c>
      <c r="C105" s="11"/>
      <c r="D105" s="6">
        <v>75</v>
      </c>
      <c r="E105" s="2"/>
      <c r="F105" s="7">
        <f t="shared" si="54"/>
        <v>1.8324075196140903E-3</v>
      </c>
      <c r="G105" s="2"/>
      <c r="H105" s="6">
        <v>290</v>
      </c>
      <c r="I105" s="2"/>
      <c r="J105" s="7">
        <f t="shared" si="55"/>
        <v>6.752727672249971E-3</v>
      </c>
      <c r="K105" s="2"/>
      <c r="L105" s="6">
        <f t="shared" si="56"/>
        <v>-215</v>
      </c>
      <c r="M105" s="2"/>
      <c r="N105" s="7">
        <f t="shared" si="57"/>
        <v>-0.74137931034482762</v>
      </c>
      <c r="O105" s="11"/>
      <c r="P105" s="6">
        <v>88.42</v>
      </c>
      <c r="Q105" s="2"/>
      <c r="R105" s="7">
        <f t="shared" si="58"/>
        <v>4.5467531903891441E-4</v>
      </c>
      <c r="S105" s="2"/>
      <c r="T105" s="6">
        <v>1010</v>
      </c>
      <c r="U105" s="2"/>
      <c r="V105" s="7">
        <f t="shared" si="59"/>
        <v>5.2899554511408806E-3</v>
      </c>
      <c r="W105" s="2"/>
      <c r="X105" s="6">
        <f t="shared" si="60"/>
        <v>-921.58</v>
      </c>
      <c r="Y105" s="2"/>
      <c r="Z105" s="7">
        <f t="shared" si="61"/>
        <v>-0.91245544554455449</v>
      </c>
    </row>
    <row r="106" spans="1:26" s="26" customFormat="1" outlineLevel="1" collapsed="1" x14ac:dyDescent="0.25">
      <c r="A106" s="25"/>
      <c r="B106" s="13" t="str">
        <f>CONCATENATE("     ","Supplies                                          ")</f>
        <v xml:space="preserve">     Supplies                                          </v>
      </c>
      <c r="C106" s="13"/>
      <c r="D106" s="1">
        <f>SUM(OSRRefD22_16x_0)</f>
        <v>127.15</v>
      </c>
      <c r="E106" s="1"/>
      <c r="F106" s="5">
        <f t="shared" ref="F106:F111" si="62">IF(D$12=0,0,D106/D$12)</f>
        <v>3.1065415482524213E-3</v>
      </c>
      <c r="G106" s="1"/>
      <c r="H106" s="1">
        <f>SUM(OSRRefH22_16x_0)</f>
        <v>745</v>
      </c>
      <c r="I106" s="1"/>
      <c r="J106" s="5">
        <f t="shared" ref="J106:J111" si="63">IF(H$12=0,0,H106/H$12)</f>
        <v>1.7347524537331824E-2</v>
      </c>
      <c r="K106" s="1"/>
      <c r="L106" s="1">
        <f t="shared" ref="L106:L111" si="64">+D106-H106</f>
        <v>-617.85</v>
      </c>
      <c r="M106" s="1"/>
      <c r="N106" s="5">
        <f t="shared" ref="N106:N111" si="65">IF(H106=0,0,L106/H106)</f>
        <v>-0.82932885906040277</v>
      </c>
      <c r="O106" s="13"/>
      <c r="P106" s="1">
        <f>SUM(OSRRefP22_16x_0)</f>
        <v>1415.04</v>
      </c>
      <c r="Q106" s="1"/>
      <c r="R106" s="5">
        <f t="shared" ref="R106:R111" si="66">IF(P$12=0,0,P106/P$12)</f>
        <v>7.276450615842857E-3</v>
      </c>
      <c r="S106" s="1"/>
      <c r="T106" s="1">
        <f>SUM(OSRRefT22_16x_0)</f>
        <v>2040</v>
      </c>
      <c r="U106" s="1"/>
      <c r="V106" s="5">
        <f t="shared" ref="V106:V111" si="67">IF(T$12=0,0,T106/T$12)</f>
        <v>1.068466249537366E-2</v>
      </c>
      <c r="W106" s="1"/>
      <c r="X106" s="1">
        <f t="shared" ref="X106:X111" si="68">+P106-T106</f>
        <v>-624.96</v>
      </c>
      <c r="Y106" s="1"/>
      <c r="Z106" s="5">
        <f t="shared" ref="Z106:Z111" si="69">IF(T106=0,0,X106/T106)</f>
        <v>-0.30635294117647061</v>
      </c>
    </row>
    <row r="107" spans="1:26" s="24" customFormat="1" hidden="1" outlineLevel="2" x14ac:dyDescent="0.25">
      <c r="A107" s="27"/>
      <c r="B107" s="11" t="str">
        <f>CONCATENATE("          ", "6234", " - ", "EXPENDABLE SUPPLIES &amp; EQUIPMEN")</f>
        <v xml:space="preserve">          6234 - EXPENDABLE SUPPLIES &amp; EQUIPMEN</v>
      </c>
      <c r="C107" s="11"/>
      <c r="D107" s="6"/>
      <c r="E107" s="2"/>
      <c r="F107" s="7">
        <f t="shared" si="62"/>
        <v>0</v>
      </c>
      <c r="G107" s="2"/>
      <c r="H107" s="6">
        <v>300</v>
      </c>
      <c r="I107" s="2"/>
      <c r="J107" s="7">
        <f t="shared" si="63"/>
        <v>6.9855803506034186E-3</v>
      </c>
      <c r="K107" s="2"/>
      <c r="L107" s="6">
        <f t="shared" si="64"/>
        <v>-300</v>
      </c>
      <c r="M107" s="2"/>
      <c r="N107" s="7">
        <f t="shared" si="65"/>
        <v>-1</v>
      </c>
      <c r="O107" s="11"/>
      <c r="P107" s="6"/>
      <c r="Q107" s="2"/>
      <c r="R107" s="7">
        <f t="shared" si="66"/>
        <v>0</v>
      </c>
      <c r="S107" s="2"/>
      <c r="T107" s="6">
        <v>750</v>
      </c>
      <c r="U107" s="2"/>
      <c r="V107" s="7">
        <f t="shared" si="67"/>
        <v>3.9281847409461989E-3</v>
      </c>
      <c r="W107" s="2"/>
      <c r="X107" s="6">
        <f t="shared" si="68"/>
        <v>-750</v>
      </c>
      <c r="Y107" s="2"/>
      <c r="Z107" s="7">
        <f t="shared" si="69"/>
        <v>-1</v>
      </c>
    </row>
    <row r="108" spans="1:26" s="24" customFormat="1" hidden="1" outlineLevel="2" x14ac:dyDescent="0.25">
      <c r="A108" s="27"/>
      <c r="B108" s="11" t="str">
        <f>CONCATENATE("          ", "6237", " - ", "JANITORIAL SUPPLIES")</f>
        <v xml:space="preserve">          6237 - JANITORIAL SUPPLIES</v>
      </c>
      <c r="C108" s="11"/>
      <c r="D108" s="6">
        <v>83.06</v>
      </c>
      <c r="E108" s="2"/>
      <c r="F108" s="7">
        <f t="shared" si="62"/>
        <v>2.0293302477219512E-3</v>
      </c>
      <c r="G108" s="2"/>
      <c r="H108" s="6">
        <v>20</v>
      </c>
      <c r="I108" s="2"/>
      <c r="J108" s="7">
        <f t="shared" si="63"/>
        <v>4.6570535670689456E-4</v>
      </c>
      <c r="K108" s="2"/>
      <c r="L108" s="6">
        <f t="shared" si="64"/>
        <v>63.06</v>
      </c>
      <c r="M108" s="2"/>
      <c r="N108" s="7">
        <f t="shared" si="65"/>
        <v>3.153</v>
      </c>
      <c r="O108" s="11"/>
      <c r="P108" s="6">
        <v>287.72000000000003</v>
      </c>
      <c r="Q108" s="2"/>
      <c r="R108" s="7">
        <f t="shared" si="66"/>
        <v>1.4795202758864112E-3</v>
      </c>
      <c r="S108" s="2"/>
      <c r="T108" s="6">
        <v>90</v>
      </c>
      <c r="U108" s="2"/>
      <c r="V108" s="7">
        <f t="shared" si="67"/>
        <v>4.7138216891354386E-4</v>
      </c>
      <c r="W108" s="2"/>
      <c r="X108" s="6">
        <f t="shared" si="68"/>
        <v>197.72000000000003</v>
      </c>
      <c r="Y108" s="2"/>
      <c r="Z108" s="7">
        <f t="shared" si="69"/>
        <v>2.1968888888888891</v>
      </c>
    </row>
    <row r="109" spans="1:26" s="24" customFormat="1" hidden="1" outlineLevel="2" x14ac:dyDescent="0.25">
      <c r="A109" s="27"/>
      <c r="B109" s="11" t="str">
        <f>CONCATENATE("          ", "6241", " - ", "OFFICE EXPENSE")</f>
        <v xml:space="preserve">          6241 - OFFICE EXPENSE</v>
      </c>
      <c r="C109" s="11"/>
      <c r="D109" s="6">
        <v>44.09</v>
      </c>
      <c r="E109" s="2"/>
      <c r="F109" s="7">
        <f t="shared" si="62"/>
        <v>1.0772113005304699E-3</v>
      </c>
      <c r="G109" s="2"/>
      <c r="H109" s="6">
        <v>400</v>
      </c>
      <c r="I109" s="2"/>
      <c r="J109" s="7">
        <f t="shared" si="63"/>
        <v>9.3141071341378921E-3</v>
      </c>
      <c r="K109" s="2"/>
      <c r="L109" s="6">
        <f t="shared" si="64"/>
        <v>-355.90999999999997</v>
      </c>
      <c r="M109" s="2"/>
      <c r="N109" s="7">
        <f t="shared" si="65"/>
        <v>-0.88977499999999987</v>
      </c>
      <c r="O109" s="11"/>
      <c r="P109" s="6">
        <v>1127.32</v>
      </c>
      <c r="Q109" s="2"/>
      <c r="R109" s="7">
        <f t="shared" si="66"/>
        <v>5.7969303399564463E-3</v>
      </c>
      <c r="S109" s="2"/>
      <c r="T109" s="6">
        <v>1100</v>
      </c>
      <c r="U109" s="2"/>
      <c r="V109" s="7">
        <f t="shared" si="67"/>
        <v>5.7613376200544245E-3</v>
      </c>
      <c r="W109" s="2"/>
      <c r="X109" s="6">
        <f t="shared" si="68"/>
        <v>27.319999999999936</v>
      </c>
      <c r="Y109" s="2"/>
      <c r="Z109" s="7">
        <f t="shared" si="69"/>
        <v>2.483636363636358E-2</v>
      </c>
    </row>
    <row r="110" spans="1:26" s="24" customFormat="1" hidden="1" outlineLevel="2" x14ac:dyDescent="0.25">
      <c r="A110" s="27"/>
      <c r="B110" s="11" t="str">
        <f>CONCATENATE("          ", "6247", " - ", "STORE SUPPLIES")</f>
        <v xml:space="preserve">          6247 - STORE SUPPLIES</v>
      </c>
      <c r="C110" s="11"/>
      <c r="D110" s="6"/>
      <c r="E110" s="2"/>
      <c r="F110" s="7">
        <f t="shared" si="62"/>
        <v>0</v>
      </c>
      <c r="G110" s="2"/>
      <c r="H110" s="6">
        <v>25</v>
      </c>
      <c r="I110" s="2"/>
      <c r="J110" s="7">
        <f t="shared" si="63"/>
        <v>5.8213169588361825E-4</v>
      </c>
      <c r="K110" s="2"/>
      <c r="L110" s="6">
        <f t="shared" si="64"/>
        <v>-25</v>
      </c>
      <c r="M110" s="2"/>
      <c r="N110" s="7">
        <f t="shared" si="65"/>
        <v>-1</v>
      </c>
      <c r="O110" s="11"/>
      <c r="P110" s="6"/>
      <c r="Q110" s="2"/>
      <c r="R110" s="7">
        <f t="shared" si="66"/>
        <v>0</v>
      </c>
      <c r="S110" s="2"/>
      <c r="T110" s="6">
        <v>100</v>
      </c>
      <c r="U110" s="2"/>
      <c r="V110" s="7">
        <f t="shared" si="67"/>
        <v>5.2375796545949319E-4</v>
      </c>
      <c r="W110" s="2"/>
      <c r="X110" s="6">
        <f t="shared" si="68"/>
        <v>-100</v>
      </c>
      <c r="Y110" s="2"/>
      <c r="Z110" s="7">
        <f t="shared" si="69"/>
        <v>-1</v>
      </c>
    </row>
    <row r="111" spans="1:26" s="24" customFormat="1" hidden="1" outlineLevel="2" x14ac:dyDescent="0.25">
      <c r="A111" s="27"/>
      <c r="B111" s="11" t="str">
        <f>CONCATENATE("          ", "6248", " - ", "UNIFORMS")</f>
        <v xml:space="preserve">          6248 - UNIFORMS</v>
      </c>
      <c r="C111" s="11"/>
      <c r="D111" s="6"/>
      <c r="E111" s="2"/>
      <c r="F111" s="7">
        <f t="shared" si="62"/>
        <v>0</v>
      </c>
      <c r="G111" s="2"/>
      <c r="H111" s="6">
        <v>0</v>
      </c>
      <c r="I111" s="2"/>
      <c r="J111" s="7">
        <f t="shared" si="63"/>
        <v>0</v>
      </c>
      <c r="K111" s="2"/>
      <c r="L111" s="6">
        <f t="shared" si="64"/>
        <v>0</v>
      </c>
      <c r="M111" s="2"/>
      <c r="N111" s="7">
        <f t="shared" si="65"/>
        <v>0</v>
      </c>
      <c r="O111" s="11"/>
      <c r="P111" s="6"/>
      <c r="Q111" s="2"/>
      <c r="R111" s="7">
        <f t="shared" si="66"/>
        <v>0</v>
      </c>
      <c r="S111" s="2"/>
      <c r="T111" s="6">
        <v>0</v>
      </c>
      <c r="U111" s="2"/>
      <c r="V111" s="7">
        <f t="shared" si="67"/>
        <v>0</v>
      </c>
      <c r="W111" s="2"/>
      <c r="X111" s="6">
        <f t="shared" si="68"/>
        <v>0</v>
      </c>
      <c r="Y111" s="2"/>
      <c r="Z111" s="7">
        <f t="shared" si="69"/>
        <v>0</v>
      </c>
    </row>
    <row r="112" spans="1:26" s="26" customFormat="1" outlineLevel="1" collapsed="1" x14ac:dyDescent="0.25">
      <c r="A112" s="25"/>
      <c r="B112" s="13" t="str">
        <f>CONCATENATE("     ","Telephone/Data Lines                              ")</f>
        <v xml:space="preserve">     Telephone/Data Lines                              </v>
      </c>
      <c r="C112" s="13"/>
      <c r="D112" s="1">
        <f>SUM(OSRRefD22_17x_0)</f>
        <v>-562.73</v>
      </c>
      <c r="E112" s="1"/>
      <c r="F112" s="5">
        <f t="shared" ref="F112:F114" si="70">IF(D$12=0,0,D112/D$12)</f>
        <v>-1.3748675780165828E-2</v>
      </c>
      <c r="G112" s="1"/>
      <c r="H112" s="1">
        <f>SUM(OSRRefH22_17x_0)</f>
        <v>450</v>
      </c>
      <c r="I112" s="1"/>
      <c r="J112" s="5">
        <f t="shared" ref="J112:J114" si="71">IF(H$12=0,0,H112/H$12)</f>
        <v>1.0478370525905127E-2</v>
      </c>
      <c r="K112" s="1"/>
      <c r="L112" s="1">
        <f t="shared" ref="L112:L114" si="72">+D112-H112</f>
        <v>-1012.73</v>
      </c>
      <c r="M112" s="1"/>
      <c r="N112" s="5">
        <f t="shared" ref="N112:N114" si="73">IF(H112=0,0,L112/H112)</f>
        <v>-2.2505111111111114</v>
      </c>
      <c r="O112" s="13"/>
      <c r="P112" s="1">
        <f>SUM(OSRRefP22_17x_0)</f>
        <v>1414.17</v>
      </c>
      <c r="Q112" s="1"/>
      <c r="R112" s="5">
        <f t="shared" ref="R112:R114" si="74">IF(P$12=0,0,P112/P$12)</f>
        <v>7.2719768822128664E-3</v>
      </c>
      <c r="S112" s="1"/>
      <c r="T112" s="1">
        <f>SUM(OSRRefT22_17x_0)</f>
        <v>2675</v>
      </c>
      <c r="U112" s="1"/>
      <c r="V112" s="5">
        <f t="shared" ref="V112:V114" si="75">IF(T$12=0,0,T112/T$12)</f>
        <v>1.4010525576041441E-2</v>
      </c>
      <c r="W112" s="1"/>
      <c r="X112" s="1">
        <f t="shared" ref="X112:X114" si="76">+P112-T112</f>
        <v>-1260.83</v>
      </c>
      <c r="Y112" s="1"/>
      <c r="Z112" s="5">
        <f t="shared" ref="Z112:Z114" si="77">IF(T112=0,0,X112/T112)</f>
        <v>-0.4713383177570093</v>
      </c>
    </row>
    <row r="113" spans="1:26" s="24" customFormat="1" hidden="1" outlineLevel="2" x14ac:dyDescent="0.25">
      <c r="A113" s="27"/>
      <c r="B113" s="11" t="str">
        <f>CONCATENATE("          ", "6303", " - ", "DATA PHONE LINES")</f>
        <v xml:space="preserve">          6303 - DATA PHONE LINES</v>
      </c>
      <c r="C113" s="11"/>
      <c r="D113" s="6"/>
      <c r="E113" s="2"/>
      <c r="F113" s="7">
        <f t="shared" si="70"/>
        <v>0</v>
      </c>
      <c r="G113" s="2"/>
      <c r="H113" s="6">
        <v>450</v>
      </c>
      <c r="I113" s="2"/>
      <c r="J113" s="7">
        <f t="shared" si="71"/>
        <v>1.0478370525905127E-2</v>
      </c>
      <c r="K113" s="2"/>
      <c r="L113" s="6">
        <f t="shared" si="72"/>
        <v>-450</v>
      </c>
      <c r="M113" s="2"/>
      <c r="N113" s="7">
        <f t="shared" si="73"/>
        <v>-1</v>
      </c>
      <c r="O113" s="11"/>
      <c r="P113" s="6"/>
      <c r="Q113" s="2"/>
      <c r="R113" s="7">
        <f t="shared" si="74"/>
        <v>0</v>
      </c>
      <c r="S113" s="2"/>
      <c r="T113" s="6">
        <v>2675</v>
      </c>
      <c r="U113" s="2"/>
      <c r="V113" s="7">
        <f t="shared" si="75"/>
        <v>1.4010525576041441E-2</v>
      </c>
      <c r="W113" s="2"/>
      <c r="X113" s="6">
        <f t="shared" si="76"/>
        <v>-2675</v>
      </c>
      <c r="Y113" s="2"/>
      <c r="Z113" s="7">
        <f t="shared" si="77"/>
        <v>-1</v>
      </c>
    </row>
    <row r="114" spans="1:26" s="24" customFormat="1" hidden="1" outlineLevel="2" x14ac:dyDescent="0.25">
      <c r="A114" s="27"/>
      <c r="B114" s="11" t="str">
        <f>CONCATENATE("          ", "6309", " - ", "TELEPHONE")</f>
        <v xml:space="preserve">          6309 - TELEPHONE</v>
      </c>
      <c r="C114" s="11"/>
      <c r="D114" s="6">
        <v>-562.73</v>
      </c>
      <c r="E114" s="2"/>
      <c r="F114" s="7">
        <f t="shared" si="70"/>
        <v>-1.3748675780165828E-2</v>
      </c>
      <c r="G114" s="2"/>
      <c r="H114" s="6"/>
      <c r="I114" s="2"/>
      <c r="J114" s="7">
        <f t="shared" si="71"/>
        <v>0</v>
      </c>
      <c r="K114" s="2"/>
      <c r="L114" s="6">
        <f t="shared" si="72"/>
        <v>-562.73</v>
      </c>
      <c r="M114" s="2"/>
      <c r="N114" s="7">
        <f t="shared" si="73"/>
        <v>0</v>
      </c>
      <c r="O114" s="11"/>
      <c r="P114" s="6">
        <v>1414.17</v>
      </c>
      <c r="Q114" s="2"/>
      <c r="R114" s="7">
        <f t="shared" si="74"/>
        <v>7.2719768822128664E-3</v>
      </c>
      <c r="S114" s="2"/>
      <c r="T114" s="6"/>
      <c r="U114" s="2"/>
      <c r="V114" s="7">
        <f t="shared" si="75"/>
        <v>0</v>
      </c>
      <c r="W114" s="2"/>
      <c r="X114" s="6">
        <f t="shared" si="76"/>
        <v>1414.17</v>
      </c>
      <c r="Y114" s="2"/>
      <c r="Z114" s="7">
        <f t="shared" si="77"/>
        <v>0</v>
      </c>
    </row>
    <row r="115" spans="1:26" s="26" customFormat="1" outlineLevel="1" collapsed="1" x14ac:dyDescent="0.25">
      <c r="A115" s="25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SUM(OSRRefD22_18x_0)</f>
        <v>0</v>
      </c>
      <c r="E115" s="1"/>
      <c r="F115" s="5">
        <f t="shared" ref="F115:F120" si="78">IF(D$12=0,0,D115/D$12)</f>
        <v>0</v>
      </c>
      <c r="G115" s="1"/>
      <c r="H115" s="1">
        <f>SUM(OSRRefH22_18x_0)</f>
        <v>0</v>
      </c>
      <c r="I115" s="1"/>
      <c r="J115" s="5">
        <f t="shared" ref="J115:J120" si="79">IF(H$12=0,0,H115/H$12)</f>
        <v>0</v>
      </c>
      <c r="K115" s="1"/>
      <c r="L115" s="1">
        <f t="shared" ref="L115:L120" si="80">+D115-H115</f>
        <v>0</v>
      </c>
      <c r="M115" s="1"/>
      <c r="N115" s="5">
        <f t="shared" ref="N115:N120" si="81">IF(H115=0,0,L115/H115)</f>
        <v>0</v>
      </c>
      <c r="O115" s="13"/>
      <c r="P115" s="1">
        <f>SUM(OSRRefP22_18x_0)</f>
        <v>0</v>
      </c>
      <c r="Q115" s="1"/>
      <c r="R115" s="5">
        <f t="shared" ref="R115:R120" si="82">IF(P$12=0,0,P115/P$12)</f>
        <v>0</v>
      </c>
      <c r="S115" s="1"/>
      <c r="T115" s="1">
        <f>SUM(OSRRefT22_18x_0)</f>
        <v>0</v>
      </c>
      <c r="U115" s="1"/>
      <c r="V115" s="5">
        <f t="shared" ref="V115:V120" si="83">IF(T$12=0,0,T115/T$12)</f>
        <v>0</v>
      </c>
      <c r="W115" s="1"/>
      <c r="X115" s="1">
        <f t="shared" ref="X115:X120" si="84">+P115-T115</f>
        <v>0</v>
      </c>
      <c r="Y115" s="1"/>
      <c r="Z115" s="5">
        <f t="shared" ref="Z115:Z120" si="85">IF(T115=0,0,X115/T115)</f>
        <v>0</v>
      </c>
    </row>
    <row r="116" spans="1:26" s="24" customFormat="1" hidden="1" outlineLevel="2" x14ac:dyDescent="0.25">
      <c r="A116" s="27"/>
      <c r="B116" s="11" t="str">
        <f>CONCATENATE("          ", "6376", " - ", "TRAINING")</f>
        <v xml:space="preserve">          6376 - TRAINING</v>
      </c>
      <c r="C116" s="11"/>
      <c r="D116" s="6"/>
      <c r="E116" s="2"/>
      <c r="F116" s="7">
        <f t="shared" si="78"/>
        <v>0</v>
      </c>
      <c r="G116" s="2"/>
      <c r="H116" s="6">
        <v>0</v>
      </c>
      <c r="I116" s="2"/>
      <c r="J116" s="7">
        <f t="shared" si="79"/>
        <v>0</v>
      </c>
      <c r="K116" s="2"/>
      <c r="L116" s="6">
        <f t="shared" si="80"/>
        <v>0</v>
      </c>
      <c r="M116" s="2"/>
      <c r="N116" s="7">
        <f t="shared" si="81"/>
        <v>0</v>
      </c>
      <c r="O116" s="11"/>
      <c r="P116" s="6"/>
      <c r="Q116" s="2"/>
      <c r="R116" s="7">
        <f t="shared" si="82"/>
        <v>0</v>
      </c>
      <c r="S116" s="2"/>
      <c r="T116" s="6">
        <v>0</v>
      </c>
      <c r="U116" s="2"/>
      <c r="V116" s="7">
        <f t="shared" si="83"/>
        <v>0</v>
      </c>
      <c r="W116" s="2"/>
      <c r="X116" s="6">
        <f t="shared" si="84"/>
        <v>0</v>
      </c>
      <c r="Y116" s="2"/>
      <c r="Z116" s="7">
        <f t="shared" si="85"/>
        <v>0</v>
      </c>
    </row>
    <row r="117" spans="1:26" s="26" customFormat="1" outlineLevel="1" collapsed="1" x14ac:dyDescent="0.25">
      <c r="A117" s="25"/>
      <c r="B117" s="13" t="str">
        <f>CONCATENATE("     ","Travel                                            ")</f>
        <v xml:space="preserve">     Travel                                            </v>
      </c>
      <c r="C117" s="13"/>
      <c r="D117" s="1">
        <f>SUM(OSRRefD22_19x_0)</f>
        <v>334.37</v>
      </c>
      <c r="E117" s="1"/>
      <c r="F117" s="5">
        <f t="shared" si="78"/>
        <v>8.1693613644448458E-3</v>
      </c>
      <c r="G117" s="1"/>
      <c r="H117" s="1">
        <f>SUM(OSRRefH22_19x_0)</f>
        <v>25</v>
      </c>
      <c r="I117" s="1"/>
      <c r="J117" s="5">
        <f t="shared" si="79"/>
        <v>5.8213169588361825E-4</v>
      </c>
      <c r="K117" s="1"/>
      <c r="L117" s="1">
        <f t="shared" si="80"/>
        <v>309.37</v>
      </c>
      <c r="M117" s="1"/>
      <c r="N117" s="5">
        <f t="shared" si="81"/>
        <v>12.3748</v>
      </c>
      <c r="O117" s="13"/>
      <c r="P117" s="1">
        <f>SUM(OSRRefP22_19x_0)</f>
        <v>436.47</v>
      </c>
      <c r="Q117" s="1"/>
      <c r="R117" s="5">
        <f t="shared" si="82"/>
        <v>2.2444258821637071E-3</v>
      </c>
      <c r="S117" s="1"/>
      <c r="T117" s="1">
        <f>SUM(OSRRefT22_19x_0)</f>
        <v>235</v>
      </c>
      <c r="U117" s="1"/>
      <c r="V117" s="5">
        <f t="shared" si="83"/>
        <v>1.2308312188298088E-3</v>
      </c>
      <c r="W117" s="1"/>
      <c r="X117" s="1">
        <f t="shared" si="84"/>
        <v>201.47000000000003</v>
      </c>
      <c r="Y117" s="1"/>
      <c r="Z117" s="5">
        <f t="shared" si="85"/>
        <v>0.85731914893617034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6">
        <v>334.37</v>
      </c>
      <c r="E118" s="2"/>
      <c r="F118" s="7">
        <f t="shared" si="78"/>
        <v>8.1693613644448458E-3</v>
      </c>
      <c r="G118" s="2"/>
      <c r="H118" s="6">
        <v>25</v>
      </c>
      <c r="I118" s="2"/>
      <c r="J118" s="7">
        <f t="shared" si="79"/>
        <v>5.8213169588361825E-4</v>
      </c>
      <c r="K118" s="2"/>
      <c r="L118" s="6">
        <f t="shared" si="80"/>
        <v>309.37</v>
      </c>
      <c r="M118" s="2"/>
      <c r="N118" s="7">
        <f t="shared" si="81"/>
        <v>12.3748</v>
      </c>
      <c r="O118" s="11"/>
      <c r="P118" s="6">
        <v>436.47</v>
      </c>
      <c r="Q118" s="2"/>
      <c r="R118" s="7">
        <f t="shared" si="82"/>
        <v>2.2444258821637071E-3</v>
      </c>
      <c r="S118" s="2"/>
      <c r="T118" s="6">
        <v>235</v>
      </c>
      <c r="U118" s="2"/>
      <c r="V118" s="7">
        <f t="shared" si="83"/>
        <v>1.2308312188298088E-3</v>
      </c>
      <c r="W118" s="2"/>
      <c r="X118" s="6">
        <f t="shared" si="84"/>
        <v>201.47000000000003</v>
      </c>
      <c r="Y118" s="2"/>
      <c r="Z118" s="7">
        <f t="shared" si="85"/>
        <v>0.85731914893617034</v>
      </c>
    </row>
    <row r="119" spans="1:26" s="26" customFormat="1" outlineLevel="1" collapsed="1" x14ac:dyDescent="0.25">
      <c r="A119" s="25"/>
      <c r="B119" s="13" t="str">
        <f>CONCATENATE("     ","Utilities                                         ")</f>
        <v xml:space="preserve">     Utilities                                         </v>
      </c>
      <c r="C119" s="13"/>
      <c r="D119" s="1">
        <f>SUM(OSRRefD22_20x_0)</f>
        <v>43.86</v>
      </c>
      <c r="E119" s="1"/>
      <c r="F119" s="5">
        <f t="shared" si="78"/>
        <v>1.07159191747032E-3</v>
      </c>
      <c r="G119" s="1"/>
      <c r="H119" s="1">
        <f>SUM(OSRRefH22_20x_0)</f>
        <v>100</v>
      </c>
      <c r="I119" s="1"/>
      <c r="J119" s="5">
        <f t="shared" si="79"/>
        <v>2.328526783534473E-3</v>
      </c>
      <c r="K119" s="1"/>
      <c r="L119" s="1">
        <f t="shared" si="80"/>
        <v>-56.14</v>
      </c>
      <c r="M119" s="1"/>
      <c r="N119" s="5">
        <f t="shared" si="81"/>
        <v>-0.56140000000000001</v>
      </c>
      <c r="O119" s="13"/>
      <c r="P119" s="1">
        <f>SUM(OSRRefP22_20x_0)</f>
        <v>195.66</v>
      </c>
      <c r="Q119" s="1"/>
      <c r="R119" s="5">
        <f t="shared" si="82"/>
        <v>1.0061272667174167E-3</v>
      </c>
      <c r="S119" s="1"/>
      <c r="T119" s="1">
        <f>SUM(OSRRefT22_20x_0)</f>
        <v>350</v>
      </c>
      <c r="U119" s="1"/>
      <c r="V119" s="5">
        <f t="shared" si="83"/>
        <v>1.8331528791082261E-3</v>
      </c>
      <c r="W119" s="1"/>
      <c r="X119" s="1">
        <f t="shared" si="84"/>
        <v>-154.34</v>
      </c>
      <c r="Y119" s="1"/>
      <c r="Z119" s="5">
        <f t="shared" si="85"/>
        <v>-0.44097142857142857</v>
      </c>
    </row>
    <row r="120" spans="1:26" s="24" customFormat="1" hidden="1" outlineLevel="2" x14ac:dyDescent="0.25">
      <c r="A120" s="27"/>
      <c r="B120" s="11" t="str">
        <f>CONCATENATE("          ", "6274", " - ", "UTILITIES")</f>
        <v xml:space="preserve">          6274 - UTILITIES</v>
      </c>
      <c r="C120" s="11"/>
      <c r="D120" s="6">
        <v>43.86</v>
      </c>
      <c r="E120" s="2"/>
      <c r="F120" s="7">
        <f t="shared" si="78"/>
        <v>1.07159191747032E-3</v>
      </c>
      <c r="G120" s="2"/>
      <c r="H120" s="6">
        <v>100</v>
      </c>
      <c r="I120" s="2"/>
      <c r="J120" s="7">
        <f t="shared" si="79"/>
        <v>2.328526783534473E-3</v>
      </c>
      <c r="K120" s="2"/>
      <c r="L120" s="6">
        <f t="shared" si="80"/>
        <v>-56.14</v>
      </c>
      <c r="M120" s="2"/>
      <c r="N120" s="7">
        <f t="shared" si="81"/>
        <v>-0.56140000000000001</v>
      </c>
      <c r="O120" s="11"/>
      <c r="P120" s="6">
        <v>195.66</v>
      </c>
      <c r="Q120" s="2"/>
      <c r="R120" s="7">
        <f t="shared" si="82"/>
        <v>1.0061272667174167E-3</v>
      </c>
      <c r="S120" s="2"/>
      <c r="T120" s="6">
        <v>350</v>
      </c>
      <c r="U120" s="2"/>
      <c r="V120" s="7">
        <f t="shared" si="83"/>
        <v>1.8331528791082261E-3</v>
      </c>
      <c r="W120" s="2"/>
      <c r="X120" s="6">
        <f t="shared" si="84"/>
        <v>-154.34</v>
      </c>
      <c r="Y120" s="2"/>
      <c r="Z120" s="7">
        <f t="shared" si="85"/>
        <v>-0.44097142857142857</v>
      </c>
    </row>
    <row r="121" spans="1:26" s="61" customFormat="1" x14ac:dyDescent="0.25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25">
      <c r="A122" s="10"/>
      <c r="B122" s="29" t="s">
        <v>0</v>
      </c>
      <c r="C122" s="10"/>
      <c r="D122" s="4">
        <f>SUM(0)</f>
        <v>0</v>
      </c>
      <c r="E122" s="4"/>
      <c r="F122" s="12">
        <f>IF(D$12=0,0,D122/D$12)</f>
        <v>0</v>
      </c>
      <c r="G122" s="4"/>
      <c r="H122" s="4">
        <f>SUM(0)</f>
        <v>0</v>
      </c>
      <c r="I122" s="4"/>
      <c r="J122" s="12">
        <f>IF(H$12=0,0,H122/H$12)</f>
        <v>0</v>
      </c>
      <c r="K122" s="4"/>
      <c r="L122" s="4">
        <f>+D122-H122</f>
        <v>0</v>
      </c>
      <c r="M122" s="4"/>
      <c r="N122" s="12">
        <f>IF(H122=0,0,L122/H122)</f>
        <v>0</v>
      </c>
      <c r="O122" s="10"/>
      <c r="P122" s="4">
        <f>SUM(0)</f>
        <v>0</v>
      </c>
      <c r="Q122" s="4"/>
      <c r="R122" s="12">
        <f>IF(P$12=0,0,P122/P$12)</f>
        <v>0</v>
      </c>
      <c r="S122" s="4"/>
      <c r="T122" s="4">
        <f>SUM(0)</f>
        <v>0</v>
      </c>
      <c r="U122" s="4"/>
      <c r="V122" s="12">
        <f>IF(T$12=0,0,T122/T$12)</f>
        <v>0</v>
      </c>
      <c r="W122" s="4"/>
      <c r="X122" s="4">
        <f>+P122-T122</f>
        <v>0</v>
      </c>
      <c r="Y122" s="4"/>
      <c r="Z122" s="12">
        <f>IF(T122=0,0,X122/T122)</f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2">
        <f>+D49-D51+D122</f>
        <v>-6657.2400000000016</v>
      </c>
      <c r="E124" s="14"/>
      <c r="F124" s="20">
        <f>IF(D$12=0,0,D124/D$12)</f>
        <v>-0.16265035514500947</v>
      </c>
      <c r="G124" s="14"/>
      <c r="H124" s="22">
        <f>+H49-H51+H122</f>
        <v>-1123.6885366634633</v>
      </c>
      <c r="I124" s="14"/>
      <c r="J124" s="20">
        <f>IF(H$12=0,0,H124/H$12)</f>
        <v>-2.6165388539715329E-2</v>
      </c>
      <c r="K124" s="16"/>
      <c r="L124" s="22">
        <f>+D124-H124</f>
        <v>-5533.5514633365383</v>
      </c>
      <c r="M124" s="16"/>
      <c r="N124" s="20">
        <f>IF(H124=0,0,L124/H124)</f>
        <v>4.9244530693239579</v>
      </c>
      <c r="O124" s="29"/>
      <c r="P124" s="22">
        <f>+P49-P51+P122</f>
        <v>-7673.1699999999691</v>
      </c>
      <c r="Q124" s="14"/>
      <c r="R124" s="20">
        <f>IF(P$12=0,0,P124/P$12)</f>
        <v>-3.945714790533604E-2</v>
      </c>
      <c r="S124" s="14"/>
      <c r="T124" s="22">
        <f>+T49-T51+T122</f>
        <v>2972.0927150115313</v>
      </c>
      <c r="U124" s="14"/>
      <c r="V124" s="20">
        <f>IF(T$12=0,0,T124/T$12)</f>
        <v>1.5566572335714207E-2</v>
      </c>
      <c r="W124" s="16"/>
      <c r="X124" s="22">
        <f>+P124-T124</f>
        <v>-10645.2627150115</v>
      </c>
      <c r="Y124" s="16"/>
      <c r="Z124" s="20">
        <f>IF(T124=0,0,X124/T124)</f>
        <v>-3.5817397826265989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3083.6</v>
      </c>
      <c r="E126" s="4"/>
      <c r="F126" s="12">
        <f>IF(D$12=0,0,D126/D$12)</f>
        <v>7.533882436642679E-2</v>
      </c>
      <c r="G126" s="4"/>
      <c r="H126" s="4">
        <v>4275</v>
      </c>
      <c r="I126" s="4"/>
      <c r="J126" s="12">
        <f>IF(H$12=0,0,H126/H$12)</f>
        <v>9.9544519996098715E-2</v>
      </c>
      <c r="K126" s="4"/>
      <c r="L126" s="4">
        <f>+D126-H126</f>
        <v>-1191.4000000000001</v>
      </c>
      <c r="M126" s="4"/>
      <c r="N126" s="12">
        <f>IF(H126=0,0,L126/H126)</f>
        <v>-0.27869005847953221</v>
      </c>
      <c r="O126" s="10"/>
      <c r="P126" s="4">
        <v>19575.689999999999</v>
      </c>
      <c r="Q126" s="4"/>
      <c r="R126" s="12">
        <f>IF(P$12=0,0,P126/P$12)</f>
        <v>0.10066255480837917</v>
      </c>
      <c r="S126" s="4"/>
      <c r="T126" s="4">
        <v>22993</v>
      </c>
      <c r="U126" s="4"/>
      <c r="V126" s="12">
        <f>IF(T$12=0,0,T126/T$12)</f>
        <v>0.12042766899810126</v>
      </c>
      <c r="W126" s="4"/>
      <c r="X126" s="4">
        <f>+P126-T126</f>
        <v>-3417.3100000000013</v>
      </c>
      <c r="Y126" s="4"/>
      <c r="Z126" s="12">
        <f>IF(T126=0,0,X126/T126)</f>
        <v>-0.14862392902187627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1">
        <f>+D124-D126</f>
        <v>-9740.840000000002</v>
      </c>
      <c r="E128" s="14"/>
      <c r="F128" s="33">
        <f>IF(D$12=0,0,D128/D$12)</f>
        <v>-0.23798917951143625</v>
      </c>
      <c r="G128" s="14"/>
      <c r="H128" s="31">
        <f>+H124-H126</f>
        <v>-5398.6885366634633</v>
      </c>
      <c r="I128" s="14"/>
      <c r="J128" s="33">
        <f>IF(H$12=0,0,H128/H$12)</f>
        <v>-0.12570990853581404</v>
      </c>
      <c r="K128" s="16"/>
      <c r="L128" s="31">
        <f>D128-H128</f>
        <v>-4342.1514633365387</v>
      </c>
      <c r="M128" s="16"/>
      <c r="N128" s="33">
        <f>IF(H128=0,0,L128/H128)</f>
        <v>0.80429745740066472</v>
      </c>
      <c r="O128" s="29"/>
      <c r="P128" s="31">
        <f>+P124-P126</f>
        <v>-27248.859999999968</v>
      </c>
      <c r="Q128" s="14"/>
      <c r="R128" s="33">
        <f>IF(P$12=0,0,P128/P$12)</f>
        <v>-0.14011970271371521</v>
      </c>
      <c r="S128" s="14"/>
      <c r="T128" s="31">
        <f>+T124-T126</f>
        <v>-20020.907284988469</v>
      </c>
      <c r="U128" s="14"/>
      <c r="V128" s="33">
        <f>IF(T$12=0,0,T128/T$12)</f>
        <v>-0.10486109666238705</v>
      </c>
      <c r="W128" s="16"/>
      <c r="X128" s="31">
        <f>P128-T128</f>
        <v>-7227.9527150114991</v>
      </c>
      <c r="Y128" s="16"/>
      <c r="Z128" s="33">
        <f>IF(T128=0,0,X128/T128)</f>
        <v>0.3610202381003465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2">
        <f>SUM(D128:D130)</f>
        <v>-9740.840000000002</v>
      </c>
      <c r="E131" s="14"/>
      <c r="F131" s="34">
        <f>IF(D$12=0,0,D131/D$12)</f>
        <v>-0.23798917951143625</v>
      </c>
      <c r="G131" s="14"/>
      <c r="H131" s="32">
        <f>SUM(H128:H130)</f>
        <v>-5398.6885366634633</v>
      </c>
      <c r="I131" s="14"/>
      <c r="J131" s="34">
        <f>IF(H$12=0,0,H131/H$12)</f>
        <v>-0.12570990853581404</v>
      </c>
      <c r="K131" s="16"/>
      <c r="L131" s="32">
        <f>+D131-H131</f>
        <v>-4342.1514633365387</v>
      </c>
      <c r="M131" s="16"/>
      <c r="N131" s="34">
        <f>IF(H131=0,0,L131/H131)</f>
        <v>0.80429745740066472</v>
      </c>
      <c r="O131" s="29"/>
      <c r="P131" s="32">
        <f>SUM(P128:P130)</f>
        <v>-27248.859999999968</v>
      </c>
      <c r="Q131" s="14"/>
      <c r="R131" s="34">
        <f>IF(P$12=0,0,P131/P$12)</f>
        <v>-0.14011970271371521</v>
      </c>
      <c r="S131" s="14"/>
      <c r="T131" s="32">
        <f>SUM(T128:T130)</f>
        <v>-20020.907284988469</v>
      </c>
      <c r="U131" s="14"/>
      <c r="V131" s="34">
        <f>IF(T$12=0,0,T131/T$12)</f>
        <v>-0.10486109666238705</v>
      </c>
      <c r="W131" s="16"/>
      <c r="X131" s="32">
        <f>+P131-T131</f>
        <v>-7227.9527150114991</v>
      </c>
      <c r="Y131" s="16"/>
      <c r="Z131" s="34">
        <f>IF(T131=0,0,X131/T131)</f>
        <v>0.3610202381003465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60">
        <v>43791.34838333333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4" t="s">
        <v>314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5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2874</v>
      </c>
      <c r="E12" s="4"/>
      <c r="F12" s="12"/>
      <c r="G12" s="4"/>
      <c r="H12" s="4">
        <f>SUM(OSRRefH13x_0)</f>
        <v>2549</v>
      </c>
      <c r="I12" s="4"/>
      <c r="J12" s="12"/>
      <c r="K12" s="4"/>
      <c r="L12" s="4">
        <f t="shared" ref="L12:L14" si="0">+D12-H12</f>
        <v>325</v>
      </c>
      <c r="M12" s="4"/>
      <c r="N12" s="12">
        <f t="shared" ref="N12:N14" si="1">IF(H12=0,0,L12/H12)</f>
        <v>0.12750098077677521</v>
      </c>
      <c r="O12" s="10"/>
      <c r="P12" s="4">
        <f>SUM(OSRRefP13x_0)</f>
        <v>5280.5</v>
      </c>
      <c r="Q12" s="4"/>
      <c r="R12" s="12"/>
      <c r="S12" s="4"/>
      <c r="T12" s="4">
        <f>SUM(OSRRefT13x_0)</f>
        <v>4573</v>
      </c>
      <c r="U12" s="4"/>
      <c r="V12" s="12"/>
      <c r="W12" s="4"/>
      <c r="X12" s="4">
        <f t="shared" ref="X12:X14" si="2">+P12-T12</f>
        <v>707.5</v>
      </c>
      <c r="Y12" s="4"/>
      <c r="Z12" s="12">
        <f t="shared" ref="Z12:Z14" si="3">IF(T12=0,0,X12/T12)</f>
        <v>0.15471244259785699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2549</v>
      </c>
      <c r="I13" s="2"/>
      <c r="J13" s="19"/>
      <c r="K13" s="2"/>
      <c r="L13" s="2">
        <f t="shared" si="0"/>
        <v>-2549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4573</v>
      </c>
      <c r="U13" s="2"/>
      <c r="V13" s="19"/>
      <c r="W13" s="2"/>
      <c r="X13" s="2">
        <f t="shared" si="2"/>
        <v>-4573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--2874</f>
        <v>2874</v>
      </c>
      <c r="E14" s="2"/>
      <c r="F14" s="19"/>
      <c r="G14" s="2"/>
      <c r="H14" s="2"/>
      <c r="I14" s="2"/>
      <c r="J14" s="19"/>
      <c r="K14" s="2"/>
      <c r="L14" s="2">
        <f t="shared" si="0"/>
        <v>2874</v>
      </c>
      <c r="M14" s="2"/>
      <c r="N14" s="19">
        <f t="shared" si="1"/>
        <v>0</v>
      </c>
      <c r="O14" s="11"/>
      <c r="P14" s="2">
        <f>--5280.5</f>
        <v>5280.5</v>
      </c>
      <c r="Q14" s="2"/>
      <c r="R14" s="19"/>
      <c r="S14" s="2"/>
      <c r="T14" s="2"/>
      <c r="U14" s="2"/>
      <c r="V14" s="19"/>
      <c r="W14" s="2"/>
      <c r="X14" s="2">
        <f t="shared" si="2"/>
        <v>5280.5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1779</v>
      </c>
      <c r="E16" s="4"/>
      <c r="F16" s="12">
        <f t="shared" ref="F16:F18" si="4">IF(D$12=0,0,D16/D$12)</f>
        <v>0.61899791231732781</v>
      </c>
      <c r="G16" s="4"/>
      <c r="H16" s="4">
        <f>SUM(OSRRefH16x_0)</f>
        <v>1274</v>
      </c>
      <c r="I16" s="4"/>
      <c r="J16" s="12">
        <f t="shared" ref="J16:J18" si="5">IF(H$12=0,0,H16/H$12)</f>
        <v>0.49980384464495881</v>
      </c>
      <c r="K16" s="4"/>
      <c r="L16" s="4">
        <f t="shared" ref="L16:L18" si="6">+D16-H16</f>
        <v>505</v>
      </c>
      <c r="M16" s="4"/>
      <c r="N16" s="12">
        <f t="shared" ref="N16:N18" si="7">IF(H16=0,0,L16/H16)</f>
        <v>0.39638932496075352</v>
      </c>
      <c r="O16" s="10"/>
      <c r="P16" s="4">
        <f>SUM(OSRRefP16x_0)</f>
        <v>2648.96</v>
      </c>
      <c r="Q16" s="4"/>
      <c r="R16" s="12">
        <f t="shared" ref="R16:R18" si="8">IF(P$12=0,0,P16/P$12)</f>
        <v>0.50164946501278285</v>
      </c>
      <c r="S16" s="4"/>
      <c r="T16" s="4">
        <f>SUM(OSRRefT16x_0)</f>
        <v>2286</v>
      </c>
      <c r="U16" s="4"/>
      <c r="V16" s="12">
        <f t="shared" ref="V16:V18" si="9">IF(T$12=0,0,T16/T$12)</f>
        <v>0.49989066258473652</v>
      </c>
      <c r="W16" s="4"/>
      <c r="X16" s="4">
        <f t="shared" ref="X16:X18" si="10">+P16-T16</f>
        <v>362.96000000000004</v>
      </c>
      <c r="Y16" s="4"/>
      <c r="Z16" s="12">
        <f t="shared" ref="Z16:Z18" si="11">IF(T16=0,0,X16/T16)</f>
        <v>0.15877515310586179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1274</v>
      </c>
      <c r="I17" s="2"/>
      <c r="J17" s="19">
        <f t="shared" si="5"/>
        <v>0.49980384464495881</v>
      </c>
      <c r="K17" s="2"/>
      <c r="L17" s="2">
        <f t="shared" si="6"/>
        <v>-1274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2286</v>
      </c>
      <c r="U17" s="2"/>
      <c r="V17" s="19">
        <f t="shared" si="9"/>
        <v>0.49989066258473652</v>
      </c>
      <c r="W17" s="2"/>
      <c r="X17" s="2">
        <f t="shared" si="10"/>
        <v>-2286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1779</v>
      </c>
      <c r="E18" s="2"/>
      <c r="F18" s="19">
        <f t="shared" si="4"/>
        <v>0.61899791231732781</v>
      </c>
      <c r="G18" s="2"/>
      <c r="H18" s="2"/>
      <c r="I18" s="2"/>
      <c r="J18" s="19">
        <f t="shared" si="5"/>
        <v>0</v>
      </c>
      <c r="K18" s="2"/>
      <c r="L18" s="2">
        <f t="shared" si="6"/>
        <v>1779</v>
      </c>
      <c r="M18" s="2"/>
      <c r="N18" s="19">
        <f t="shared" si="7"/>
        <v>0</v>
      </c>
      <c r="O18" s="11"/>
      <c r="P18" s="2">
        <v>2648.96</v>
      </c>
      <c r="Q18" s="2"/>
      <c r="R18" s="19">
        <f t="shared" si="8"/>
        <v>0.50164946501278285</v>
      </c>
      <c r="S18" s="2"/>
      <c r="T18" s="2"/>
      <c r="U18" s="2"/>
      <c r="V18" s="19">
        <f t="shared" si="9"/>
        <v>0</v>
      </c>
      <c r="W18" s="2"/>
      <c r="X18" s="2">
        <f t="shared" si="10"/>
        <v>2648.96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2">
        <f>D12-D16</f>
        <v>1095</v>
      </c>
      <c r="E20" s="14"/>
      <c r="F20" s="20">
        <f>IF(D$12=0,0,D20/D$12)</f>
        <v>0.38100208768267224</v>
      </c>
      <c r="G20" s="14"/>
      <c r="H20" s="22">
        <f>H12-H16</f>
        <v>1275</v>
      </c>
      <c r="I20" s="14"/>
      <c r="J20" s="20">
        <f>IF(H$12=0,0,H20/H$12)</f>
        <v>0.50019615535504114</v>
      </c>
      <c r="K20" s="16"/>
      <c r="L20" s="22">
        <f>+D20-H20</f>
        <v>-180</v>
      </c>
      <c r="M20" s="16"/>
      <c r="N20" s="20">
        <f>IF(H20=0,0,L20/H20)</f>
        <v>-0.14117647058823529</v>
      </c>
      <c r="O20" s="29"/>
      <c r="P20" s="22">
        <f>P12-P16</f>
        <v>2631.54</v>
      </c>
      <c r="Q20" s="14"/>
      <c r="R20" s="20">
        <f>IF(P$12=0,0,P20/P$12)</f>
        <v>0.4983505349872171</v>
      </c>
      <c r="S20" s="14"/>
      <c r="T20" s="22">
        <f>T12-T16</f>
        <v>2287</v>
      </c>
      <c r="U20" s="14"/>
      <c r="V20" s="20">
        <f>IF(T$12=0,0,T20/T$12)</f>
        <v>0.50010933741526353</v>
      </c>
      <c r="W20" s="16"/>
      <c r="X20" s="22">
        <f>+P20-T20</f>
        <v>344.53999999999996</v>
      </c>
      <c r="Y20" s="16"/>
      <c r="Z20" s="20">
        <f>IF(T20=0,0,X20/T20)</f>
        <v>0.15065150852645384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523.46</v>
      </c>
      <c r="E22" s="21"/>
      <c r="F22" s="35">
        <f t="shared" ref="F22:F28" si="12">IF(D$12=0,0,D22/D$12)</f>
        <v>0.18213639526791928</v>
      </c>
      <c r="G22" s="21"/>
      <c r="H22" s="21">
        <f>SUM(OSRRefH22x_0)</f>
        <v>219</v>
      </c>
      <c r="I22" s="21"/>
      <c r="J22" s="35">
        <f t="shared" ref="J22:J28" si="13">IF(H$12=0,0,H22/H$12)</f>
        <v>8.5916045508042369E-2</v>
      </c>
      <c r="K22" s="4"/>
      <c r="L22" s="21">
        <f t="shared" ref="L22:L28" si="14">+D22-H22</f>
        <v>304.46000000000004</v>
      </c>
      <c r="M22" s="4"/>
      <c r="N22" s="35">
        <f t="shared" ref="N22:N28" si="15">IF(H22=0,0,L22/H22)</f>
        <v>1.3902283105022832</v>
      </c>
      <c r="O22" s="10"/>
      <c r="P22" s="21">
        <f>SUM(OSRRefP22x_0)</f>
        <v>741.2</v>
      </c>
      <c r="Q22" s="21"/>
      <c r="R22" s="35">
        <f t="shared" ref="R22:R28" si="16">IF(P$12=0,0,P22/P$12)</f>
        <v>0.14036549569169587</v>
      </c>
      <c r="S22" s="21"/>
      <c r="T22" s="21">
        <f>SUM(OSRRefT22x_0)</f>
        <v>393</v>
      </c>
      <c r="U22" s="21"/>
      <c r="V22" s="35">
        <f t="shared" ref="V22:V28" si="17">IF(T$12=0,0,T22/T$12)</f>
        <v>8.5939208397113498E-2</v>
      </c>
      <c r="W22" s="4"/>
      <c r="X22" s="21">
        <f t="shared" ref="X22:X28" si="18">+P22-T22</f>
        <v>348.20000000000005</v>
      </c>
      <c r="Y22" s="4"/>
      <c r="Z22" s="35">
        <f t="shared" ref="Z22:Z28" si="19">IF(T22=0,0,X22/T22)</f>
        <v>0.88600508905852426</v>
      </c>
    </row>
    <row r="23" spans="1:26" s="26" customFormat="1" outlineLevel="1" collapsed="1" x14ac:dyDescent="0.25">
      <c r="A23" s="25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203.01</v>
      </c>
      <c r="E23" s="1"/>
      <c r="F23" s="5">
        <f t="shared" si="12"/>
        <v>7.0636743215031314E-2</v>
      </c>
      <c r="G23" s="1"/>
      <c r="H23" s="1">
        <f>SUM(OSRRefH22_0x_0)</f>
        <v>219</v>
      </c>
      <c r="I23" s="1"/>
      <c r="J23" s="5">
        <f t="shared" si="13"/>
        <v>8.5916045508042369E-2</v>
      </c>
      <c r="K23" s="1"/>
      <c r="L23" s="1">
        <f t="shared" si="14"/>
        <v>-15.990000000000009</v>
      </c>
      <c r="M23" s="1"/>
      <c r="N23" s="5">
        <f t="shared" si="15"/>
        <v>-7.3013698630137028E-2</v>
      </c>
      <c r="O23" s="13"/>
      <c r="P23" s="1">
        <f>SUM(OSRRefP22_0x_0)</f>
        <v>420.75</v>
      </c>
      <c r="Q23" s="1"/>
      <c r="R23" s="5">
        <f t="shared" si="16"/>
        <v>7.9679954549758542E-2</v>
      </c>
      <c r="S23" s="1"/>
      <c r="T23" s="1">
        <f>SUM(OSRRefT22_0x_0)</f>
        <v>393</v>
      </c>
      <c r="U23" s="1"/>
      <c r="V23" s="5">
        <f t="shared" si="17"/>
        <v>8.5939208397113498E-2</v>
      </c>
      <c r="W23" s="1"/>
      <c r="X23" s="1">
        <f t="shared" si="18"/>
        <v>27.75</v>
      </c>
      <c r="Y23" s="1"/>
      <c r="Z23" s="5">
        <f t="shared" si="19"/>
        <v>7.061068702290077E-2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6">
        <v>203.01</v>
      </c>
      <c r="E24" s="2"/>
      <c r="F24" s="7">
        <f t="shared" si="12"/>
        <v>7.0636743215031314E-2</v>
      </c>
      <c r="G24" s="2"/>
      <c r="H24" s="6">
        <v>219</v>
      </c>
      <c r="I24" s="2"/>
      <c r="J24" s="7">
        <f t="shared" si="13"/>
        <v>8.5916045508042369E-2</v>
      </c>
      <c r="K24" s="2"/>
      <c r="L24" s="6">
        <f t="shared" si="14"/>
        <v>-15.990000000000009</v>
      </c>
      <c r="M24" s="2"/>
      <c r="N24" s="7">
        <f t="shared" si="15"/>
        <v>-7.3013698630137028E-2</v>
      </c>
      <c r="O24" s="11"/>
      <c r="P24" s="6">
        <v>420.75</v>
      </c>
      <c r="Q24" s="2"/>
      <c r="R24" s="7">
        <f t="shared" si="16"/>
        <v>7.9679954549758542E-2</v>
      </c>
      <c r="S24" s="2"/>
      <c r="T24" s="6">
        <v>393</v>
      </c>
      <c r="U24" s="2"/>
      <c r="V24" s="7">
        <f t="shared" si="17"/>
        <v>8.5939208397113498E-2</v>
      </c>
      <c r="W24" s="2"/>
      <c r="X24" s="6">
        <f t="shared" si="18"/>
        <v>27.75</v>
      </c>
      <c r="Y24" s="2"/>
      <c r="Z24" s="7">
        <f t="shared" si="19"/>
        <v>7.061068702290077E-2</v>
      </c>
    </row>
    <row r="25" spans="1:26" s="26" customFormat="1" outlineLevel="1" collapsed="1" x14ac:dyDescent="0.25">
      <c r="A25" s="25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23.45</v>
      </c>
      <c r="E25" s="1"/>
      <c r="F25" s="5">
        <f t="shared" si="12"/>
        <v>8.1593597773138484E-3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23.45</v>
      </c>
      <c r="M25" s="1"/>
      <c r="N25" s="5">
        <f t="shared" si="15"/>
        <v>0</v>
      </c>
      <c r="O25" s="13"/>
      <c r="P25" s="1">
        <f>SUM(OSRRefP22_1x_0)</f>
        <v>23.45</v>
      </c>
      <c r="Q25" s="1"/>
      <c r="R25" s="5">
        <f t="shared" si="16"/>
        <v>4.4408673421077547E-3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23.45</v>
      </c>
      <c r="Y25" s="1"/>
      <c r="Z25" s="5">
        <f t="shared" si="19"/>
        <v>0</v>
      </c>
    </row>
    <row r="26" spans="1:26" s="24" customFormat="1" hidden="1" outlineLevel="2" x14ac:dyDescent="0.25">
      <c r="A26" s="27"/>
      <c r="B26" s="11" t="str">
        <f>CONCATENATE("          ", "6279", " - ", "GENERAL EXPENSE")</f>
        <v xml:space="preserve">          6279 - GENERAL EXPENSE</v>
      </c>
      <c r="C26" s="11"/>
      <c r="D26" s="6">
        <v>23.45</v>
      </c>
      <c r="E26" s="2"/>
      <c r="F26" s="7">
        <f t="shared" si="12"/>
        <v>8.1593597773138484E-3</v>
      </c>
      <c r="G26" s="2"/>
      <c r="H26" s="6"/>
      <c r="I26" s="2"/>
      <c r="J26" s="7">
        <f t="shared" si="13"/>
        <v>0</v>
      </c>
      <c r="K26" s="2"/>
      <c r="L26" s="6">
        <f t="shared" si="14"/>
        <v>23.45</v>
      </c>
      <c r="M26" s="2"/>
      <c r="N26" s="7">
        <f t="shared" si="15"/>
        <v>0</v>
      </c>
      <c r="O26" s="11"/>
      <c r="P26" s="6">
        <v>23.45</v>
      </c>
      <c r="Q26" s="2"/>
      <c r="R26" s="7">
        <f t="shared" si="16"/>
        <v>4.4408673421077547E-3</v>
      </c>
      <c r="S26" s="2"/>
      <c r="T26" s="6"/>
      <c r="U26" s="2"/>
      <c r="V26" s="7">
        <f t="shared" si="17"/>
        <v>0</v>
      </c>
      <c r="W26" s="2"/>
      <c r="X26" s="6">
        <f t="shared" si="18"/>
        <v>23.45</v>
      </c>
      <c r="Y26" s="2"/>
      <c r="Z26" s="7">
        <f t="shared" si="19"/>
        <v>0</v>
      </c>
    </row>
    <row r="27" spans="1:26" s="26" customFormat="1" outlineLevel="1" collapsed="1" x14ac:dyDescent="0.25">
      <c r="A27" s="25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297</v>
      </c>
      <c r="E27" s="1"/>
      <c r="F27" s="5">
        <f t="shared" si="12"/>
        <v>0.10334029227557412</v>
      </c>
      <c r="G27" s="1"/>
      <c r="H27" s="1">
        <f>SUM(OSRRefH22_2x_0)</f>
        <v>0</v>
      </c>
      <c r="I27" s="1"/>
      <c r="J27" s="5">
        <f t="shared" si="13"/>
        <v>0</v>
      </c>
      <c r="K27" s="1"/>
      <c r="L27" s="1">
        <f t="shared" si="14"/>
        <v>297</v>
      </c>
      <c r="M27" s="1"/>
      <c r="N27" s="5">
        <f t="shared" si="15"/>
        <v>0</v>
      </c>
      <c r="O27" s="13"/>
      <c r="P27" s="1">
        <f>SUM(OSRRefP22_2x_0)</f>
        <v>297</v>
      </c>
      <c r="Q27" s="1"/>
      <c r="R27" s="5">
        <f t="shared" si="16"/>
        <v>5.6244673799829559E-2</v>
      </c>
      <c r="S27" s="1"/>
      <c r="T27" s="1">
        <f>SUM(OSRRefT22_2x_0)</f>
        <v>0</v>
      </c>
      <c r="U27" s="1"/>
      <c r="V27" s="5">
        <f t="shared" si="17"/>
        <v>0</v>
      </c>
      <c r="W27" s="1"/>
      <c r="X27" s="1">
        <f t="shared" si="18"/>
        <v>297</v>
      </c>
      <c r="Y27" s="1"/>
      <c r="Z27" s="5">
        <f t="shared" si="19"/>
        <v>0</v>
      </c>
    </row>
    <row r="28" spans="1:26" s="24" customFormat="1" hidden="1" outlineLevel="2" x14ac:dyDescent="0.25">
      <c r="A28" s="27"/>
      <c r="B28" s="11" t="str">
        <f>CONCATENATE("          ", "6247", " - ", "STORE SUPPLIES")</f>
        <v xml:space="preserve">          6247 - STORE SUPPLIES</v>
      </c>
      <c r="C28" s="11"/>
      <c r="D28" s="6">
        <v>297</v>
      </c>
      <c r="E28" s="2"/>
      <c r="F28" s="7">
        <f t="shared" si="12"/>
        <v>0.10334029227557412</v>
      </c>
      <c r="G28" s="2"/>
      <c r="H28" s="6"/>
      <c r="I28" s="2"/>
      <c r="J28" s="7">
        <f t="shared" si="13"/>
        <v>0</v>
      </c>
      <c r="K28" s="2"/>
      <c r="L28" s="6">
        <f t="shared" si="14"/>
        <v>297</v>
      </c>
      <c r="M28" s="2"/>
      <c r="N28" s="7">
        <f t="shared" si="15"/>
        <v>0</v>
      </c>
      <c r="O28" s="11"/>
      <c r="P28" s="6">
        <v>297</v>
      </c>
      <c r="Q28" s="2"/>
      <c r="R28" s="7">
        <f t="shared" si="16"/>
        <v>5.6244673799829559E-2</v>
      </c>
      <c r="S28" s="2"/>
      <c r="T28" s="6"/>
      <c r="U28" s="2"/>
      <c r="V28" s="7">
        <f t="shared" si="17"/>
        <v>0</v>
      </c>
      <c r="W28" s="2"/>
      <c r="X28" s="6">
        <f t="shared" si="18"/>
        <v>297</v>
      </c>
      <c r="Y28" s="2"/>
      <c r="Z28" s="7">
        <f t="shared" si="19"/>
        <v>0</v>
      </c>
    </row>
    <row r="29" spans="1:26" s="61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3</v>
      </c>
      <c r="C32" s="28"/>
      <c r="D32" s="22">
        <f>+D20-D22+D30</f>
        <v>571.54</v>
      </c>
      <c r="E32" s="14"/>
      <c r="F32" s="20">
        <f>IF(D$12=0,0,D32/D$12)</f>
        <v>0.19886569241475294</v>
      </c>
      <c r="G32" s="14"/>
      <c r="H32" s="22">
        <f>+H20-H22+H30</f>
        <v>1056</v>
      </c>
      <c r="I32" s="14"/>
      <c r="J32" s="20">
        <f>IF(H$12=0,0,H32/H$12)</f>
        <v>0.41428010984699881</v>
      </c>
      <c r="K32" s="16"/>
      <c r="L32" s="22">
        <f>+D32-H32</f>
        <v>-484.46000000000004</v>
      </c>
      <c r="M32" s="16"/>
      <c r="N32" s="20">
        <f>IF(H32=0,0,L32/H32)</f>
        <v>-0.45876893939393942</v>
      </c>
      <c r="O32" s="29"/>
      <c r="P32" s="22">
        <f>+P20-P22+P30</f>
        <v>1890.34</v>
      </c>
      <c r="Q32" s="14"/>
      <c r="R32" s="20">
        <f>IF(P$12=0,0,P32/P$12)</f>
        <v>0.35798503929552122</v>
      </c>
      <c r="S32" s="14"/>
      <c r="T32" s="22">
        <f>+T20-T22+T30</f>
        <v>1894</v>
      </c>
      <c r="U32" s="14"/>
      <c r="V32" s="20">
        <f>IF(T$12=0,0,T32/T$12)</f>
        <v>0.41417012901815004</v>
      </c>
      <c r="W32" s="16"/>
      <c r="X32" s="22">
        <f>+P32-T32</f>
        <v>-3.6600000000000819</v>
      </c>
      <c r="Y32" s="16"/>
      <c r="Z32" s="20">
        <f>IF(T32=0,0,X32/T32)</f>
        <v>-1.9324181626188394E-3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273.06</v>
      </c>
      <c r="E34" s="4"/>
      <c r="F34" s="12">
        <f>IF(D$12=0,0,D34/D$12)</f>
        <v>9.5010438413361167E-2</v>
      </c>
      <c r="G34" s="4"/>
      <c r="H34" s="4">
        <v>295</v>
      </c>
      <c r="I34" s="4"/>
      <c r="J34" s="12">
        <f>IF(H$12=0,0,H34/H$12)</f>
        <v>0.11573165947430365</v>
      </c>
      <c r="K34" s="4"/>
      <c r="L34" s="4">
        <f>+D34-H34</f>
        <v>-21.939999999999998</v>
      </c>
      <c r="M34" s="4"/>
      <c r="N34" s="12">
        <f>IF(H34=0,0,L34/H34)</f>
        <v>-7.4372881355932202E-2</v>
      </c>
      <c r="O34" s="10"/>
      <c r="P34" s="4">
        <v>531.54999999999995</v>
      </c>
      <c r="Q34" s="4"/>
      <c r="R34" s="12">
        <f>IF(P$12=0,0,P34/P$12)</f>
        <v>0.10066281602121011</v>
      </c>
      <c r="S34" s="4"/>
      <c r="T34" s="4">
        <v>551</v>
      </c>
      <c r="U34" s="4"/>
      <c r="V34" s="12">
        <f>IF(T$12=0,0,T34/T$12)</f>
        <v>0.12048983162038049</v>
      </c>
      <c r="W34" s="4"/>
      <c r="X34" s="4">
        <f>+P34-T34</f>
        <v>-19.450000000000045</v>
      </c>
      <c r="Y34" s="4"/>
      <c r="Z34" s="12">
        <f>IF(T34=0,0,X34/T34)</f>
        <v>-3.5299455535390281E-2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4</v>
      </c>
      <c r="C36" s="28"/>
      <c r="D36" s="31">
        <f>+D32-D34</f>
        <v>298.47999999999996</v>
      </c>
      <c r="E36" s="14"/>
      <c r="F36" s="33">
        <f>IF(D$12=0,0,D36/D$12)</f>
        <v>0.10385525400139177</v>
      </c>
      <c r="G36" s="14"/>
      <c r="H36" s="31">
        <f>+H32-H34</f>
        <v>761</v>
      </c>
      <c r="I36" s="14"/>
      <c r="J36" s="33">
        <f>IF(H$12=0,0,H36/H$12)</f>
        <v>0.29854845037269517</v>
      </c>
      <c r="K36" s="16"/>
      <c r="L36" s="31">
        <f>D36-H36</f>
        <v>-462.52000000000004</v>
      </c>
      <c r="M36" s="16"/>
      <c r="N36" s="33">
        <f>IF(H36=0,0,L36/H36)</f>
        <v>-0.60777923784494092</v>
      </c>
      <c r="O36" s="29"/>
      <c r="P36" s="31">
        <f>+P32-P34</f>
        <v>1358.79</v>
      </c>
      <c r="Q36" s="14"/>
      <c r="R36" s="33">
        <f>IF(P$12=0,0,P36/P$12)</f>
        <v>0.25732222327431115</v>
      </c>
      <c r="S36" s="14"/>
      <c r="T36" s="31">
        <f>+T32-T34</f>
        <v>1343</v>
      </c>
      <c r="U36" s="14"/>
      <c r="V36" s="33">
        <f>IF(T$12=0,0,T36/T$12)</f>
        <v>0.29368029739776952</v>
      </c>
      <c r="W36" s="16"/>
      <c r="X36" s="31">
        <f>P36-T36</f>
        <v>15.789999999999964</v>
      </c>
      <c r="Y36" s="16"/>
      <c r="Z36" s="33">
        <f>IF(T36=0,0,X36/T36)</f>
        <v>1.1757259865971679E-2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5</v>
      </c>
      <c r="C39" s="28"/>
      <c r="D39" s="32">
        <f>SUM(D36:D38)</f>
        <v>298.47999999999996</v>
      </c>
      <c r="E39" s="14"/>
      <c r="F39" s="34">
        <f>IF(D$12=0,0,D39/D$12)</f>
        <v>0.10385525400139177</v>
      </c>
      <c r="G39" s="14"/>
      <c r="H39" s="32">
        <f>SUM(H36:H38)</f>
        <v>761</v>
      </c>
      <c r="I39" s="14"/>
      <c r="J39" s="34">
        <f>IF(H$12=0,0,H39/H$12)</f>
        <v>0.29854845037269517</v>
      </c>
      <c r="K39" s="16"/>
      <c r="L39" s="32">
        <f>+D39-H39</f>
        <v>-462.52000000000004</v>
      </c>
      <c r="M39" s="16"/>
      <c r="N39" s="34">
        <f>IF(H39=0,0,L39/H39)</f>
        <v>-0.60777923784494092</v>
      </c>
      <c r="O39" s="29"/>
      <c r="P39" s="32">
        <f>SUM(P36:P38)</f>
        <v>1358.79</v>
      </c>
      <c r="Q39" s="14"/>
      <c r="R39" s="34">
        <f>IF(P$12=0,0,P39/P$12)</f>
        <v>0.25732222327431115</v>
      </c>
      <c r="S39" s="14"/>
      <c r="T39" s="32">
        <f>SUM(T36:T38)</f>
        <v>1343</v>
      </c>
      <c r="U39" s="14"/>
      <c r="V39" s="34">
        <f>IF(T$12=0,0,T39/T$12)</f>
        <v>0.29368029739776952</v>
      </c>
      <c r="W39" s="16"/>
      <c r="X39" s="32">
        <f>+P39-T39</f>
        <v>15.789999999999964</v>
      </c>
      <c r="Y39" s="16"/>
      <c r="Z39" s="34">
        <f>IF(T39=0,0,X39/T39)</f>
        <v>1.1757259865971679E-2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0">
        <v>43791.348400266201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4" t="s">
        <v>314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5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2541778.2600000002</v>
      </c>
      <c r="E12" s="4"/>
      <c r="F12" s="12"/>
      <c r="G12" s="4"/>
      <c r="H12" s="4">
        <f>SUM(OSRRefH13x_0)</f>
        <v>2686933</v>
      </c>
      <c r="I12" s="4"/>
      <c r="J12" s="12"/>
      <c r="K12" s="4"/>
      <c r="L12" s="4">
        <f t="shared" ref="L12:L24" si="0">+D12-H12</f>
        <v>-145154.73999999976</v>
      </c>
      <c r="M12" s="4"/>
      <c r="N12" s="12">
        <f t="shared" ref="N12:N24" si="1">IF(H12=0,0,L12/H12)</f>
        <v>-5.4022463529980004E-2</v>
      </c>
      <c r="O12" s="10"/>
      <c r="P12" s="4">
        <f>SUM(OSRRefP13x_0)</f>
        <v>6256973.4099999992</v>
      </c>
      <c r="Q12" s="4"/>
      <c r="R12" s="12"/>
      <c r="S12" s="4"/>
      <c r="T12" s="4">
        <f>SUM(OSRRefT13x_0)</f>
        <v>6631380</v>
      </c>
      <c r="U12" s="4"/>
      <c r="V12" s="12"/>
      <c r="W12" s="4"/>
      <c r="X12" s="4">
        <f t="shared" ref="X12:X24" si="2">+P12-T12</f>
        <v>-374406.59000000078</v>
      </c>
      <c r="Y12" s="4"/>
      <c r="Z12" s="12">
        <f t="shared" ref="Z12:Z24" si="3">IF(T12=0,0,X12/T12)</f>
        <v>-5.6459830382213173E-2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481470</v>
      </c>
      <c r="I13" s="2"/>
      <c r="J13" s="19"/>
      <c r="K13" s="2"/>
      <c r="L13" s="2">
        <f t="shared" si="0"/>
        <v>-481470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1238549</v>
      </c>
      <c r="U13" s="2"/>
      <c r="V13" s="19"/>
      <c r="W13" s="2"/>
      <c r="X13" s="2">
        <f t="shared" si="2"/>
        <v>-1238549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--89845.91</f>
        <v>89845.91</v>
      </c>
      <c r="E14" s="2"/>
      <c r="F14" s="19"/>
      <c r="G14" s="2"/>
      <c r="H14" s="2"/>
      <c r="I14" s="2"/>
      <c r="J14" s="19"/>
      <c r="K14" s="2"/>
      <c r="L14" s="2">
        <f t="shared" si="0"/>
        <v>89845.91</v>
      </c>
      <c r="M14" s="2"/>
      <c r="N14" s="19">
        <f t="shared" si="1"/>
        <v>0</v>
      </c>
      <c r="O14" s="11"/>
      <c r="P14" s="2">
        <f>--225616.67</f>
        <v>225616.67</v>
      </c>
      <c r="Q14" s="2"/>
      <c r="R14" s="19"/>
      <c r="S14" s="2"/>
      <c r="T14" s="2"/>
      <c r="U14" s="2"/>
      <c r="V14" s="19"/>
      <c r="W14" s="2"/>
      <c r="X14" s="2">
        <f t="shared" si="2"/>
        <v>225616.67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--115316.39</f>
        <v>115316.39</v>
      </c>
      <c r="E15" s="2"/>
      <c r="F15" s="19"/>
      <c r="G15" s="2"/>
      <c r="H15" s="2"/>
      <c r="I15" s="2"/>
      <c r="J15" s="19"/>
      <c r="K15" s="2"/>
      <c r="L15" s="2">
        <f t="shared" si="0"/>
        <v>115316.39</v>
      </c>
      <c r="M15" s="2"/>
      <c r="N15" s="19">
        <f t="shared" si="1"/>
        <v>0</v>
      </c>
      <c r="O15" s="11"/>
      <c r="P15" s="2">
        <f>--368822.4</f>
        <v>368822.4</v>
      </c>
      <c r="Q15" s="2"/>
      <c r="R15" s="19"/>
      <c r="S15" s="2"/>
      <c r="T15" s="2"/>
      <c r="U15" s="2"/>
      <c r="V15" s="19"/>
      <c r="W15" s="2"/>
      <c r="X15" s="2">
        <f t="shared" si="2"/>
        <v>368822.4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--19711.97</f>
        <v>19711.97</v>
      </c>
      <c r="E16" s="2"/>
      <c r="F16" s="19"/>
      <c r="G16" s="2"/>
      <c r="H16" s="2"/>
      <c r="I16" s="2"/>
      <c r="J16" s="19"/>
      <c r="K16" s="2"/>
      <c r="L16" s="2">
        <f t="shared" si="0"/>
        <v>19711.97</v>
      </c>
      <c r="M16" s="2"/>
      <c r="N16" s="19">
        <f t="shared" si="1"/>
        <v>0</v>
      </c>
      <c r="O16" s="11"/>
      <c r="P16" s="2">
        <f>--69878.4</f>
        <v>69878.399999999994</v>
      </c>
      <c r="Q16" s="2"/>
      <c r="R16" s="19"/>
      <c r="S16" s="2"/>
      <c r="T16" s="2"/>
      <c r="U16" s="2"/>
      <c r="V16" s="19"/>
      <c r="W16" s="2"/>
      <c r="X16" s="2">
        <f t="shared" si="2"/>
        <v>69878.399999999994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--75527.74</f>
        <v>75527.740000000005</v>
      </c>
      <c r="E17" s="2"/>
      <c r="F17" s="19"/>
      <c r="G17" s="2"/>
      <c r="H17" s="2"/>
      <c r="I17" s="2"/>
      <c r="J17" s="19"/>
      <c r="K17" s="2"/>
      <c r="L17" s="2">
        <f t="shared" si="0"/>
        <v>75527.740000000005</v>
      </c>
      <c r="M17" s="2"/>
      <c r="N17" s="19">
        <f t="shared" si="1"/>
        <v>0</v>
      </c>
      <c r="O17" s="11"/>
      <c r="P17" s="2">
        <f>--186642.74</f>
        <v>186642.74</v>
      </c>
      <c r="Q17" s="2"/>
      <c r="R17" s="19"/>
      <c r="S17" s="2"/>
      <c r="T17" s="2"/>
      <c r="U17" s="2"/>
      <c r="V17" s="19"/>
      <c r="W17" s="2"/>
      <c r="X17" s="2">
        <f t="shared" si="2"/>
        <v>186642.74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--21855.03</f>
        <v>21855.03</v>
      </c>
      <c r="E18" s="2"/>
      <c r="F18" s="19"/>
      <c r="G18" s="2"/>
      <c r="H18" s="2"/>
      <c r="I18" s="2"/>
      <c r="J18" s="19"/>
      <c r="K18" s="2"/>
      <c r="L18" s="2">
        <f t="shared" si="0"/>
        <v>21855.03</v>
      </c>
      <c r="M18" s="2"/>
      <c r="N18" s="19">
        <f t="shared" si="1"/>
        <v>0</v>
      </c>
      <c r="O18" s="11"/>
      <c r="P18" s="2">
        <f>--64145.93</f>
        <v>64145.93</v>
      </c>
      <c r="Q18" s="2"/>
      <c r="R18" s="19"/>
      <c r="S18" s="2"/>
      <c r="T18" s="2"/>
      <c r="U18" s="2"/>
      <c r="V18" s="19"/>
      <c r="W18" s="2"/>
      <c r="X18" s="2">
        <f t="shared" si="2"/>
        <v>64145.93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2205463</v>
      </c>
      <c r="I19" s="2"/>
      <c r="J19" s="19"/>
      <c r="K19" s="2"/>
      <c r="L19" s="2">
        <f t="shared" si="0"/>
        <v>-2205463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5392831</v>
      </c>
      <c r="U19" s="2"/>
      <c r="V19" s="19"/>
      <c r="W19" s="2"/>
      <c r="X19" s="2">
        <f t="shared" si="2"/>
        <v>-5392831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--1934030.88</f>
        <v>1934030.88</v>
      </c>
      <c r="E20" s="2"/>
      <c r="F20" s="19"/>
      <c r="G20" s="2"/>
      <c r="H20" s="2"/>
      <c r="I20" s="2"/>
      <c r="J20" s="19"/>
      <c r="K20" s="2"/>
      <c r="L20" s="2">
        <f t="shared" si="0"/>
        <v>1934030.88</v>
      </c>
      <c r="M20" s="2"/>
      <c r="N20" s="19">
        <f t="shared" si="1"/>
        <v>0</v>
      </c>
      <c r="O20" s="11"/>
      <c r="P20" s="2">
        <f>--4585030.01</f>
        <v>4585030.01</v>
      </c>
      <c r="Q20" s="2"/>
      <c r="R20" s="19"/>
      <c r="S20" s="2"/>
      <c r="T20" s="2"/>
      <c r="U20" s="2"/>
      <c r="V20" s="19"/>
      <c r="W20" s="2"/>
      <c r="X20" s="2">
        <f t="shared" si="2"/>
        <v>4585030.01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--9149.73</f>
        <v>9149.73</v>
      </c>
      <c r="E21" s="2"/>
      <c r="F21" s="19"/>
      <c r="G21" s="2"/>
      <c r="H21" s="2"/>
      <c r="I21" s="2"/>
      <c r="J21" s="19"/>
      <c r="K21" s="2"/>
      <c r="L21" s="2">
        <f t="shared" si="0"/>
        <v>9149.73</v>
      </c>
      <c r="M21" s="2"/>
      <c r="N21" s="19">
        <f t="shared" si="1"/>
        <v>0</v>
      </c>
      <c r="O21" s="11"/>
      <c r="P21" s="2">
        <f>--24938.79</f>
        <v>24938.79</v>
      </c>
      <c r="Q21" s="2"/>
      <c r="R21" s="19"/>
      <c r="S21" s="2"/>
      <c r="T21" s="2"/>
      <c r="U21" s="2"/>
      <c r="V21" s="19"/>
      <c r="W21" s="2"/>
      <c r="X21" s="2">
        <f t="shared" si="2"/>
        <v>24938.79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--30502.48</f>
        <v>30502.48</v>
      </c>
      <c r="E22" s="2"/>
      <c r="F22" s="19"/>
      <c r="G22" s="2"/>
      <c r="H22" s="2"/>
      <c r="I22" s="2"/>
      <c r="J22" s="19"/>
      <c r="K22" s="2"/>
      <c r="L22" s="2">
        <f t="shared" si="0"/>
        <v>30502.48</v>
      </c>
      <c r="M22" s="2"/>
      <c r="N22" s="19">
        <f t="shared" si="1"/>
        <v>0</v>
      </c>
      <c r="O22" s="11"/>
      <c r="P22" s="2">
        <f>--189788.06</f>
        <v>189788.06</v>
      </c>
      <c r="Q22" s="2"/>
      <c r="R22" s="19"/>
      <c r="S22" s="2"/>
      <c r="T22" s="2"/>
      <c r="U22" s="2"/>
      <c r="V22" s="19"/>
      <c r="W22" s="2"/>
      <c r="X22" s="2">
        <f t="shared" si="2"/>
        <v>189788.06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--150364.49</f>
        <v>150364.49</v>
      </c>
      <c r="E23" s="2"/>
      <c r="F23" s="19"/>
      <c r="G23" s="2"/>
      <c r="H23" s="2"/>
      <c r="I23" s="2"/>
      <c r="J23" s="19"/>
      <c r="K23" s="2"/>
      <c r="L23" s="2">
        <f t="shared" si="0"/>
        <v>150364.49</v>
      </c>
      <c r="M23" s="2"/>
      <c r="N23" s="19">
        <f t="shared" si="1"/>
        <v>0</v>
      </c>
      <c r="O23" s="11"/>
      <c r="P23" s="2">
        <f>--334390.14</f>
        <v>334390.14</v>
      </c>
      <c r="Q23" s="2"/>
      <c r="R23" s="19"/>
      <c r="S23" s="2"/>
      <c r="T23" s="2"/>
      <c r="U23" s="2"/>
      <c r="V23" s="19"/>
      <c r="W23" s="2"/>
      <c r="X23" s="2">
        <f t="shared" si="2"/>
        <v>334390.14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--95473.64</f>
        <v>95473.64</v>
      </c>
      <c r="E24" s="2"/>
      <c r="F24" s="19"/>
      <c r="G24" s="2"/>
      <c r="H24" s="2"/>
      <c r="I24" s="2"/>
      <c r="J24" s="19"/>
      <c r="K24" s="2"/>
      <c r="L24" s="2">
        <f t="shared" si="0"/>
        <v>95473.64</v>
      </c>
      <c r="M24" s="2"/>
      <c r="N24" s="19">
        <f t="shared" si="1"/>
        <v>0</v>
      </c>
      <c r="O24" s="11"/>
      <c r="P24" s="2">
        <f>--207720.27</f>
        <v>207720.27</v>
      </c>
      <c r="Q24" s="2"/>
      <c r="R24" s="19"/>
      <c r="S24" s="2"/>
      <c r="T24" s="2"/>
      <c r="U24" s="2"/>
      <c r="V24" s="19"/>
      <c r="W24" s="2"/>
      <c r="X24" s="2">
        <f t="shared" si="2"/>
        <v>207720.27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644493.49</v>
      </c>
      <c r="E26" s="4"/>
      <c r="F26" s="12">
        <f t="shared" ref="F26:F29" si="4">IF(D$12=0,0,D26/D$12)</f>
        <v>0.2535600764796847</v>
      </c>
      <c r="G26" s="4"/>
      <c r="H26" s="4">
        <f>SUM(OSRRefH16x_0)</f>
        <v>733286.19000000006</v>
      </c>
      <c r="I26" s="4"/>
      <c r="J26" s="12">
        <f t="shared" ref="J26:J29" si="5">IF(H$12=0,0,H26/H$12)</f>
        <v>0.27290825264344143</v>
      </c>
      <c r="K26" s="4"/>
      <c r="L26" s="4">
        <f t="shared" ref="L26:L29" si="6">+D26-H26</f>
        <v>-88792.70000000007</v>
      </c>
      <c r="M26" s="4"/>
      <c r="N26" s="12">
        <f t="shared" ref="N26:N29" si="7">IF(H26=0,0,L26/H26)</f>
        <v>-0.12108873890015584</v>
      </c>
      <c r="O26" s="10"/>
      <c r="P26" s="4">
        <f>SUM(OSRRefP16x_0)</f>
        <v>1695475.75</v>
      </c>
      <c r="Q26" s="4"/>
      <c r="R26" s="12">
        <f t="shared" ref="R26:R29" si="8">IF(P$12=0,0,P26/P$12)</f>
        <v>0.27097378219480084</v>
      </c>
      <c r="S26" s="4"/>
      <c r="T26" s="4">
        <f>SUM(OSRRefT16x_0)</f>
        <v>1886458.5899999999</v>
      </c>
      <c r="U26" s="4"/>
      <c r="V26" s="12">
        <f t="shared" ref="V26:V29" si="9">IF(T$12=0,0,T26/T$12)</f>
        <v>0.28447451209250563</v>
      </c>
      <c r="W26" s="4"/>
      <c r="X26" s="4">
        <f t="shared" ref="X26:X29" si="10">+P26-T26</f>
        <v>-190982.83999999985</v>
      </c>
      <c r="Y26" s="4"/>
      <c r="Z26" s="12">
        <f t="shared" ref="Z26:Z29" si="11">IF(T26=0,0,X26/T26)</f>
        <v>-0.10123881913570118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733286.19000000006</v>
      </c>
      <c r="I27" s="2"/>
      <c r="J27" s="19">
        <f t="shared" si="5"/>
        <v>0.27290825264344143</v>
      </c>
      <c r="K27" s="2"/>
      <c r="L27" s="2">
        <f t="shared" si="6"/>
        <v>-733286.19000000006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1886458.5899999999</v>
      </c>
      <c r="U27" s="2"/>
      <c r="V27" s="19">
        <f t="shared" si="9"/>
        <v>0.28447451209250563</v>
      </c>
      <c r="W27" s="2"/>
      <c r="X27" s="2">
        <f t="shared" si="10"/>
        <v>-1886458.5899999999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681644.24</v>
      </c>
      <c r="E28" s="2"/>
      <c r="F28" s="19">
        <f t="shared" si="4"/>
        <v>0.26817612327835394</v>
      </c>
      <c r="G28" s="2"/>
      <c r="H28" s="2"/>
      <c r="I28" s="2"/>
      <c r="J28" s="19">
        <f t="shared" si="5"/>
        <v>0</v>
      </c>
      <c r="K28" s="2"/>
      <c r="L28" s="2">
        <f t="shared" si="6"/>
        <v>681644.24</v>
      </c>
      <c r="M28" s="2"/>
      <c r="N28" s="19">
        <f t="shared" si="7"/>
        <v>0</v>
      </c>
      <c r="O28" s="11"/>
      <c r="P28" s="2">
        <v>1761416.41</v>
      </c>
      <c r="Q28" s="2"/>
      <c r="R28" s="19">
        <f t="shared" si="8"/>
        <v>0.28151252923416215</v>
      </c>
      <c r="S28" s="2"/>
      <c r="T28" s="2"/>
      <c r="U28" s="2"/>
      <c r="V28" s="19">
        <f t="shared" si="9"/>
        <v>0</v>
      </c>
      <c r="W28" s="2"/>
      <c r="X28" s="2">
        <f t="shared" si="10"/>
        <v>1761416.41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-37150.75</v>
      </c>
      <c r="E29" s="2"/>
      <c r="F29" s="19">
        <f t="shared" si="4"/>
        <v>-1.4616046798669211E-2</v>
      </c>
      <c r="G29" s="2"/>
      <c r="H29" s="2"/>
      <c r="I29" s="2"/>
      <c r="J29" s="19">
        <f t="shared" si="5"/>
        <v>0</v>
      </c>
      <c r="K29" s="2"/>
      <c r="L29" s="2">
        <f t="shared" si="6"/>
        <v>-37150.75</v>
      </c>
      <c r="M29" s="2"/>
      <c r="N29" s="19">
        <f t="shared" si="7"/>
        <v>0</v>
      </c>
      <c r="O29" s="11"/>
      <c r="P29" s="2">
        <v>-65940.66</v>
      </c>
      <c r="Q29" s="2"/>
      <c r="R29" s="19">
        <f t="shared" si="8"/>
        <v>-1.0538747039361321E-2</v>
      </c>
      <c r="S29" s="2"/>
      <c r="T29" s="2"/>
      <c r="U29" s="2"/>
      <c r="V29" s="19">
        <f t="shared" si="9"/>
        <v>0</v>
      </c>
      <c r="W29" s="2"/>
      <c r="X29" s="2">
        <f t="shared" si="10"/>
        <v>-65940.66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2">
        <f>D12-D26</f>
        <v>1897284.7700000003</v>
      </c>
      <c r="E31" s="14"/>
      <c r="F31" s="20">
        <f>IF(D$12=0,0,D31/D$12)</f>
        <v>0.7464399235203153</v>
      </c>
      <c r="G31" s="14"/>
      <c r="H31" s="22">
        <f>H12-H26</f>
        <v>1953646.81</v>
      </c>
      <c r="I31" s="14"/>
      <c r="J31" s="20">
        <f>IF(H$12=0,0,H31/H$12)</f>
        <v>0.72709174735655857</v>
      </c>
      <c r="K31" s="16"/>
      <c r="L31" s="22">
        <f>+D31-H31</f>
        <v>-56362.039999999804</v>
      </c>
      <c r="M31" s="16"/>
      <c r="N31" s="20">
        <f>IF(H31=0,0,L31/H31)</f>
        <v>-2.8849656811816362E-2</v>
      </c>
      <c r="O31" s="29"/>
      <c r="P31" s="22">
        <f>P12-P26</f>
        <v>4561497.6599999992</v>
      </c>
      <c r="Q31" s="14"/>
      <c r="R31" s="20">
        <f>IF(P$12=0,0,P31/P$12)</f>
        <v>0.72902621780519916</v>
      </c>
      <c r="S31" s="14"/>
      <c r="T31" s="22">
        <f>T12-T26</f>
        <v>4744921.41</v>
      </c>
      <c r="U31" s="14"/>
      <c r="V31" s="20">
        <f>IF(T$12=0,0,T31/T$12)</f>
        <v>0.71552548790749437</v>
      </c>
      <c r="W31" s="16"/>
      <c r="X31" s="22">
        <f>+P31-T31</f>
        <v>-183423.75000000093</v>
      </c>
      <c r="Y31" s="16"/>
      <c r="Z31" s="20">
        <f>IF(T31=0,0,X31/T31)</f>
        <v>-3.865685733243808E-2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1">
        <f>SUM(OSRRefD22x_0)</f>
        <v>1274352.1500000001</v>
      </c>
      <c r="E33" s="21"/>
      <c r="F33" s="35">
        <f t="shared" ref="F33:F44" si="12">IF(D$12=0,0,D33/D$12)</f>
        <v>0.50136243985342765</v>
      </c>
      <c r="G33" s="21"/>
      <c r="H33" s="21">
        <f>SUM(OSRRefH22x_0)</f>
        <v>1200333.4727509364</v>
      </c>
      <c r="I33" s="21"/>
      <c r="J33" s="35">
        <f t="shared" ref="J33:J44" si="13">IF(H$12=0,0,H33/H$12)</f>
        <v>0.44672996042362662</v>
      </c>
      <c r="K33" s="4"/>
      <c r="L33" s="21">
        <f t="shared" ref="L33:L44" si="14">+D33-H33</f>
        <v>74018.677249063738</v>
      </c>
      <c r="M33" s="4"/>
      <c r="N33" s="35">
        <f t="shared" ref="N33:N44" si="15">IF(H33=0,0,L33/H33)</f>
        <v>6.1665094683585706E-2</v>
      </c>
      <c r="O33" s="10"/>
      <c r="P33" s="21">
        <f>SUM(OSRRefP22x_0)</f>
        <v>3945222.07</v>
      </c>
      <c r="Q33" s="21"/>
      <c r="R33" s="35">
        <f t="shared" ref="R33:R44" si="16">IF(P$12=0,0,P33/P$12)</f>
        <v>0.63053201787539648</v>
      </c>
      <c r="S33" s="21"/>
      <c r="T33" s="21">
        <f>SUM(OSRRefT22x_0)</f>
        <v>3881648.2251937538</v>
      </c>
      <c r="U33" s="21"/>
      <c r="V33" s="35">
        <f t="shared" ref="V33:V44" si="17">IF(T$12=0,0,T33/T$12)</f>
        <v>0.58534546733768145</v>
      </c>
      <c r="W33" s="4"/>
      <c r="X33" s="21">
        <f t="shared" ref="X33:X44" si="18">+P33-T33</f>
        <v>63573.844806245994</v>
      </c>
      <c r="Y33" s="4"/>
      <c r="Z33" s="35">
        <f t="shared" ref="Z33:Z44" si="19">IF(T33=0,0,X33/T33)</f>
        <v>1.63780541455615E-2</v>
      </c>
    </row>
    <row r="34" spans="1:26" s="26" customFormat="1" outlineLevel="1" collapsed="1" x14ac:dyDescent="0.25">
      <c r="A34" s="25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171099.82</v>
      </c>
      <c r="E34" s="1"/>
      <c r="F34" s="5">
        <f t="shared" si="12"/>
        <v>6.7315006463230978E-2</v>
      </c>
      <c r="G34" s="1"/>
      <c r="H34" s="1">
        <f>SUM(OSRRefH22_0x_0)</f>
        <v>173453.07666862884</v>
      </c>
      <c r="I34" s="1"/>
      <c r="J34" s="5">
        <f t="shared" si="13"/>
        <v>6.455429914650973E-2</v>
      </c>
      <c r="K34" s="1"/>
      <c r="L34" s="1">
        <f t="shared" si="14"/>
        <v>-2353.2566686288337</v>
      </c>
      <c r="M34" s="1"/>
      <c r="N34" s="5">
        <f t="shared" si="15"/>
        <v>-1.3567108256745323E-2</v>
      </c>
      <c r="O34" s="13"/>
      <c r="P34" s="1">
        <f>SUM(OSRRefP22_0x_0)</f>
        <v>651217.72</v>
      </c>
      <c r="Q34" s="1"/>
      <c r="R34" s="5">
        <f t="shared" si="16"/>
        <v>0.1040787098374452</v>
      </c>
      <c r="S34" s="1"/>
      <c r="T34" s="1">
        <f>SUM(OSRRefT22_0x_0)</f>
        <v>633145.88145344669</v>
      </c>
      <c r="U34" s="1"/>
      <c r="V34" s="5">
        <f t="shared" si="17"/>
        <v>9.5477243266627265E-2</v>
      </c>
      <c r="W34" s="1"/>
      <c r="X34" s="1">
        <f t="shared" si="18"/>
        <v>18071.838546553277</v>
      </c>
      <c r="Y34" s="1"/>
      <c r="Z34" s="5">
        <f t="shared" si="19"/>
        <v>2.8542929956470144E-2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45910.49</v>
      </c>
      <c r="E35" s="2"/>
      <c r="F35" s="7">
        <f t="shared" si="12"/>
        <v>1.8062350568692011E-2</v>
      </c>
      <c r="G35" s="2"/>
      <c r="H35" s="6">
        <v>27522.107769767317</v>
      </c>
      <c r="I35" s="2"/>
      <c r="J35" s="7">
        <f t="shared" si="13"/>
        <v>1.024294530967736E-2</v>
      </c>
      <c r="K35" s="2"/>
      <c r="L35" s="6">
        <f t="shared" si="14"/>
        <v>18388.382230232681</v>
      </c>
      <c r="M35" s="2"/>
      <c r="N35" s="7">
        <f t="shared" si="15"/>
        <v>0.66813132133840725</v>
      </c>
      <c r="O35" s="11"/>
      <c r="P35" s="6">
        <v>119466.15000000001</v>
      </c>
      <c r="Q35" s="2"/>
      <c r="R35" s="7">
        <f t="shared" si="16"/>
        <v>1.9093280756006924E-2</v>
      </c>
      <c r="S35" s="2"/>
      <c r="T35" s="6">
        <v>105581.28536022833</v>
      </c>
      <c r="U35" s="2"/>
      <c r="V35" s="7">
        <f t="shared" si="17"/>
        <v>1.5921465118908632E-2</v>
      </c>
      <c r="W35" s="2"/>
      <c r="X35" s="6">
        <f t="shared" si="18"/>
        <v>13884.86463977168</v>
      </c>
      <c r="Y35" s="2"/>
      <c r="Z35" s="7">
        <f t="shared" si="19"/>
        <v>0.13150876684630705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-3683.27</v>
      </c>
      <c r="E36" s="2"/>
      <c r="F36" s="7">
        <f t="shared" si="12"/>
        <v>-1.4490917866297273E-3</v>
      </c>
      <c r="G36" s="2"/>
      <c r="H36" s="6">
        <v>24286.386536069225</v>
      </c>
      <c r="I36" s="2"/>
      <c r="J36" s="7">
        <f t="shared" si="13"/>
        <v>9.0387019460735438E-3</v>
      </c>
      <c r="K36" s="2"/>
      <c r="L36" s="6">
        <f t="shared" si="14"/>
        <v>-27969.656536069226</v>
      </c>
      <c r="M36" s="2"/>
      <c r="N36" s="7">
        <f t="shared" si="15"/>
        <v>-1.1516598607425501</v>
      </c>
      <c r="O36" s="11"/>
      <c r="P36" s="6">
        <v>41504.79</v>
      </c>
      <c r="Q36" s="2"/>
      <c r="R36" s="7">
        <f t="shared" si="16"/>
        <v>6.6333652519069931E-3</v>
      </c>
      <c r="S36" s="2"/>
      <c r="T36" s="6">
        <v>75750.943327929243</v>
      </c>
      <c r="U36" s="2"/>
      <c r="V36" s="7">
        <f t="shared" si="17"/>
        <v>1.1423103988601052E-2</v>
      </c>
      <c r="W36" s="2"/>
      <c r="X36" s="6">
        <f t="shared" si="18"/>
        <v>-34246.153327929242</v>
      </c>
      <c r="Y36" s="2"/>
      <c r="Z36" s="7">
        <f t="shared" si="19"/>
        <v>-0.45208880343147811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65782.649999999994</v>
      </c>
      <c r="E37" s="2"/>
      <c r="F37" s="7">
        <f t="shared" si="12"/>
        <v>2.5880562059728999E-2</v>
      </c>
      <c r="G37" s="2"/>
      <c r="H37" s="6">
        <v>73766.403846153858</v>
      </c>
      <c r="I37" s="2"/>
      <c r="J37" s="7">
        <f t="shared" si="13"/>
        <v>2.7453756325950016E-2</v>
      </c>
      <c r="K37" s="2"/>
      <c r="L37" s="6">
        <f t="shared" si="14"/>
        <v>-7983.7538461538643</v>
      </c>
      <c r="M37" s="2"/>
      <c r="N37" s="7">
        <f t="shared" si="15"/>
        <v>-0.10823021632997951</v>
      </c>
      <c r="O37" s="11"/>
      <c r="P37" s="6">
        <v>263342.94</v>
      </c>
      <c r="Q37" s="2"/>
      <c r="R37" s="7">
        <f t="shared" si="16"/>
        <v>4.2087910998490248E-2</v>
      </c>
      <c r="S37" s="2"/>
      <c r="T37" s="6">
        <v>279893.08076923067</v>
      </c>
      <c r="U37" s="2"/>
      <c r="V37" s="7">
        <f t="shared" si="17"/>
        <v>4.220736570204553E-2</v>
      </c>
      <c r="W37" s="2"/>
      <c r="X37" s="6">
        <f t="shared" si="18"/>
        <v>-16550.140769230668</v>
      </c>
      <c r="Y37" s="2"/>
      <c r="Z37" s="7">
        <f t="shared" si="19"/>
        <v>-5.9130224740625549E-2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1690.52</v>
      </c>
      <c r="E38" s="2"/>
      <c r="F38" s="7">
        <f t="shared" si="12"/>
        <v>6.6509342164253139E-4</v>
      </c>
      <c r="G38" s="2"/>
      <c r="H38" s="6">
        <v>1672.4798381000001</v>
      </c>
      <c r="I38" s="2"/>
      <c r="J38" s="7">
        <f t="shared" si="13"/>
        <v>6.2244940164120214E-4</v>
      </c>
      <c r="K38" s="2"/>
      <c r="L38" s="6">
        <f t="shared" si="14"/>
        <v>18.04016189999993</v>
      </c>
      <c r="M38" s="2"/>
      <c r="N38" s="7">
        <f t="shared" si="15"/>
        <v>1.0786474963126749E-2</v>
      </c>
      <c r="O38" s="11"/>
      <c r="P38" s="6">
        <v>4800.37</v>
      </c>
      <c r="Q38" s="2"/>
      <c r="R38" s="7">
        <f t="shared" si="16"/>
        <v>7.6720319640930044E-4</v>
      </c>
      <c r="S38" s="2"/>
      <c r="T38" s="6">
        <v>5249.7497933200002</v>
      </c>
      <c r="U38" s="2"/>
      <c r="V38" s="7">
        <f t="shared" si="17"/>
        <v>7.916526866685366E-4</v>
      </c>
      <c r="W38" s="2"/>
      <c r="X38" s="6">
        <f t="shared" si="18"/>
        <v>-449.37979332000032</v>
      </c>
      <c r="Y38" s="2"/>
      <c r="Z38" s="7">
        <f t="shared" si="19"/>
        <v>-8.5600230679909711E-2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16796.75</v>
      </c>
      <c r="E39" s="2"/>
      <c r="F39" s="7">
        <f t="shared" si="12"/>
        <v>6.6082672372844977E-3</v>
      </c>
      <c r="G39" s="2"/>
      <c r="H39" s="6">
        <v>13040.824758538467</v>
      </c>
      <c r="I39" s="2"/>
      <c r="J39" s="7">
        <f t="shared" si="13"/>
        <v>4.8534238697200364E-3</v>
      </c>
      <c r="K39" s="2"/>
      <c r="L39" s="6">
        <f t="shared" si="14"/>
        <v>3755.925241461533</v>
      </c>
      <c r="M39" s="2"/>
      <c r="N39" s="7">
        <f t="shared" si="15"/>
        <v>0.28801286045979146</v>
      </c>
      <c r="O39" s="11"/>
      <c r="P39" s="6">
        <v>46733.71</v>
      </c>
      <c r="Q39" s="2"/>
      <c r="R39" s="7">
        <f t="shared" si="16"/>
        <v>7.4690600291363561E-3</v>
      </c>
      <c r="S39" s="2"/>
      <c r="T39" s="6">
        <v>46946.969130738493</v>
      </c>
      <c r="U39" s="2"/>
      <c r="V39" s="7">
        <f t="shared" si="17"/>
        <v>7.0795172544385167E-3</v>
      </c>
      <c r="W39" s="2"/>
      <c r="X39" s="6">
        <f t="shared" si="18"/>
        <v>-213.2591307384937</v>
      </c>
      <c r="Y39" s="2"/>
      <c r="Z39" s="7">
        <f t="shared" si="19"/>
        <v>-4.5425537513317862E-3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8000</v>
      </c>
      <c r="U40" s="2"/>
      <c r="V40" s="7">
        <f t="shared" si="17"/>
        <v>1.2063853979111436E-3</v>
      </c>
      <c r="W40" s="2"/>
      <c r="X40" s="6">
        <f t="shared" si="18"/>
        <v>-8000</v>
      </c>
      <c r="Y40" s="2"/>
      <c r="Z40" s="7">
        <f t="shared" si="19"/>
        <v>-1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1716.24</v>
      </c>
      <c r="E41" s="2"/>
      <c r="F41" s="7">
        <f t="shared" si="12"/>
        <v>6.7521232162871673E-4</v>
      </c>
      <c r="G41" s="2"/>
      <c r="H41" s="6"/>
      <c r="I41" s="2"/>
      <c r="J41" s="7">
        <f t="shared" si="13"/>
        <v>0</v>
      </c>
      <c r="K41" s="2"/>
      <c r="L41" s="6">
        <f t="shared" si="14"/>
        <v>1716.24</v>
      </c>
      <c r="M41" s="2"/>
      <c r="N41" s="7">
        <f t="shared" si="15"/>
        <v>0</v>
      </c>
      <c r="O41" s="11"/>
      <c r="P41" s="6">
        <v>6745.02</v>
      </c>
      <c r="Q41" s="2"/>
      <c r="R41" s="7">
        <f t="shared" si="16"/>
        <v>1.0780004257681512E-3</v>
      </c>
      <c r="S41" s="2"/>
      <c r="T41" s="6"/>
      <c r="U41" s="2"/>
      <c r="V41" s="7">
        <f t="shared" si="17"/>
        <v>0</v>
      </c>
      <c r="W41" s="2"/>
      <c r="X41" s="6">
        <f t="shared" si="18"/>
        <v>6745.02</v>
      </c>
      <c r="Y41" s="2"/>
      <c r="Z41" s="7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20998.98</v>
      </c>
      <c r="E42" s="2"/>
      <c r="F42" s="7">
        <f t="shared" si="12"/>
        <v>8.2615310432311261E-3</v>
      </c>
      <c r="G42" s="2"/>
      <c r="H42" s="6">
        <v>10957.765638076915</v>
      </c>
      <c r="I42" s="2"/>
      <c r="J42" s="7">
        <f t="shared" si="13"/>
        <v>4.0781685431221827E-3</v>
      </c>
      <c r="K42" s="2"/>
      <c r="L42" s="6">
        <f t="shared" si="14"/>
        <v>10041.214361923085</v>
      </c>
      <c r="M42" s="2"/>
      <c r="N42" s="7">
        <f t="shared" si="15"/>
        <v>0.91635600665076056</v>
      </c>
      <c r="O42" s="11"/>
      <c r="P42" s="6">
        <v>70446.680000000008</v>
      </c>
      <c r="Q42" s="2"/>
      <c r="R42" s="7">
        <f t="shared" si="16"/>
        <v>1.1258906724361487E-2</v>
      </c>
      <c r="S42" s="2"/>
      <c r="T42" s="6">
        <v>39623.877009076903</v>
      </c>
      <c r="U42" s="2"/>
      <c r="V42" s="7">
        <f t="shared" si="17"/>
        <v>5.9752083290471819E-3</v>
      </c>
      <c r="W42" s="2"/>
      <c r="X42" s="6">
        <f t="shared" si="18"/>
        <v>30822.802990923105</v>
      </c>
      <c r="Y42" s="2"/>
      <c r="Z42" s="7">
        <f t="shared" si="19"/>
        <v>0.77788458165924357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14940.96</v>
      </c>
      <c r="E43" s="2"/>
      <c r="F43" s="7">
        <f t="shared" si="12"/>
        <v>5.8781524081490876E-3</v>
      </c>
      <c r="G43" s="2"/>
      <c r="H43" s="6">
        <v>18982.108281923076</v>
      </c>
      <c r="I43" s="2"/>
      <c r="J43" s="7">
        <f t="shared" si="13"/>
        <v>7.0646005248076807E-3</v>
      </c>
      <c r="K43" s="2"/>
      <c r="L43" s="6">
        <f t="shared" si="14"/>
        <v>-4041.1482819230769</v>
      </c>
      <c r="M43" s="2"/>
      <c r="N43" s="7">
        <f t="shared" si="15"/>
        <v>-0.21289248917474138</v>
      </c>
      <c r="O43" s="11"/>
      <c r="P43" s="6">
        <v>73923.11</v>
      </c>
      <c r="Q43" s="2"/>
      <c r="R43" s="7">
        <f t="shared" si="16"/>
        <v>1.1814515606196258E-2</v>
      </c>
      <c r="S43" s="2"/>
      <c r="T43" s="6">
        <v>59199.976062923073</v>
      </c>
      <c r="U43" s="2"/>
      <c r="V43" s="7">
        <f t="shared" si="17"/>
        <v>8.9272483348749546E-3</v>
      </c>
      <c r="W43" s="2"/>
      <c r="X43" s="6">
        <f t="shared" si="18"/>
        <v>14723.133937076927</v>
      </c>
      <c r="Y43" s="2"/>
      <c r="Z43" s="7">
        <f t="shared" si="19"/>
        <v>0.24870168733561401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6946.5</v>
      </c>
      <c r="E44" s="2"/>
      <c r="F44" s="7">
        <f t="shared" si="12"/>
        <v>2.7329291895037294E-3</v>
      </c>
      <c r="G44" s="2"/>
      <c r="H44" s="6">
        <v>3225</v>
      </c>
      <c r="I44" s="2"/>
      <c r="J44" s="7">
        <f t="shared" si="13"/>
        <v>1.2002532255177185E-3</v>
      </c>
      <c r="K44" s="2"/>
      <c r="L44" s="6">
        <f t="shared" si="14"/>
        <v>3721.5</v>
      </c>
      <c r="M44" s="2"/>
      <c r="N44" s="7">
        <f t="shared" si="15"/>
        <v>1.153953488372093</v>
      </c>
      <c r="O44" s="11"/>
      <c r="P44" s="6">
        <v>24254.95</v>
      </c>
      <c r="Q44" s="2"/>
      <c r="R44" s="7">
        <f t="shared" si="16"/>
        <v>3.8764668491694937E-3</v>
      </c>
      <c r="S44" s="2"/>
      <c r="T44" s="6">
        <v>12900</v>
      </c>
      <c r="U44" s="2"/>
      <c r="V44" s="7">
        <f t="shared" si="17"/>
        <v>1.9452964541317192E-3</v>
      </c>
      <c r="W44" s="2"/>
      <c r="X44" s="6">
        <f t="shared" si="18"/>
        <v>11354.95</v>
      </c>
      <c r="Y44" s="2"/>
      <c r="Z44" s="7">
        <f t="shared" si="19"/>
        <v>0.88022868217054273</v>
      </c>
    </row>
    <row r="45" spans="1:26" s="26" customFormat="1" outlineLevel="1" collapsed="1" x14ac:dyDescent="0.25">
      <c r="A45" s="25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663307.22</v>
      </c>
      <c r="E45" s="1"/>
      <c r="F45" s="5">
        <f t="shared" ref="F45:F55" si="20">IF(D$12=0,0,D45/D$12)</f>
        <v>0.26096187477817201</v>
      </c>
      <c r="G45" s="1"/>
      <c r="H45" s="1">
        <f>SUM(OSRRefH22_1x_0)</f>
        <v>611769.62608230766</v>
      </c>
      <c r="I45" s="1"/>
      <c r="J45" s="5">
        <f t="shared" ref="J45:J55" si="21">IF(H$12=0,0,H45/H$12)</f>
        <v>0.22768324557490183</v>
      </c>
      <c r="K45" s="1"/>
      <c r="L45" s="1">
        <f t="shared" ref="L45:L55" si="22">+D45-H45</f>
        <v>51537.593917692313</v>
      </c>
      <c r="M45" s="1"/>
      <c r="N45" s="5">
        <f t="shared" ref="N45:N55" si="23">IF(H45=0,0,L45/H45)</f>
        <v>8.4243466364507663E-2</v>
      </c>
      <c r="O45" s="13"/>
      <c r="P45" s="1">
        <f>SUM(OSRRefP22_1x_0)</f>
        <v>1938567.9</v>
      </c>
      <c r="Q45" s="1"/>
      <c r="R45" s="5">
        <f t="shared" ref="R45:R55" si="24">IF(P$12=0,0,P45/P$12)</f>
        <v>0.30982517792096548</v>
      </c>
      <c r="S45" s="1"/>
      <c r="T45" s="1">
        <f>SUM(OSRRefT22_1x_0)</f>
        <v>1913357.2437403074</v>
      </c>
      <c r="U45" s="1"/>
      <c r="V45" s="5">
        <f t="shared" ref="V45:V55" si="25">IF(T$12=0,0,T45/T$12)</f>
        <v>0.28853077997947746</v>
      </c>
      <c r="W45" s="1"/>
      <c r="X45" s="1">
        <f t="shared" ref="X45:X55" si="26">+P45-T45</f>
        <v>25210.656259692507</v>
      </c>
      <c r="Y45" s="1"/>
      <c r="Z45" s="5">
        <f t="shared" ref="Z45:Z55" si="27">IF(T45=0,0,X45/T45)</f>
        <v>1.3176136522424692E-2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>
        <v>27521.1</v>
      </c>
      <c r="E46" s="2"/>
      <c r="F46" s="7">
        <f t="shared" si="20"/>
        <v>1.0827498382962798E-2</v>
      </c>
      <c r="G46" s="2"/>
      <c r="H46" s="6">
        <v>25266.276346153853</v>
      </c>
      <c r="I46" s="2"/>
      <c r="J46" s="7">
        <f t="shared" si="21"/>
        <v>9.4033890484630078E-3</v>
      </c>
      <c r="K46" s="2"/>
      <c r="L46" s="6">
        <f t="shared" si="22"/>
        <v>2254.823653846146</v>
      </c>
      <c r="M46" s="2"/>
      <c r="N46" s="7">
        <f t="shared" si="23"/>
        <v>8.9242420329554636E-2</v>
      </c>
      <c r="O46" s="11"/>
      <c r="P46" s="6">
        <v>100392.72</v>
      </c>
      <c r="Q46" s="2"/>
      <c r="R46" s="7">
        <f t="shared" si="24"/>
        <v>1.6044933136450713E-2</v>
      </c>
      <c r="S46" s="2"/>
      <c r="T46" s="6">
        <v>90958.594846153836</v>
      </c>
      <c r="U46" s="2"/>
      <c r="V46" s="7">
        <f t="shared" si="25"/>
        <v>1.3716390079614475E-2</v>
      </c>
      <c r="W46" s="2"/>
      <c r="X46" s="6">
        <f t="shared" si="26"/>
        <v>9434.1251538461656</v>
      </c>
      <c r="Y46" s="2"/>
      <c r="Z46" s="7">
        <f t="shared" si="27"/>
        <v>0.10371889726092318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120525.23</v>
      </c>
      <c r="E47" s="2"/>
      <c r="F47" s="7">
        <f t="shared" si="20"/>
        <v>4.7417680722471829E-2</v>
      </c>
      <c r="G47" s="2"/>
      <c r="H47" s="6">
        <v>113808.42577615376</v>
      </c>
      <c r="I47" s="2"/>
      <c r="J47" s="7">
        <f t="shared" si="21"/>
        <v>4.2356257404317026E-2</v>
      </c>
      <c r="K47" s="2"/>
      <c r="L47" s="6">
        <f t="shared" si="22"/>
        <v>6716.8042238462367</v>
      </c>
      <c r="M47" s="2"/>
      <c r="N47" s="7">
        <f t="shared" si="23"/>
        <v>5.9018514473236888E-2</v>
      </c>
      <c r="O47" s="11"/>
      <c r="P47" s="6">
        <v>404628.86000000004</v>
      </c>
      <c r="Q47" s="2"/>
      <c r="R47" s="7">
        <f t="shared" si="24"/>
        <v>6.4668464045782179E-2</v>
      </c>
      <c r="S47" s="2"/>
      <c r="T47" s="6">
        <v>409710.33279415366</v>
      </c>
      <c r="U47" s="2"/>
      <c r="V47" s="7">
        <f t="shared" si="25"/>
        <v>6.1783570357022768E-2</v>
      </c>
      <c r="W47" s="2"/>
      <c r="X47" s="6">
        <f t="shared" si="26"/>
        <v>-5081.4727941536112</v>
      </c>
      <c r="Y47" s="2"/>
      <c r="Z47" s="7">
        <f t="shared" si="27"/>
        <v>-1.2402598585929833E-2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>
        <v>126180.30999999998</v>
      </c>
      <c r="E49" s="2"/>
      <c r="F49" s="7">
        <f t="shared" si="20"/>
        <v>4.9642532547272619E-2</v>
      </c>
      <c r="G49" s="2"/>
      <c r="H49" s="6">
        <v>155115.79719000001</v>
      </c>
      <c r="I49" s="2"/>
      <c r="J49" s="7">
        <f t="shared" si="21"/>
        <v>5.7729685552263495E-2</v>
      </c>
      <c r="K49" s="2"/>
      <c r="L49" s="6">
        <f t="shared" si="22"/>
        <v>-28935.487190000029</v>
      </c>
      <c r="M49" s="2"/>
      <c r="N49" s="7">
        <f t="shared" si="23"/>
        <v>-0.18654120156799503</v>
      </c>
      <c r="O49" s="11"/>
      <c r="P49" s="6">
        <v>325630.36</v>
      </c>
      <c r="Q49" s="2"/>
      <c r="R49" s="7">
        <f t="shared" si="24"/>
        <v>5.204279108483538E-2</v>
      </c>
      <c r="S49" s="2"/>
      <c r="T49" s="6">
        <v>550098.46520999994</v>
      </c>
      <c r="U49" s="2"/>
      <c r="V49" s="7">
        <f t="shared" si="25"/>
        <v>8.2953844480334396E-2</v>
      </c>
      <c r="W49" s="2"/>
      <c r="X49" s="6">
        <f t="shared" si="26"/>
        <v>-224468.10520999995</v>
      </c>
      <c r="Y49" s="2"/>
      <c r="Z49" s="7">
        <f t="shared" si="27"/>
        <v>-0.40805077528131134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154041.54</v>
      </c>
      <c r="E50" s="2"/>
      <c r="F50" s="7">
        <f t="shared" si="20"/>
        <v>6.060384669432179E-2</v>
      </c>
      <c r="G50" s="2"/>
      <c r="H50" s="6">
        <v>77227.45177</v>
      </c>
      <c r="I50" s="2"/>
      <c r="J50" s="7">
        <f t="shared" si="21"/>
        <v>2.8741859871459392E-2</v>
      </c>
      <c r="K50" s="2"/>
      <c r="L50" s="6">
        <f t="shared" si="22"/>
        <v>76814.088230000008</v>
      </c>
      <c r="M50" s="2"/>
      <c r="N50" s="7">
        <f t="shared" si="23"/>
        <v>0.9946474533274634</v>
      </c>
      <c r="O50" s="11"/>
      <c r="P50" s="6">
        <v>386507.1</v>
      </c>
      <c r="Q50" s="2"/>
      <c r="R50" s="7">
        <f t="shared" si="24"/>
        <v>6.1772213924111918E-2</v>
      </c>
      <c r="S50" s="2"/>
      <c r="T50" s="6">
        <v>213062.74089000002</v>
      </c>
      <c r="U50" s="2"/>
      <c r="V50" s="7">
        <f t="shared" si="25"/>
        <v>3.2129472431077694E-2</v>
      </c>
      <c r="W50" s="2"/>
      <c r="X50" s="6">
        <f t="shared" si="26"/>
        <v>173444.35910999996</v>
      </c>
      <c r="Y50" s="2"/>
      <c r="Z50" s="7">
        <f t="shared" si="27"/>
        <v>0.81405297981943159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>
        <v>9156.44</v>
      </c>
      <c r="E51" s="2"/>
      <c r="F51" s="7">
        <f t="shared" si="20"/>
        <v>3.6023756061238795E-3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9156.44</v>
      </c>
      <c r="M51" s="2"/>
      <c r="N51" s="7">
        <f t="shared" si="23"/>
        <v>0</v>
      </c>
      <c r="O51" s="11"/>
      <c r="P51" s="6">
        <v>32989.19</v>
      </c>
      <c r="Q51" s="2"/>
      <c r="R51" s="7">
        <f t="shared" si="24"/>
        <v>5.272387756559126E-3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32989.19</v>
      </c>
      <c r="Y51" s="2"/>
      <c r="Z51" s="7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>
        <v>182765.6</v>
      </c>
      <c r="E52" s="2"/>
      <c r="F52" s="7">
        <f t="shared" si="20"/>
        <v>7.1904620035580916E-2</v>
      </c>
      <c r="G52" s="2"/>
      <c r="H52" s="6">
        <v>46343.0625</v>
      </c>
      <c r="I52" s="2"/>
      <c r="J52" s="7">
        <f t="shared" si="21"/>
        <v>1.7247569068525342E-2</v>
      </c>
      <c r="K52" s="2"/>
      <c r="L52" s="6">
        <f t="shared" si="22"/>
        <v>136422.53750000001</v>
      </c>
      <c r="M52" s="2"/>
      <c r="N52" s="7">
        <f t="shared" si="23"/>
        <v>2.9437531777275185</v>
      </c>
      <c r="O52" s="11"/>
      <c r="P52" s="6">
        <v>594022.19999999995</v>
      </c>
      <c r="Q52" s="2"/>
      <c r="R52" s="7">
        <f t="shared" si="24"/>
        <v>9.4937625761781844E-2</v>
      </c>
      <c r="S52" s="2"/>
      <c r="T52" s="6">
        <v>250853.70500000002</v>
      </c>
      <c r="U52" s="2"/>
      <c r="V52" s="7">
        <f t="shared" si="25"/>
        <v>3.7828280840488712E-2</v>
      </c>
      <c r="W52" s="2"/>
      <c r="X52" s="6">
        <f t="shared" si="26"/>
        <v>343168.49499999994</v>
      </c>
      <c r="Y52" s="2"/>
      <c r="Z52" s="7">
        <f t="shared" si="27"/>
        <v>1.368002497710767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>
        <v>43117</v>
      </c>
      <c r="E53" s="2"/>
      <c r="F53" s="7">
        <f t="shared" si="20"/>
        <v>1.6963320789438179E-2</v>
      </c>
      <c r="G53" s="2"/>
      <c r="H53" s="6">
        <v>194008.61249999999</v>
      </c>
      <c r="I53" s="2"/>
      <c r="J53" s="7">
        <f t="shared" si="21"/>
        <v>7.2204484629873542E-2</v>
      </c>
      <c r="K53" s="2"/>
      <c r="L53" s="6">
        <f t="shared" si="22"/>
        <v>-150891.61249999999</v>
      </c>
      <c r="M53" s="2"/>
      <c r="N53" s="7">
        <f t="shared" si="23"/>
        <v>-0.77775728899664187</v>
      </c>
      <c r="O53" s="11"/>
      <c r="P53" s="6">
        <v>94397.47</v>
      </c>
      <c r="Q53" s="2"/>
      <c r="R53" s="7">
        <f t="shared" si="24"/>
        <v>1.5086762211444336E-2</v>
      </c>
      <c r="S53" s="2"/>
      <c r="T53" s="6">
        <v>398673.40500000003</v>
      </c>
      <c r="U53" s="2"/>
      <c r="V53" s="7">
        <f t="shared" si="25"/>
        <v>6.0119221790939446E-2</v>
      </c>
      <c r="W53" s="2"/>
      <c r="X53" s="6">
        <f t="shared" si="26"/>
        <v>-304275.93500000006</v>
      </c>
      <c r="Y53" s="2"/>
      <c r="Z53" s="7">
        <f t="shared" si="27"/>
        <v>-0.7632210505739655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6" customFormat="1" outlineLevel="1" collapsed="1" x14ac:dyDescent="0.25">
      <c r="A56" s="25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6811.09</v>
      </c>
      <c r="E56" s="1"/>
      <c r="F56" s="5">
        <f t="shared" ref="F56:F60" si="28">IF(D$12=0,0,D56/D$12)</f>
        <v>2.6796554629434904E-3</v>
      </c>
      <c r="G56" s="1"/>
      <c r="H56" s="1">
        <f>SUM(OSRRefH22_2x_0)</f>
        <v>4330</v>
      </c>
      <c r="I56" s="1"/>
      <c r="J56" s="5">
        <f t="shared" ref="J56:J60" si="29">IF(H$12=0,0,H56/H$12)</f>
        <v>1.6115027803075106E-3</v>
      </c>
      <c r="K56" s="1"/>
      <c r="L56" s="1">
        <f t="shared" ref="L56:L60" si="30">+D56-H56</f>
        <v>2481.09</v>
      </c>
      <c r="M56" s="1"/>
      <c r="N56" s="5">
        <f t="shared" ref="N56:N60" si="31">IF(H56=0,0,L56/H56)</f>
        <v>0.57300000000000006</v>
      </c>
      <c r="O56" s="13"/>
      <c r="P56" s="1">
        <f>SUM(OSRRefP22_2x_0)</f>
        <v>20330.580000000002</v>
      </c>
      <c r="Q56" s="1"/>
      <c r="R56" s="5">
        <f t="shared" ref="R56:R60" si="32">IF(P$12=0,0,P56/P$12)</f>
        <v>3.2492674441459714E-3</v>
      </c>
      <c r="S56" s="1"/>
      <c r="T56" s="1">
        <f>SUM(OSRRefT22_2x_0)</f>
        <v>20430</v>
      </c>
      <c r="U56" s="1"/>
      <c r="V56" s="5">
        <f t="shared" ref="V56:V60" si="33">IF(T$12=0,0,T56/T$12)</f>
        <v>3.0808067099155831E-3</v>
      </c>
      <c r="W56" s="1"/>
      <c r="X56" s="1">
        <f t="shared" ref="X56:X60" si="34">+P56-T56</f>
        <v>-99.419999999998254</v>
      </c>
      <c r="Y56" s="1"/>
      <c r="Z56" s="5">
        <f t="shared" ref="Z56:Z60" si="35">IF(T56=0,0,X56/T56)</f>
        <v>-4.8663729809103407E-3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6811.09</v>
      </c>
      <c r="E57" s="2"/>
      <c r="F57" s="7">
        <f t="shared" si="28"/>
        <v>2.6796554629434904E-3</v>
      </c>
      <c r="G57" s="2"/>
      <c r="H57" s="6">
        <v>4330</v>
      </c>
      <c r="I57" s="2"/>
      <c r="J57" s="7">
        <f t="shared" si="29"/>
        <v>1.6115027803075106E-3</v>
      </c>
      <c r="K57" s="2"/>
      <c r="L57" s="6">
        <f t="shared" si="30"/>
        <v>2481.09</v>
      </c>
      <c r="M57" s="2"/>
      <c r="N57" s="7">
        <f t="shared" si="31"/>
        <v>0.57300000000000006</v>
      </c>
      <c r="O57" s="11"/>
      <c r="P57" s="6">
        <v>20330.580000000002</v>
      </c>
      <c r="Q57" s="2"/>
      <c r="R57" s="7">
        <f t="shared" si="32"/>
        <v>3.2492674441459714E-3</v>
      </c>
      <c r="S57" s="2"/>
      <c r="T57" s="6">
        <v>20430</v>
      </c>
      <c r="U57" s="2"/>
      <c r="V57" s="7">
        <f t="shared" si="33"/>
        <v>3.0808067099155831E-3</v>
      </c>
      <c r="W57" s="2"/>
      <c r="X57" s="6">
        <f t="shared" si="34"/>
        <v>-99.419999999998254</v>
      </c>
      <c r="Y57" s="2"/>
      <c r="Z57" s="7">
        <f t="shared" si="35"/>
        <v>-4.8663729809103407E-3</v>
      </c>
    </row>
    <row r="58" spans="1:26" s="26" customFormat="1" outlineLevel="1" collapsed="1" x14ac:dyDescent="0.25">
      <c r="A58" s="25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34.049999999999997</v>
      </c>
      <c r="E58" s="1"/>
      <c r="F58" s="5">
        <f t="shared" si="28"/>
        <v>1.3396133146563302E-5</v>
      </c>
      <c r="G58" s="1"/>
      <c r="H58" s="1">
        <f>SUM(OSRRefH22_3x_0)</f>
        <v>257</v>
      </c>
      <c r="I58" s="1"/>
      <c r="J58" s="5">
        <f t="shared" si="29"/>
        <v>9.5648086498621284E-5</v>
      </c>
      <c r="K58" s="1"/>
      <c r="L58" s="1">
        <f t="shared" si="30"/>
        <v>-222.95</v>
      </c>
      <c r="M58" s="1"/>
      <c r="N58" s="5">
        <f t="shared" si="31"/>
        <v>-0.86750972762645906</v>
      </c>
      <c r="O58" s="13"/>
      <c r="P58" s="1">
        <f>SUM(OSRRefP22_3x_0)</f>
        <v>-0.24</v>
      </c>
      <c r="Q58" s="1"/>
      <c r="R58" s="5">
        <f t="shared" si="32"/>
        <v>-3.8357203119391239E-8</v>
      </c>
      <c r="S58" s="1"/>
      <c r="T58" s="1">
        <f>SUM(OSRRefT22_3x_0)</f>
        <v>940</v>
      </c>
      <c r="U58" s="1"/>
      <c r="V58" s="5">
        <f t="shared" si="33"/>
        <v>1.4175028425455937E-4</v>
      </c>
      <c r="W58" s="1"/>
      <c r="X58" s="1">
        <f t="shared" si="34"/>
        <v>-940.24</v>
      </c>
      <c r="Y58" s="1"/>
      <c r="Z58" s="5">
        <f t="shared" si="35"/>
        <v>-1.0002553191489363</v>
      </c>
    </row>
    <row r="59" spans="1:26" s="24" customFormat="1" hidden="1" outlineLevel="2" x14ac:dyDescent="0.25">
      <c r="A59" s="27"/>
      <c r="B59" s="11" t="str">
        <f>CONCATENATE("          ", "6272", " - ", "CASH (OVER/SHORT)")</f>
        <v xml:space="preserve">          6272 - CASH (OVER/SHORT)</v>
      </c>
      <c r="C59" s="11"/>
      <c r="D59" s="6">
        <v>34.049999999999997</v>
      </c>
      <c r="E59" s="2"/>
      <c r="F59" s="7">
        <f t="shared" si="28"/>
        <v>1.3396133146563302E-5</v>
      </c>
      <c r="G59" s="2"/>
      <c r="H59" s="6">
        <v>207</v>
      </c>
      <c r="I59" s="2"/>
      <c r="J59" s="7">
        <f t="shared" si="29"/>
        <v>7.7039509358811699E-5</v>
      </c>
      <c r="K59" s="2"/>
      <c r="L59" s="6">
        <f t="shared" si="30"/>
        <v>-172.95</v>
      </c>
      <c r="M59" s="2"/>
      <c r="N59" s="7">
        <f t="shared" si="31"/>
        <v>-0.83550724637681151</v>
      </c>
      <c r="O59" s="11"/>
      <c r="P59" s="6">
        <v>-0.24</v>
      </c>
      <c r="Q59" s="2"/>
      <c r="R59" s="7">
        <f t="shared" si="32"/>
        <v>-3.8357203119391239E-8</v>
      </c>
      <c r="S59" s="2"/>
      <c r="T59" s="6">
        <v>790</v>
      </c>
      <c r="U59" s="2"/>
      <c r="V59" s="7">
        <f t="shared" si="33"/>
        <v>1.1913055804372544E-4</v>
      </c>
      <c r="W59" s="2"/>
      <c r="X59" s="6">
        <f t="shared" si="34"/>
        <v>-790.24</v>
      </c>
      <c r="Y59" s="2"/>
      <c r="Z59" s="7">
        <f t="shared" si="35"/>
        <v>-1.0003037974683544</v>
      </c>
    </row>
    <row r="60" spans="1:26" s="24" customFormat="1" hidden="1" outlineLevel="2" x14ac:dyDescent="0.25">
      <c r="A60" s="27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1.8608577139809588E-5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150</v>
      </c>
      <c r="U60" s="2"/>
      <c r="V60" s="7">
        <f t="shared" si="33"/>
        <v>2.2619726210833945E-5</v>
      </c>
      <c r="W60" s="2"/>
      <c r="X60" s="6">
        <f t="shared" si="34"/>
        <v>-150</v>
      </c>
      <c r="Y60" s="2"/>
      <c r="Z60" s="7">
        <f t="shared" si="35"/>
        <v>-1</v>
      </c>
    </row>
    <row r="61" spans="1:26" s="26" customFormat="1" outlineLevel="1" collapsed="1" x14ac:dyDescent="0.25">
      <c r="A61" s="25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29519.43</v>
      </c>
      <c r="E61" s="1"/>
      <c r="F61" s="5">
        <f t="shared" ref="F61:F67" si="36">IF(D$12=0,0,D61/D$12)</f>
        <v>1.1613692061399564E-2</v>
      </c>
      <c r="G61" s="1"/>
      <c r="H61" s="1">
        <f>SUM(OSRRefH22_4x_0)</f>
        <v>17063</v>
      </c>
      <c r="I61" s="1"/>
      <c r="J61" s="5">
        <f t="shared" ref="J61:J67" si="37">IF(H$12=0,0,H61/H$12)</f>
        <v>6.3503630347314204E-3</v>
      </c>
      <c r="K61" s="1"/>
      <c r="L61" s="1">
        <f t="shared" ref="L61:L67" si="38">+D61-H61</f>
        <v>12456.43</v>
      </c>
      <c r="M61" s="1"/>
      <c r="N61" s="5">
        <f t="shared" ref="N61:N67" si="39">IF(H61=0,0,L61/H61)</f>
        <v>0.73002578679013075</v>
      </c>
      <c r="O61" s="13"/>
      <c r="P61" s="1">
        <f>SUM(OSRRefP22_4x_0)</f>
        <v>64650.599999999991</v>
      </c>
      <c r="Q61" s="1"/>
      <c r="R61" s="5">
        <f t="shared" ref="R61:R67" si="40">IF(P$12=0,0,P61/P$12)</f>
        <v>1.0332567483293812E-2</v>
      </c>
      <c r="S61" s="1"/>
      <c r="T61" s="1">
        <f>SUM(OSRRefT22_4x_0)</f>
        <v>44311</v>
      </c>
      <c r="U61" s="1"/>
      <c r="V61" s="5">
        <f t="shared" ref="V61:V67" si="41">IF(T$12=0,0,T61/T$12)</f>
        <v>6.6820179208550859E-3</v>
      </c>
      <c r="W61" s="1"/>
      <c r="X61" s="1">
        <f t="shared" ref="X61:X67" si="42">+P61-T61</f>
        <v>20339.599999999991</v>
      </c>
      <c r="Y61" s="1"/>
      <c r="Z61" s="5">
        <f t="shared" ref="Z61:Z67" si="43">IF(T61=0,0,X61/T61)</f>
        <v>0.4590192051635032</v>
      </c>
    </row>
    <row r="62" spans="1:26" s="24" customFormat="1" hidden="1" outlineLevel="2" x14ac:dyDescent="0.25">
      <c r="A62" s="27"/>
      <c r="B62" s="11" t="str">
        <f>CONCATENATE("          ", "6381", " - ", "BANK/CREDIT CARD FEES")</f>
        <v xml:space="preserve">          6381 - BANK/CREDIT CARD FEES</v>
      </c>
      <c r="C62" s="11"/>
      <c r="D62" s="6">
        <v>29519.43</v>
      </c>
      <c r="E62" s="2"/>
      <c r="F62" s="7">
        <f t="shared" si="36"/>
        <v>1.1613692061399564E-2</v>
      </c>
      <c r="G62" s="2"/>
      <c r="H62" s="6">
        <v>17063</v>
      </c>
      <c r="I62" s="2"/>
      <c r="J62" s="7">
        <f t="shared" si="37"/>
        <v>6.3503630347314204E-3</v>
      </c>
      <c r="K62" s="2"/>
      <c r="L62" s="6">
        <f t="shared" si="38"/>
        <v>12456.43</v>
      </c>
      <c r="M62" s="2"/>
      <c r="N62" s="7">
        <f t="shared" si="39"/>
        <v>0.73002578679013075</v>
      </c>
      <c r="O62" s="11"/>
      <c r="P62" s="6">
        <v>64650.599999999991</v>
      </c>
      <c r="Q62" s="2"/>
      <c r="R62" s="7">
        <f t="shared" si="40"/>
        <v>1.0332567483293812E-2</v>
      </c>
      <c r="S62" s="2"/>
      <c r="T62" s="6">
        <v>44311</v>
      </c>
      <c r="U62" s="2"/>
      <c r="V62" s="7">
        <f t="shared" si="41"/>
        <v>6.6820179208550859E-3</v>
      </c>
      <c r="W62" s="2"/>
      <c r="X62" s="6">
        <f t="shared" si="42"/>
        <v>20339.599999999991</v>
      </c>
      <c r="Y62" s="2"/>
      <c r="Z62" s="7">
        <f t="shared" si="43"/>
        <v>0.4590192051635032</v>
      </c>
    </row>
    <row r="63" spans="1:26" s="26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39571.050000000003</v>
      </c>
      <c r="E63" s="1"/>
      <c r="F63" s="5">
        <f t="shared" si="36"/>
        <v>1.5568254171786016E-2</v>
      </c>
      <c r="G63" s="1"/>
      <c r="H63" s="1">
        <f>SUM(OSRRefH22_5x_0)</f>
        <v>44088</v>
      </c>
      <c r="I63" s="1"/>
      <c r="J63" s="5">
        <f t="shared" si="37"/>
        <v>1.6408298978798502E-2</v>
      </c>
      <c r="K63" s="1"/>
      <c r="L63" s="1">
        <f t="shared" si="38"/>
        <v>-4516.9499999999971</v>
      </c>
      <c r="M63" s="1"/>
      <c r="N63" s="5">
        <f t="shared" si="39"/>
        <v>-0.10245304844855736</v>
      </c>
      <c r="O63" s="13"/>
      <c r="P63" s="1">
        <f>SUM(OSRRefP22_5x_0)</f>
        <v>158284.20000000001</v>
      </c>
      <c r="Q63" s="1"/>
      <c r="R63" s="5">
        <f t="shared" si="40"/>
        <v>2.5297246708293114E-2</v>
      </c>
      <c r="S63" s="1"/>
      <c r="T63" s="1">
        <f>SUM(OSRRefT22_5x_0)</f>
        <v>163550</v>
      </c>
      <c r="U63" s="1"/>
      <c r="V63" s="5">
        <f t="shared" si="41"/>
        <v>2.4663041478545943E-2</v>
      </c>
      <c r="W63" s="1"/>
      <c r="X63" s="1">
        <f t="shared" si="42"/>
        <v>-5265.7999999999884</v>
      </c>
      <c r="Y63" s="1"/>
      <c r="Z63" s="5">
        <f t="shared" si="43"/>
        <v>-3.2196881687557251E-2</v>
      </c>
    </row>
    <row r="64" spans="1:26" s="24" customFormat="1" hidden="1" outlineLevel="2" x14ac:dyDescent="0.25">
      <c r="A64" s="27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9.4591099382524413E-3</v>
      </c>
      <c r="G64" s="2"/>
      <c r="H64" s="6">
        <v>23037</v>
      </c>
      <c r="I64" s="2"/>
      <c r="J64" s="7">
        <f t="shared" si="37"/>
        <v>8.5737158313958697E-3</v>
      </c>
      <c r="K64" s="2"/>
      <c r="L64" s="6">
        <f t="shared" si="38"/>
        <v>1005.9599999999991</v>
      </c>
      <c r="M64" s="2"/>
      <c r="N64" s="7">
        <f t="shared" si="39"/>
        <v>4.3667144159395717E-2</v>
      </c>
      <c r="O64" s="11"/>
      <c r="P64" s="6">
        <v>96171.839999999997</v>
      </c>
      <c r="Q64" s="2"/>
      <c r="R64" s="7">
        <f t="shared" si="40"/>
        <v>1.5370345005189979E-2</v>
      </c>
      <c r="S64" s="2"/>
      <c r="T64" s="6">
        <v>92394</v>
      </c>
      <c r="U64" s="2"/>
      <c r="V64" s="7">
        <f t="shared" si="41"/>
        <v>1.3932846556825276E-2</v>
      </c>
      <c r="W64" s="2"/>
      <c r="X64" s="6">
        <f t="shared" si="42"/>
        <v>3777.8399999999965</v>
      </c>
      <c r="Y64" s="2"/>
      <c r="Z64" s="7">
        <f t="shared" si="43"/>
        <v>4.0888369374634678E-2</v>
      </c>
    </row>
    <row r="65" spans="1:26" s="24" customFormat="1" hidden="1" outlineLevel="2" x14ac:dyDescent="0.25">
      <c r="A65" s="27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15103.84</v>
      </c>
      <c r="E65" s="2"/>
      <c r="F65" s="7">
        <f t="shared" si="36"/>
        <v>5.9422335290569362E-3</v>
      </c>
      <c r="G65" s="2"/>
      <c r="H65" s="6">
        <v>15301</v>
      </c>
      <c r="I65" s="2"/>
      <c r="J65" s="7">
        <f t="shared" si="37"/>
        <v>5.6945967763245304E-3</v>
      </c>
      <c r="K65" s="2"/>
      <c r="L65" s="6">
        <f t="shared" si="38"/>
        <v>-197.15999999999985</v>
      </c>
      <c r="M65" s="2"/>
      <c r="N65" s="7">
        <f t="shared" si="39"/>
        <v>-1.2885432324684651E-2</v>
      </c>
      <c r="O65" s="11"/>
      <c r="P65" s="6">
        <v>60415.360000000001</v>
      </c>
      <c r="Q65" s="2"/>
      <c r="R65" s="7">
        <f t="shared" si="40"/>
        <v>9.6556843127131031E-3</v>
      </c>
      <c r="S65" s="2"/>
      <c r="T65" s="6">
        <v>61204</v>
      </c>
      <c r="U65" s="2"/>
      <c r="V65" s="7">
        <f t="shared" si="41"/>
        <v>9.2294514867192045E-3</v>
      </c>
      <c r="W65" s="2"/>
      <c r="X65" s="6">
        <f t="shared" si="42"/>
        <v>-788.63999999999942</v>
      </c>
      <c r="Y65" s="2"/>
      <c r="Z65" s="7">
        <f t="shared" si="43"/>
        <v>-1.2885432324684651E-2</v>
      </c>
    </row>
    <row r="66" spans="1:26" s="24" customFormat="1" hidden="1" outlineLevel="2" x14ac:dyDescent="0.25">
      <c r="A66" s="27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3576</v>
      </c>
      <c r="I66" s="2"/>
      <c r="J66" s="7">
        <f t="shared" si="37"/>
        <v>1.3308854370391819E-3</v>
      </c>
      <c r="K66" s="2"/>
      <c r="L66" s="6">
        <f t="shared" si="38"/>
        <v>-3576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6506</v>
      </c>
      <c r="U66" s="2"/>
      <c r="V66" s="7">
        <f t="shared" si="41"/>
        <v>9.8109292485123751E-4</v>
      </c>
      <c r="W66" s="2"/>
      <c r="X66" s="6">
        <f t="shared" si="42"/>
        <v>-6506</v>
      </c>
      <c r="Y66" s="2"/>
      <c r="Z66" s="7">
        <f t="shared" si="43"/>
        <v>-1</v>
      </c>
    </row>
    <row r="67" spans="1:26" s="24" customFormat="1" hidden="1" outlineLevel="2" x14ac:dyDescent="0.25">
      <c r="A67" s="27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1.6691070447663673E-4</v>
      </c>
      <c r="G67" s="2"/>
      <c r="H67" s="6">
        <v>2174</v>
      </c>
      <c r="I67" s="2"/>
      <c r="J67" s="7">
        <f t="shared" si="37"/>
        <v>8.0910093403892096E-4</v>
      </c>
      <c r="K67" s="2"/>
      <c r="L67" s="6">
        <f t="shared" si="38"/>
        <v>-1749.75</v>
      </c>
      <c r="M67" s="2"/>
      <c r="N67" s="7">
        <f t="shared" si="39"/>
        <v>-0.80485280588776453</v>
      </c>
      <c r="O67" s="11"/>
      <c r="P67" s="6">
        <v>1697</v>
      </c>
      <c r="Q67" s="2"/>
      <c r="R67" s="7">
        <f t="shared" si="40"/>
        <v>2.7121739039002887E-4</v>
      </c>
      <c r="S67" s="2"/>
      <c r="T67" s="6">
        <v>3446</v>
      </c>
      <c r="U67" s="2"/>
      <c r="V67" s="7">
        <f t="shared" si="41"/>
        <v>5.196505101502251E-4</v>
      </c>
      <c r="W67" s="2"/>
      <c r="X67" s="6">
        <f t="shared" si="42"/>
        <v>-1749</v>
      </c>
      <c r="Y67" s="2"/>
      <c r="Z67" s="7">
        <f t="shared" si="43"/>
        <v>-0.50754497968659318</v>
      </c>
    </row>
    <row r="68" spans="1:26" s="26" customFormat="1" outlineLevel="1" collapsed="1" x14ac:dyDescent="0.25">
      <c r="A68" s="25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SUM(OSRRefD22_6x_0)</f>
        <v>23682.68</v>
      </c>
      <c r="E68" s="1"/>
      <c r="F68" s="5">
        <f t="shared" ref="F68:F70" si="44">IF(D$12=0,0,D68/D$12)</f>
        <v>9.3173666533759702E-3</v>
      </c>
      <c r="G68" s="1"/>
      <c r="H68" s="1">
        <f>SUM(OSRRefH22_6x_0)</f>
        <v>18737</v>
      </c>
      <c r="I68" s="1"/>
      <c r="J68" s="5">
        <f t="shared" ref="J68:J70" si="45">IF(H$12=0,0,H68/H$12)</f>
        <v>6.9733781973722458E-3</v>
      </c>
      <c r="K68" s="1"/>
      <c r="L68" s="1">
        <f t="shared" ref="L68:L70" si="46">+D68-H68</f>
        <v>4945.68</v>
      </c>
      <c r="M68" s="1"/>
      <c r="N68" s="5">
        <f t="shared" ref="N68:N70" si="47">IF(H68=0,0,L68/H68)</f>
        <v>0.26395260714095109</v>
      </c>
      <c r="O68" s="13"/>
      <c r="P68" s="1">
        <f>SUM(OSRRefP22_6x_0)</f>
        <v>50279.43</v>
      </c>
      <c r="Q68" s="1"/>
      <c r="R68" s="5">
        <f t="shared" ref="R68:R70" si="48">IF(P$12=0,0,P68/P$12)</f>
        <v>8.035742955155056E-3</v>
      </c>
      <c r="S68" s="1"/>
      <c r="T68" s="1">
        <f>SUM(OSRRefT22_6x_0)</f>
        <v>45574</v>
      </c>
      <c r="U68" s="1"/>
      <c r="V68" s="5">
        <f t="shared" ref="V68:V70" si="49">IF(T$12=0,0,T68/T$12)</f>
        <v>6.8724760155503082E-3</v>
      </c>
      <c r="W68" s="1"/>
      <c r="X68" s="1">
        <f t="shared" ref="X68:X70" si="50">+P68-T68</f>
        <v>4705.43</v>
      </c>
      <c r="Y68" s="1"/>
      <c r="Z68" s="5">
        <f t="shared" ref="Z68:Z70" si="51">IF(T68=0,0,X68/T68)</f>
        <v>0.10324812393031114</v>
      </c>
    </row>
    <row r="69" spans="1:26" s="24" customFormat="1" hidden="1" outlineLevel="2" x14ac:dyDescent="0.25">
      <c r="A69" s="27"/>
      <c r="B69" s="11" t="str">
        <f>CONCATENATE("          ", "6396", " - ", "COUPONS-CHARTROOM")</f>
        <v xml:space="preserve">          6396 - COUPONS-CHARTROOM</v>
      </c>
      <c r="C69" s="11"/>
      <c r="D69" s="6"/>
      <c r="E69" s="2"/>
      <c r="F69" s="7">
        <f t="shared" si="44"/>
        <v>0</v>
      </c>
      <c r="G69" s="2"/>
      <c r="H69" s="6">
        <v>100</v>
      </c>
      <c r="I69" s="2"/>
      <c r="J69" s="7">
        <f t="shared" si="45"/>
        <v>3.7217154279619177E-5</v>
      </c>
      <c r="K69" s="2"/>
      <c r="L69" s="6">
        <f t="shared" si="46"/>
        <v>-100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400</v>
      </c>
      <c r="U69" s="2"/>
      <c r="V69" s="7">
        <f t="shared" si="49"/>
        <v>6.0319269895557187E-5</v>
      </c>
      <c r="W69" s="2"/>
      <c r="X69" s="6">
        <f t="shared" si="50"/>
        <v>-400</v>
      </c>
      <c r="Y69" s="2"/>
      <c r="Z69" s="7">
        <f t="shared" si="51"/>
        <v>-1</v>
      </c>
    </row>
    <row r="70" spans="1:26" s="24" customFormat="1" hidden="1" outlineLevel="2" x14ac:dyDescent="0.25">
      <c r="A70" s="27"/>
      <c r="B70" s="11" t="str">
        <f>CONCATENATE("          ", "6399", " - ", "DONATION-ON CAMPUS")</f>
        <v xml:space="preserve">          6399 - DONATION-ON CAMPUS</v>
      </c>
      <c r="C70" s="11"/>
      <c r="D70" s="6">
        <v>23682.68</v>
      </c>
      <c r="E70" s="2"/>
      <c r="F70" s="7">
        <f t="shared" si="44"/>
        <v>9.3173666533759702E-3</v>
      </c>
      <c r="G70" s="2"/>
      <c r="H70" s="6">
        <v>18637</v>
      </c>
      <c r="I70" s="2"/>
      <c r="J70" s="7">
        <f t="shared" si="45"/>
        <v>6.9361610430926264E-3</v>
      </c>
      <c r="K70" s="2"/>
      <c r="L70" s="6">
        <f t="shared" si="46"/>
        <v>5045.68</v>
      </c>
      <c r="M70" s="2"/>
      <c r="N70" s="7">
        <f t="shared" si="47"/>
        <v>0.27073456028330739</v>
      </c>
      <c r="O70" s="11"/>
      <c r="P70" s="6">
        <v>50279.43</v>
      </c>
      <c r="Q70" s="2"/>
      <c r="R70" s="7">
        <f t="shared" si="48"/>
        <v>8.035742955155056E-3</v>
      </c>
      <c r="S70" s="2"/>
      <c r="T70" s="6">
        <v>45174</v>
      </c>
      <c r="U70" s="2"/>
      <c r="V70" s="7">
        <f t="shared" si="49"/>
        <v>6.8121567456547504E-3</v>
      </c>
      <c r="W70" s="2"/>
      <c r="X70" s="6">
        <f t="shared" si="50"/>
        <v>5105.43</v>
      </c>
      <c r="Y70" s="2"/>
      <c r="Z70" s="7">
        <f t="shared" si="51"/>
        <v>0.11301700092973835</v>
      </c>
    </row>
    <row r="71" spans="1:26" s="26" customFormat="1" outlineLevel="1" collapsed="1" x14ac:dyDescent="0.25">
      <c r="A71" s="25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SUM(OSRRefD22_7x_0)</f>
        <v>67.64</v>
      </c>
      <c r="E71" s="1"/>
      <c r="F71" s="5">
        <f t="shared" ref="F71:F79" si="52">IF(D$12=0,0,D71/D$12)</f>
        <v>2.6611290632409452E-5</v>
      </c>
      <c r="G71" s="1"/>
      <c r="H71" s="1">
        <f>SUM(OSRRefH22_7x_0)</f>
        <v>830</v>
      </c>
      <c r="I71" s="1"/>
      <c r="J71" s="5">
        <f t="shared" ref="J71:J79" si="53">IF(H$12=0,0,H71/H$12)</f>
        <v>3.0890238052083918E-4</v>
      </c>
      <c r="K71" s="1"/>
      <c r="L71" s="1">
        <f t="shared" ref="L71:L79" si="54">+D71-H71</f>
        <v>-762.36</v>
      </c>
      <c r="M71" s="1"/>
      <c r="N71" s="5">
        <f t="shared" ref="N71:N79" si="55">IF(H71=0,0,L71/H71)</f>
        <v>-0.9185060240963856</v>
      </c>
      <c r="O71" s="13"/>
      <c r="P71" s="1">
        <f>SUM(OSRRefP22_7x_0)</f>
        <v>1335.5</v>
      </c>
      <c r="Q71" s="1"/>
      <c r="R71" s="5">
        <f t="shared" ref="R71:R79" si="56">IF(P$12=0,0,P71/P$12)</f>
        <v>2.1344185319144583E-4</v>
      </c>
      <c r="S71" s="1"/>
      <c r="T71" s="1">
        <f>SUM(OSRRefT22_7x_0)</f>
        <v>3565</v>
      </c>
      <c r="U71" s="1"/>
      <c r="V71" s="5">
        <f t="shared" ref="V71:V79" si="57">IF(T$12=0,0,T71/T$12)</f>
        <v>5.3759549294415336E-4</v>
      </c>
      <c r="W71" s="1"/>
      <c r="X71" s="1">
        <f t="shared" ref="X71:X79" si="58">+P71-T71</f>
        <v>-2229.5</v>
      </c>
      <c r="Y71" s="1"/>
      <c r="Z71" s="5">
        <f t="shared" ref="Z71:Z79" si="59">IF(T71=0,0,X71/T71)</f>
        <v>-0.6253856942496494</v>
      </c>
    </row>
    <row r="72" spans="1:26" s="24" customFormat="1" hidden="1" outlineLevel="2" x14ac:dyDescent="0.25">
      <c r="A72" s="27"/>
      <c r="B72" s="11" t="str">
        <f>CONCATENATE("          ", "6277", " - ", "EMPLOYEE APPRECIATION")</f>
        <v xml:space="preserve">          6277 - EMPLOYEE APPRECIATION</v>
      </c>
      <c r="C72" s="11"/>
      <c r="D72" s="6">
        <v>67.64</v>
      </c>
      <c r="E72" s="2"/>
      <c r="F72" s="7">
        <f t="shared" si="52"/>
        <v>2.6611290632409452E-5</v>
      </c>
      <c r="G72" s="2"/>
      <c r="H72" s="6">
        <v>830</v>
      </c>
      <c r="I72" s="2"/>
      <c r="J72" s="7">
        <f t="shared" si="53"/>
        <v>3.0890238052083918E-4</v>
      </c>
      <c r="K72" s="2"/>
      <c r="L72" s="6">
        <f t="shared" si="54"/>
        <v>-762.36</v>
      </c>
      <c r="M72" s="2"/>
      <c r="N72" s="7">
        <f t="shared" si="55"/>
        <v>-0.9185060240963856</v>
      </c>
      <c r="O72" s="11"/>
      <c r="P72" s="6">
        <v>1335.5</v>
      </c>
      <c r="Q72" s="2"/>
      <c r="R72" s="7">
        <f t="shared" si="56"/>
        <v>2.1344185319144583E-4</v>
      </c>
      <c r="S72" s="2"/>
      <c r="T72" s="6">
        <v>3565</v>
      </c>
      <c r="U72" s="2"/>
      <c r="V72" s="7">
        <f t="shared" si="57"/>
        <v>5.3759549294415336E-4</v>
      </c>
      <c r="W72" s="2"/>
      <c r="X72" s="6">
        <f t="shared" si="58"/>
        <v>-2229.5</v>
      </c>
      <c r="Y72" s="2"/>
      <c r="Z72" s="7">
        <f t="shared" si="59"/>
        <v>-0.6253856942496494</v>
      </c>
    </row>
    <row r="73" spans="1:26" s="26" customFormat="1" outlineLevel="1" collapsed="1" x14ac:dyDescent="0.25">
      <c r="A73" s="25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SUM(OSRRefD22_8x_0)</f>
        <v>7439</v>
      </c>
      <c r="E73" s="1"/>
      <c r="F73" s="5">
        <f t="shared" si="52"/>
        <v>2.9266911740759003E-3</v>
      </c>
      <c r="G73" s="1"/>
      <c r="H73" s="1">
        <f>SUM(OSRRefH22_8x_0)</f>
        <v>2065</v>
      </c>
      <c r="I73" s="1"/>
      <c r="J73" s="5">
        <f t="shared" si="53"/>
        <v>7.6853423587413606E-4</v>
      </c>
      <c r="K73" s="1"/>
      <c r="L73" s="1">
        <f t="shared" si="54"/>
        <v>5374</v>
      </c>
      <c r="M73" s="1"/>
      <c r="N73" s="5">
        <f t="shared" si="55"/>
        <v>2.6024213075060532</v>
      </c>
      <c r="O73" s="13"/>
      <c r="P73" s="1">
        <f>SUM(OSRRefP22_8x_0)</f>
        <v>15053.030000000002</v>
      </c>
      <c r="Q73" s="1"/>
      <c r="R73" s="5">
        <f t="shared" si="56"/>
        <v>2.4058005386345415E-3</v>
      </c>
      <c r="S73" s="1"/>
      <c r="T73" s="1">
        <f>SUM(OSRRefT22_8x_0)</f>
        <v>8970</v>
      </c>
      <c r="U73" s="1"/>
      <c r="V73" s="5">
        <f t="shared" si="57"/>
        <v>1.3526596274078698E-3</v>
      </c>
      <c r="W73" s="1"/>
      <c r="X73" s="1">
        <f t="shared" si="58"/>
        <v>6083.0300000000025</v>
      </c>
      <c r="Y73" s="1"/>
      <c r="Z73" s="5">
        <f t="shared" si="59"/>
        <v>0.67815273132664466</v>
      </c>
    </row>
    <row r="74" spans="1:26" s="24" customFormat="1" hidden="1" outlineLevel="2" x14ac:dyDescent="0.25">
      <c r="A74" s="27"/>
      <c r="B74" s="11" t="str">
        <f>CONCATENATE("          ", "6351", " - ", "EQUIPMENT RENTAL")</f>
        <v xml:space="preserve">          6351 - EQUIPMENT RENTAL</v>
      </c>
      <c r="C74" s="11"/>
      <c r="D74" s="6">
        <v>7439</v>
      </c>
      <c r="E74" s="2"/>
      <c r="F74" s="7">
        <f t="shared" si="52"/>
        <v>2.9266911740759003E-3</v>
      </c>
      <c r="G74" s="2"/>
      <c r="H74" s="6">
        <v>2065</v>
      </c>
      <c r="I74" s="2"/>
      <c r="J74" s="7">
        <f t="shared" si="53"/>
        <v>7.6853423587413606E-4</v>
      </c>
      <c r="K74" s="2"/>
      <c r="L74" s="6">
        <f t="shared" si="54"/>
        <v>5374</v>
      </c>
      <c r="M74" s="2"/>
      <c r="N74" s="7">
        <f t="shared" si="55"/>
        <v>2.6024213075060532</v>
      </c>
      <c r="O74" s="11"/>
      <c r="P74" s="6">
        <v>15053.030000000002</v>
      </c>
      <c r="Q74" s="2"/>
      <c r="R74" s="7">
        <f t="shared" si="56"/>
        <v>2.4058005386345415E-3</v>
      </c>
      <c r="S74" s="2"/>
      <c r="T74" s="6">
        <v>8970</v>
      </c>
      <c r="U74" s="2"/>
      <c r="V74" s="7">
        <f t="shared" si="57"/>
        <v>1.3526596274078698E-3</v>
      </c>
      <c r="W74" s="2"/>
      <c r="X74" s="6">
        <f t="shared" si="58"/>
        <v>6083.0300000000025</v>
      </c>
      <c r="Y74" s="2"/>
      <c r="Z74" s="7">
        <f t="shared" si="59"/>
        <v>0.67815273132664466</v>
      </c>
    </row>
    <row r="75" spans="1:26" s="26" customFormat="1" outlineLevel="1" collapsed="1" x14ac:dyDescent="0.25">
      <c r="A75" s="25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SUM(OSRRefD22_9x_0)</f>
        <v>0</v>
      </c>
      <c r="E75" s="1"/>
      <c r="F75" s="5">
        <f t="shared" si="52"/>
        <v>0</v>
      </c>
      <c r="G75" s="1"/>
      <c r="H75" s="1">
        <f>SUM(OSRRefH22_9x_0)</f>
        <v>1</v>
      </c>
      <c r="I75" s="1"/>
      <c r="J75" s="5">
        <f t="shared" si="53"/>
        <v>3.7217154279619182E-7</v>
      </c>
      <c r="K75" s="1"/>
      <c r="L75" s="1">
        <f t="shared" si="54"/>
        <v>-1</v>
      </c>
      <c r="M75" s="1"/>
      <c r="N75" s="5">
        <f t="shared" si="55"/>
        <v>-1</v>
      </c>
      <c r="O75" s="13"/>
      <c r="P75" s="1">
        <f>SUM(OSRRefP22_9x_0)</f>
        <v>0</v>
      </c>
      <c r="Q75" s="1"/>
      <c r="R75" s="5">
        <f t="shared" si="56"/>
        <v>0</v>
      </c>
      <c r="S75" s="1"/>
      <c r="T75" s="1">
        <f>SUM(OSRRefT22_9x_0)</f>
        <v>4</v>
      </c>
      <c r="U75" s="1"/>
      <c r="V75" s="5">
        <f t="shared" si="57"/>
        <v>6.0319269895557184E-7</v>
      </c>
      <c r="W75" s="1"/>
      <c r="X75" s="1">
        <f t="shared" si="58"/>
        <v>-4</v>
      </c>
      <c r="Y75" s="1"/>
      <c r="Z75" s="5">
        <f t="shared" si="59"/>
        <v>-1</v>
      </c>
    </row>
    <row r="76" spans="1:26" s="24" customFormat="1" hidden="1" outlineLevel="2" x14ac:dyDescent="0.25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52"/>
        <v>0</v>
      </c>
      <c r="G76" s="2"/>
      <c r="H76" s="6">
        <v>1</v>
      </c>
      <c r="I76" s="2"/>
      <c r="J76" s="7">
        <f t="shared" si="53"/>
        <v>3.7217154279619182E-7</v>
      </c>
      <c r="K76" s="2"/>
      <c r="L76" s="6">
        <f t="shared" si="54"/>
        <v>-1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4</v>
      </c>
      <c r="U76" s="2"/>
      <c r="V76" s="7">
        <f t="shared" si="57"/>
        <v>6.0319269895557184E-7</v>
      </c>
      <c r="W76" s="2"/>
      <c r="X76" s="6">
        <f t="shared" si="58"/>
        <v>-4</v>
      </c>
      <c r="Y76" s="2"/>
      <c r="Z76" s="7">
        <f t="shared" si="59"/>
        <v>-1</v>
      </c>
    </row>
    <row r="77" spans="1:26" s="26" customFormat="1" outlineLevel="1" collapsed="1" x14ac:dyDescent="0.25">
      <c r="A77" s="25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SUM(OSRRefD22_10x_0)</f>
        <v>10235.879999999999</v>
      </c>
      <c r="E77" s="1"/>
      <c r="F77" s="5">
        <f t="shared" si="52"/>
        <v>4.0270546652641515E-3</v>
      </c>
      <c r="G77" s="1"/>
      <c r="H77" s="1">
        <f>SUM(OSRRefH22_10x_0)</f>
        <v>5180</v>
      </c>
      <c r="I77" s="1"/>
      <c r="J77" s="5">
        <f t="shared" si="53"/>
        <v>1.9278485916842734E-3</v>
      </c>
      <c r="K77" s="1"/>
      <c r="L77" s="1">
        <f t="shared" si="54"/>
        <v>5055.8799999999992</v>
      </c>
      <c r="M77" s="1"/>
      <c r="N77" s="5">
        <f t="shared" si="55"/>
        <v>0.97603861003860992</v>
      </c>
      <c r="O77" s="13"/>
      <c r="P77" s="1">
        <f>SUM(OSRRefP22_10x_0)</f>
        <v>45948.87</v>
      </c>
      <c r="Q77" s="1"/>
      <c r="R77" s="5">
        <f t="shared" si="56"/>
        <v>7.3436255820687607E-3</v>
      </c>
      <c r="S77" s="1"/>
      <c r="T77" s="1">
        <f>SUM(OSRRefT22_10x_0)</f>
        <v>30804</v>
      </c>
      <c r="U77" s="1"/>
      <c r="V77" s="5">
        <f t="shared" si="57"/>
        <v>4.6451869746568586E-3</v>
      </c>
      <c r="W77" s="1"/>
      <c r="X77" s="1">
        <f t="shared" si="58"/>
        <v>15144.870000000003</v>
      </c>
      <c r="Y77" s="1"/>
      <c r="Z77" s="5">
        <f t="shared" si="59"/>
        <v>0.4916527074405922</v>
      </c>
    </row>
    <row r="78" spans="1:26" s="24" customFormat="1" hidden="1" outlineLevel="2" x14ac:dyDescent="0.25">
      <c r="A78" s="27"/>
      <c r="B78" s="11" t="str">
        <f>CONCATENATE("          ", "6269", " - ", "ENTERTAINMENT")</f>
        <v xml:space="preserve">          6269 - ENTERTAINMENT</v>
      </c>
      <c r="C78" s="11"/>
      <c r="D78" s="6">
        <v>1850</v>
      </c>
      <c r="E78" s="2"/>
      <c r="F78" s="7">
        <f t="shared" si="52"/>
        <v>7.2783689636247019E-4</v>
      </c>
      <c r="G78" s="2"/>
      <c r="H78" s="6">
        <v>750</v>
      </c>
      <c r="I78" s="2"/>
      <c r="J78" s="7">
        <f t="shared" si="53"/>
        <v>2.7912865709714386E-4</v>
      </c>
      <c r="K78" s="2"/>
      <c r="L78" s="6">
        <f t="shared" si="54"/>
        <v>1100</v>
      </c>
      <c r="M78" s="2"/>
      <c r="N78" s="7">
        <f t="shared" si="55"/>
        <v>1.4666666666666666</v>
      </c>
      <c r="O78" s="11"/>
      <c r="P78" s="6">
        <v>5500</v>
      </c>
      <c r="Q78" s="2"/>
      <c r="R78" s="7">
        <f t="shared" si="56"/>
        <v>8.7901923815271584E-4</v>
      </c>
      <c r="S78" s="2"/>
      <c r="T78" s="6">
        <v>3150</v>
      </c>
      <c r="U78" s="2"/>
      <c r="V78" s="7">
        <f t="shared" si="57"/>
        <v>4.7501425042751282E-4</v>
      </c>
      <c r="W78" s="2"/>
      <c r="X78" s="6">
        <f t="shared" si="58"/>
        <v>2350</v>
      </c>
      <c r="Y78" s="2"/>
      <c r="Z78" s="7">
        <f t="shared" si="59"/>
        <v>0.74603174603174605</v>
      </c>
    </row>
    <row r="79" spans="1:26" s="24" customFormat="1" hidden="1" outlineLevel="2" x14ac:dyDescent="0.25">
      <c r="A79" s="27"/>
      <c r="B79" s="11" t="str">
        <f>CONCATENATE("          ", "6279", " - ", "GENERAL EXPENSE")</f>
        <v xml:space="preserve">          6279 - GENERAL EXPENSE</v>
      </c>
      <c r="C79" s="11"/>
      <c r="D79" s="6">
        <v>8385.8799999999992</v>
      </c>
      <c r="E79" s="2"/>
      <c r="F79" s="7">
        <f t="shared" si="52"/>
        <v>3.2992177689016816E-3</v>
      </c>
      <c r="G79" s="2"/>
      <c r="H79" s="6">
        <v>4430</v>
      </c>
      <c r="I79" s="2"/>
      <c r="J79" s="7">
        <f t="shared" si="53"/>
        <v>1.6487199345871296E-3</v>
      </c>
      <c r="K79" s="2"/>
      <c r="L79" s="6">
        <f t="shared" si="54"/>
        <v>3955.8799999999992</v>
      </c>
      <c r="M79" s="2"/>
      <c r="N79" s="7">
        <f t="shared" si="55"/>
        <v>0.89297516930022558</v>
      </c>
      <c r="O79" s="11"/>
      <c r="P79" s="6">
        <v>40448.870000000003</v>
      </c>
      <c r="Q79" s="2"/>
      <c r="R79" s="7">
        <f t="shared" si="56"/>
        <v>6.4646063439160444E-3</v>
      </c>
      <c r="S79" s="2"/>
      <c r="T79" s="6">
        <v>27654</v>
      </c>
      <c r="U79" s="2"/>
      <c r="V79" s="7">
        <f t="shared" si="57"/>
        <v>4.1701727242293455E-3</v>
      </c>
      <c r="W79" s="2"/>
      <c r="X79" s="6">
        <f t="shared" si="58"/>
        <v>12794.870000000003</v>
      </c>
      <c r="Y79" s="2"/>
      <c r="Z79" s="7">
        <f t="shared" si="59"/>
        <v>0.46267700875099455</v>
      </c>
    </row>
    <row r="80" spans="1:26" s="26" customFormat="1" outlineLevel="1" collapsed="1" x14ac:dyDescent="0.25">
      <c r="A80" s="25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SUM(OSRRefD22_11x_0)</f>
        <v>4246.03</v>
      </c>
      <c r="E80" s="1"/>
      <c r="F80" s="5">
        <f t="shared" ref="F80:F94" si="60">IF(D$12=0,0,D80/D$12)</f>
        <v>1.6704958362496968E-3</v>
      </c>
      <c r="G80" s="1"/>
      <c r="H80" s="1">
        <f>SUM(OSRRefH22_11x_0)</f>
        <v>4009</v>
      </c>
      <c r="I80" s="1"/>
      <c r="J80" s="5">
        <f t="shared" ref="J80:J94" si="61">IF(H$12=0,0,H80/H$12)</f>
        <v>1.4920357150699328E-3</v>
      </c>
      <c r="K80" s="1"/>
      <c r="L80" s="1">
        <f t="shared" ref="L80:L94" si="62">+D80-H80</f>
        <v>237.02999999999975</v>
      </c>
      <c r="M80" s="1"/>
      <c r="N80" s="5">
        <f t="shared" ref="N80:N94" si="63">IF(H80=0,0,L80/H80)</f>
        <v>5.9124469942629022E-2</v>
      </c>
      <c r="O80" s="13"/>
      <c r="P80" s="1">
        <f>SUM(OSRRefP22_11x_0)</f>
        <v>16984.12</v>
      </c>
      <c r="Q80" s="1"/>
      <c r="R80" s="5">
        <f t="shared" ref="R80:R94" si="64">IF(P$12=0,0,P80/P$12)</f>
        <v>2.7144305860171461E-3</v>
      </c>
      <c r="S80" s="1"/>
      <c r="T80" s="1">
        <f>SUM(OSRRefT22_11x_0)</f>
        <v>16036</v>
      </c>
      <c r="U80" s="1"/>
      <c r="V80" s="5">
        <f t="shared" ref="V80:V94" si="65">IF(T$12=0,0,T80/T$12)</f>
        <v>2.4181995301128874E-3</v>
      </c>
      <c r="W80" s="1"/>
      <c r="X80" s="1">
        <f t="shared" ref="X80:X94" si="66">+P80-T80</f>
        <v>948.11999999999898</v>
      </c>
      <c r="Y80" s="1"/>
      <c r="Z80" s="5">
        <f t="shared" ref="Z80:Z94" si="67">IF(T80=0,0,X80/T80)</f>
        <v>5.9124469942629022E-2</v>
      </c>
    </row>
    <row r="81" spans="1:26" s="24" customFormat="1" hidden="1" outlineLevel="2" x14ac:dyDescent="0.25">
      <c r="A81" s="27"/>
      <c r="B81" s="11" t="str">
        <f>CONCATENATE("          ", "6314", " - ", "LIABILITY INSURANCE")</f>
        <v xml:space="preserve">          6314 - LIABILITY INSURANCE</v>
      </c>
      <c r="C81" s="11"/>
      <c r="D81" s="6">
        <v>4246.03</v>
      </c>
      <c r="E81" s="2"/>
      <c r="F81" s="7">
        <f t="shared" si="60"/>
        <v>1.6704958362496968E-3</v>
      </c>
      <c r="G81" s="2"/>
      <c r="H81" s="6">
        <v>4009</v>
      </c>
      <c r="I81" s="2"/>
      <c r="J81" s="7">
        <f t="shared" si="61"/>
        <v>1.4920357150699328E-3</v>
      </c>
      <c r="K81" s="2"/>
      <c r="L81" s="6">
        <f t="shared" si="62"/>
        <v>237.02999999999975</v>
      </c>
      <c r="M81" s="2"/>
      <c r="N81" s="7">
        <f t="shared" si="63"/>
        <v>5.9124469942629022E-2</v>
      </c>
      <c r="O81" s="11"/>
      <c r="P81" s="6">
        <v>16984.12</v>
      </c>
      <c r="Q81" s="2"/>
      <c r="R81" s="7">
        <f t="shared" si="64"/>
        <v>2.7144305860171461E-3</v>
      </c>
      <c r="S81" s="2"/>
      <c r="T81" s="6">
        <v>16036</v>
      </c>
      <c r="U81" s="2"/>
      <c r="V81" s="7">
        <f t="shared" si="65"/>
        <v>2.4181995301128874E-3</v>
      </c>
      <c r="W81" s="2"/>
      <c r="X81" s="6">
        <f t="shared" si="66"/>
        <v>948.11999999999898</v>
      </c>
      <c r="Y81" s="2"/>
      <c r="Z81" s="7">
        <f t="shared" si="67"/>
        <v>5.9124469942629022E-2</v>
      </c>
    </row>
    <row r="82" spans="1:26" s="26" customFormat="1" outlineLevel="1" collapsed="1" x14ac:dyDescent="0.25">
      <c r="A82" s="25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SUM(OSRRefD22_12x_0)</f>
        <v>7733.05</v>
      </c>
      <c r="E82" s="1"/>
      <c r="F82" s="5">
        <f t="shared" si="60"/>
        <v>3.0423778980625945E-3</v>
      </c>
      <c r="G82" s="1"/>
      <c r="H82" s="1">
        <f>SUM(OSRRefH22_12x_0)</f>
        <v>7754</v>
      </c>
      <c r="I82" s="1"/>
      <c r="J82" s="5">
        <f t="shared" si="61"/>
        <v>2.8858181428416713E-3</v>
      </c>
      <c r="K82" s="1"/>
      <c r="L82" s="1">
        <f t="shared" si="62"/>
        <v>-20.949999999999818</v>
      </c>
      <c r="M82" s="1"/>
      <c r="N82" s="5">
        <f t="shared" si="63"/>
        <v>-2.7018313128707528E-3</v>
      </c>
      <c r="O82" s="13"/>
      <c r="P82" s="1">
        <f>SUM(OSRRefP22_12x_0)</f>
        <v>30623.05</v>
      </c>
      <c r="Q82" s="1"/>
      <c r="R82" s="5">
        <f t="shared" si="64"/>
        <v>4.8942272874386407E-3</v>
      </c>
      <c r="S82" s="1"/>
      <c r="T82" s="1">
        <f>SUM(OSRRefT22_12x_0)</f>
        <v>31016</v>
      </c>
      <c r="U82" s="1"/>
      <c r="V82" s="5">
        <f t="shared" si="65"/>
        <v>4.6771561877015037E-3</v>
      </c>
      <c r="W82" s="1"/>
      <c r="X82" s="1">
        <f t="shared" si="66"/>
        <v>-392.95000000000073</v>
      </c>
      <c r="Y82" s="1"/>
      <c r="Z82" s="5">
        <f t="shared" si="67"/>
        <v>-1.2669267474851713E-2</v>
      </c>
    </row>
    <row r="83" spans="1:26" s="24" customFormat="1" hidden="1" outlineLevel="2" x14ac:dyDescent="0.25">
      <c r="A83" s="27"/>
      <c r="B83" s="11" t="str">
        <f>CONCATENATE("          ", "6401", " - ", "INTEREST EXPENSE")</f>
        <v xml:space="preserve">          6401 - INTEREST EXPENSE</v>
      </c>
      <c r="C83" s="11"/>
      <c r="D83" s="6">
        <v>7733.05</v>
      </c>
      <c r="E83" s="2"/>
      <c r="F83" s="7">
        <f t="shared" si="60"/>
        <v>3.0423778980625945E-3</v>
      </c>
      <c r="G83" s="2"/>
      <c r="H83" s="6">
        <v>7754</v>
      </c>
      <c r="I83" s="2"/>
      <c r="J83" s="7">
        <f t="shared" si="61"/>
        <v>2.8858181428416713E-3</v>
      </c>
      <c r="K83" s="2"/>
      <c r="L83" s="6">
        <f t="shared" si="62"/>
        <v>-20.949999999999818</v>
      </c>
      <c r="M83" s="2"/>
      <c r="N83" s="7">
        <f t="shared" si="63"/>
        <v>-2.7018313128707528E-3</v>
      </c>
      <c r="O83" s="11"/>
      <c r="P83" s="6">
        <v>30623.05</v>
      </c>
      <c r="Q83" s="2"/>
      <c r="R83" s="7">
        <f t="shared" si="64"/>
        <v>4.8942272874386407E-3</v>
      </c>
      <c r="S83" s="2"/>
      <c r="T83" s="6">
        <v>31016</v>
      </c>
      <c r="U83" s="2"/>
      <c r="V83" s="7">
        <f t="shared" si="65"/>
        <v>4.6771561877015037E-3</v>
      </c>
      <c r="W83" s="2"/>
      <c r="X83" s="6">
        <f t="shared" si="66"/>
        <v>-392.95000000000073</v>
      </c>
      <c r="Y83" s="2"/>
      <c r="Z83" s="7">
        <f t="shared" si="67"/>
        <v>-1.2669267474851713E-2</v>
      </c>
    </row>
    <row r="84" spans="1:26" s="26" customFormat="1" outlineLevel="1" collapsed="1" x14ac:dyDescent="0.25">
      <c r="A84" s="25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SUM(OSRRefD22_13x_0)</f>
        <v>0</v>
      </c>
      <c r="E84" s="1"/>
      <c r="F84" s="5">
        <f t="shared" si="60"/>
        <v>0</v>
      </c>
      <c r="G84" s="1"/>
      <c r="H84" s="1">
        <f>SUM(OSRRefH22_13x_0)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125</v>
      </c>
      <c r="Q84" s="1"/>
      <c r="R84" s="5">
        <f t="shared" si="64"/>
        <v>1.9977709958016271E-5</v>
      </c>
      <c r="S84" s="1"/>
      <c r="T84" s="1">
        <f>SUM(OSRRefT22_13x_0)</f>
        <v>0</v>
      </c>
      <c r="U84" s="1"/>
      <c r="V84" s="5">
        <f t="shared" si="65"/>
        <v>0</v>
      </c>
      <c r="W84" s="1"/>
      <c r="X84" s="1">
        <f t="shared" si="66"/>
        <v>125</v>
      </c>
      <c r="Y84" s="1"/>
      <c r="Z84" s="5">
        <f t="shared" si="67"/>
        <v>0</v>
      </c>
    </row>
    <row r="85" spans="1:26" s="24" customFormat="1" hidden="1" outlineLevel="2" x14ac:dyDescent="0.25">
      <c r="A85" s="27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60"/>
        <v>0</v>
      </c>
      <c r="G85" s="2"/>
      <c r="H85" s="6"/>
      <c r="I85" s="2"/>
      <c r="J85" s="7">
        <f t="shared" si="61"/>
        <v>0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125</v>
      </c>
      <c r="Q85" s="2"/>
      <c r="R85" s="7">
        <f t="shared" si="64"/>
        <v>1.9977709958016271E-5</v>
      </c>
      <c r="S85" s="2"/>
      <c r="T85" s="6"/>
      <c r="U85" s="2"/>
      <c r="V85" s="7">
        <f t="shared" si="65"/>
        <v>0</v>
      </c>
      <c r="W85" s="2"/>
      <c r="X85" s="6">
        <f t="shared" si="66"/>
        <v>125</v>
      </c>
      <c r="Y85" s="2"/>
      <c r="Z85" s="7">
        <f t="shared" si="67"/>
        <v>0</v>
      </c>
    </row>
    <row r="86" spans="1:26" s="26" customFormat="1" outlineLevel="1" collapsed="1" x14ac:dyDescent="0.25">
      <c r="A86" s="25"/>
      <c r="B86" s="13" t="str">
        <f>CONCATENATE("     ","R/H Commissions                                   ")</f>
        <v xml:space="preserve">     R/H Commissions                                   </v>
      </c>
      <c r="C86" s="13"/>
      <c r="D86" s="1">
        <f>SUM(OSRRefD22_14x_0)</f>
        <v>130766.15000000001</v>
      </c>
      <c r="E86" s="1"/>
      <c r="F86" s="5">
        <f t="shared" si="60"/>
        <v>5.1446718251496888E-2</v>
      </c>
      <c r="G86" s="1"/>
      <c r="H86" s="1">
        <f>SUM(OSRRefH22_14x_0)</f>
        <v>135436</v>
      </c>
      <c r="I86" s="1"/>
      <c r="J86" s="5">
        <f t="shared" si="61"/>
        <v>5.0405425070145032E-2</v>
      </c>
      <c r="K86" s="1"/>
      <c r="L86" s="1">
        <f t="shared" si="62"/>
        <v>-4669.8499999999913</v>
      </c>
      <c r="M86" s="1"/>
      <c r="N86" s="5">
        <f t="shared" si="63"/>
        <v>-3.4480123453143857E-2</v>
      </c>
      <c r="O86" s="13"/>
      <c r="P86" s="1">
        <f>SUM(OSRRefP22_14x_0)</f>
        <v>318687.43</v>
      </c>
      <c r="Q86" s="1"/>
      <c r="R86" s="5">
        <f t="shared" si="64"/>
        <v>5.09331603504449E-2</v>
      </c>
      <c r="S86" s="1"/>
      <c r="T86" s="1">
        <f>SUM(OSRRefT22_14x_0)</f>
        <v>333029</v>
      </c>
      <c r="U86" s="1"/>
      <c r="V86" s="5">
        <f t="shared" si="65"/>
        <v>5.0220165335118784E-2</v>
      </c>
      <c r="W86" s="1"/>
      <c r="X86" s="1">
        <f t="shared" si="66"/>
        <v>-14341.570000000007</v>
      </c>
      <c r="Y86" s="1"/>
      <c r="Z86" s="5">
        <f t="shared" si="67"/>
        <v>-4.3064027457068325E-2</v>
      </c>
    </row>
    <row r="87" spans="1:26" s="24" customFormat="1" hidden="1" outlineLevel="2" x14ac:dyDescent="0.25">
      <c r="A87" s="27"/>
      <c r="B87" s="11" t="str">
        <f>CONCATENATE("          ", "6387", " - ", "COMMISSION DUE HOUSING")</f>
        <v xml:space="preserve">          6387 - COMMISSION DUE HOUSING</v>
      </c>
      <c r="C87" s="11"/>
      <c r="D87" s="6">
        <v>130766.15000000001</v>
      </c>
      <c r="E87" s="2"/>
      <c r="F87" s="7">
        <f t="shared" si="60"/>
        <v>5.1446718251496888E-2</v>
      </c>
      <c r="G87" s="2"/>
      <c r="H87" s="6">
        <v>135436</v>
      </c>
      <c r="I87" s="2"/>
      <c r="J87" s="7">
        <f t="shared" si="61"/>
        <v>5.0405425070145032E-2</v>
      </c>
      <c r="K87" s="2"/>
      <c r="L87" s="6">
        <f t="shared" si="62"/>
        <v>-4669.8499999999913</v>
      </c>
      <c r="M87" s="2"/>
      <c r="N87" s="7">
        <f t="shared" si="63"/>
        <v>-3.4480123453143857E-2</v>
      </c>
      <c r="O87" s="11"/>
      <c r="P87" s="6">
        <v>318687.43</v>
      </c>
      <c r="Q87" s="2"/>
      <c r="R87" s="7">
        <f t="shared" si="64"/>
        <v>5.09331603504449E-2</v>
      </c>
      <c r="S87" s="2"/>
      <c r="T87" s="6">
        <v>333029</v>
      </c>
      <c r="U87" s="2"/>
      <c r="V87" s="7">
        <f t="shared" si="65"/>
        <v>5.0220165335118784E-2</v>
      </c>
      <c r="W87" s="2"/>
      <c r="X87" s="6">
        <f t="shared" si="66"/>
        <v>-14341.570000000007</v>
      </c>
      <c r="Y87" s="2"/>
      <c r="Z87" s="7">
        <f t="shared" si="67"/>
        <v>-4.3064027457068325E-2</v>
      </c>
    </row>
    <row r="88" spans="1:26" s="26" customFormat="1" outlineLevel="1" collapsed="1" x14ac:dyDescent="0.25">
      <c r="A88" s="25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1850</v>
      </c>
      <c r="E88" s="1"/>
      <c r="F88" s="5">
        <f t="shared" si="60"/>
        <v>7.2783689636247019E-4</v>
      </c>
      <c r="G88" s="1"/>
      <c r="H88" s="1">
        <f>SUM(OSRRefH22_15x_0)</f>
        <v>1850</v>
      </c>
      <c r="I88" s="1"/>
      <c r="J88" s="5">
        <f t="shared" si="61"/>
        <v>6.8851735417295478E-4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SUM(OSRRefP22_15x_0)</f>
        <v>7400</v>
      </c>
      <c r="Q88" s="1"/>
      <c r="R88" s="5">
        <f t="shared" si="64"/>
        <v>1.1826804295145632E-3</v>
      </c>
      <c r="S88" s="1"/>
      <c r="T88" s="1">
        <f>SUM(OSRRefT22_15x_0)</f>
        <v>7400</v>
      </c>
      <c r="U88" s="1"/>
      <c r="V88" s="5">
        <f t="shared" si="65"/>
        <v>1.115906493067808E-3</v>
      </c>
      <c r="W88" s="1"/>
      <c r="X88" s="1">
        <f t="shared" si="66"/>
        <v>0</v>
      </c>
      <c r="Y88" s="1"/>
      <c r="Z88" s="5">
        <f t="shared" si="67"/>
        <v>0</v>
      </c>
    </row>
    <row r="89" spans="1:26" s="24" customFormat="1" hidden="1" outlineLevel="2" x14ac:dyDescent="0.25">
      <c r="A89" s="27"/>
      <c r="B89" s="11" t="str">
        <f>CONCATENATE("          ", "6273", " - ", "RENT")</f>
        <v xml:space="preserve">          6273 - RENT</v>
      </c>
      <c r="C89" s="11"/>
      <c r="D89" s="6">
        <v>1850</v>
      </c>
      <c r="E89" s="2"/>
      <c r="F89" s="7">
        <f t="shared" si="60"/>
        <v>7.2783689636247019E-4</v>
      </c>
      <c r="G89" s="2"/>
      <c r="H89" s="6">
        <v>1850</v>
      </c>
      <c r="I89" s="2"/>
      <c r="J89" s="7">
        <f t="shared" si="61"/>
        <v>6.8851735417295478E-4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7400</v>
      </c>
      <c r="Q89" s="2"/>
      <c r="R89" s="7">
        <f t="shared" si="64"/>
        <v>1.1826804295145632E-3</v>
      </c>
      <c r="S89" s="2"/>
      <c r="T89" s="6">
        <v>7400</v>
      </c>
      <c r="U89" s="2"/>
      <c r="V89" s="7">
        <f t="shared" si="65"/>
        <v>1.115906493067808E-3</v>
      </c>
      <c r="W89" s="2"/>
      <c r="X89" s="6">
        <f t="shared" si="66"/>
        <v>0</v>
      </c>
      <c r="Y89" s="2"/>
      <c r="Z89" s="7">
        <f t="shared" si="67"/>
        <v>0</v>
      </c>
    </row>
    <row r="90" spans="1:26" s="26" customFormat="1" outlineLevel="1" collapsed="1" x14ac:dyDescent="0.25">
      <c r="A90" s="25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26365.21</v>
      </c>
      <c r="E90" s="1"/>
      <c r="F90" s="5">
        <f t="shared" si="60"/>
        <v>1.0372741955862033E-2</v>
      </c>
      <c r="G90" s="1"/>
      <c r="H90" s="1">
        <f>SUM(OSRRefH22_16x_0)</f>
        <v>29487</v>
      </c>
      <c r="I90" s="1"/>
      <c r="J90" s="5">
        <f t="shared" si="61"/>
        <v>1.0974222282431308E-2</v>
      </c>
      <c r="K90" s="1"/>
      <c r="L90" s="1">
        <f t="shared" si="62"/>
        <v>-3121.7900000000009</v>
      </c>
      <c r="M90" s="1"/>
      <c r="N90" s="5">
        <f t="shared" si="63"/>
        <v>-0.1058700444263574</v>
      </c>
      <c r="O90" s="13"/>
      <c r="P90" s="1">
        <f>SUM(OSRRefP22_16x_0)</f>
        <v>112956.52</v>
      </c>
      <c r="Q90" s="1"/>
      <c r="R90" s="5">
        <f t="shared" si="64"/>
        <v>1.8052900755414911E-2</v>
      </c>
      <c r="S90" s="1"/>
      <c r="T90" s="1">
        <f>SUM(OSRRefT22_16x_0)</f>
        <v>103016</v>
      </c>
      <c r="U90" s="1"/>
      <c r="V90" s="5">
        <f t="shared" si="65"/>
        <v>1.5534624768901797E-2</v>
      </c>
      <c r="W90" s="1"/>
      <c r="X90" s="1">
        <f t="shared" si="66"/>
        <v>9940.5200000000041</v>
      </c>
      <c r="Y90" s="1"/>
      <c r="Z90" s="5">
        <f t="shared" si="67"/>
        <v>9.6494913411508926E-2</v>
      </c>
    </row>
    <row r="91" spans="1:26" s="24" customFormat="1" hidden="1" outlineLevel="2" x14ac:dyDescent="0.25">
      <c r="A91" s="27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60"/>
        <v>0</v>
      </c>
      <c r="G91" s="2"/>
      <c r="H91" s="6">
        <v>2047</v>
      </c>
      <c r="I91" s="2"/>
      <c r="J91" s="7">
        <f t="shared" si="61"/>
        <v>7.618351481038046E-4</v>
      </c>
      <c r="K91" s="2"/>
      <c r="L91" s="6">
        <f t="shared" si="62"/>
        <v>-2047</v>
      </c>
      <c r="M91" s="2"/>
      <c r="N91" s="7">
        <f t="shared" si="63"/>
        <v>-1</v>
      </c>
      <c r="O91" s="11"/>
      <c r="P91" s="6">
        <v>17273.12</v>
      </c>
      <c r="Q91" s="2"/>
      <c r="R91" s="7">
        <f t="shared" si="64"/>
        <v>2.7606190514400798E-3</v>
      </c>
      <c r="S91" s="2"/>
      <c r="T91" s="6">
        <v>7188</v>
      </c>
      <c r="U91" s="2"/>
      <c r="V91" s="7">
        <f t="shared" si="65"/>
        <v>1.0839372800231625E-3</v>
      </c>
      <c r="W91" s="2"/>
      <c r="X91" s="6">
        <f t="shared" si="66"/>
        <v>10085.119999999999</v>
      </c>
      <c r="Y91" s="2"/>
      <c r="Z91" s="7">
        <f t="shared" si="67"/>
        <v>1.4030495269894268</v>
      </c>
    </row>
    <row r="92" spans="1:26" s="24" customFormat="1" hidden="1" outlineLevel="2" x14ac:dyDescent="0.25">
      <c r="A92" s="27"/>
      <c r="B92" s="11" t="str">
        <f>CONCATENATE("          ", "6372", " - ", "COMPUTER HARDWARE MAINTENANCE")</f>
        <v xml:space="preserve">          6372 - COMPUTER HARDWARE MAINTENANCE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270</v>
      </c>
      <c r="U92" s="2"/>
      <c r="V92" s="7">
        <f t="shared" si="65"/>
        <v>4.07155071795011E-5</v>
      </c>
      <c r="W92" s="2"/>
      <c r="X92" s="6">
        <f t="shared" si="66"/>
        <v>-270</v>
      </c>
      <c r="Y92" s="2"/>
      <c r="Z92" s="7">
        <f t="shared" si="67"/>
        <v>-1</v>
      </c>
    </row>
    <row r="93" spans="1:26" s="24" customFormat="1" hidden="1" outlineLevel="2" x14ac:dyDescent="0.25">
      <c r="A93" s="27"/>
      <c r="B93" s="11" t="str">
        <f>CONCATENATE("          ", "6373", " - ", "MAINTENANCE CONTRACTS")</f>
        <v xml:space="preserve">          6373 - MAINTENANCE CONTRACTS</v>
      </c>
      <c r="C93" s="11"/>
      <c r="D93" s="6">
        <v>7849.52</v>
      </c>
      <c r="E93" s="2"/>
      <c r="F93" s="7">
        <f t="shared" si="60"/>
        <v>3.0882001485054798E-3</v>
      </c>
      <c r="G93" s="2"/>
      <c r="H93" s="6">
        <v>2230</v>
      </c>
      <c r="I93" s="2"/>
      <c r="J93" s="7">
        <f t="shared" si="61"/>
        <v>8.2994254043550772E-4</v>
      </c>
      <c r="K93" s="2"/>
      <c r="L93" s="6">
        <f t="shared" si="62"/>
        <v>5619.52</v>
      </c>
      <c r="M93" s="2"/>
      <c r="N93" s="7">
        <f t="shared" si="63"/>
        <v>2.5199641255605383</v>
      </c>
      <c r="O93" s="11"/>
      <c r="P93" s="6">
        <v>32696.04</v>
      </c>
      <c r="Q93" s="2"/>
      <c r="R93" s="7">
        <f t="shared" si="64"/>
        <v>5.225536031165586E-3</v>
      </c>
      <c r="S93" s="2"/>
      <c r="T93" s="6">
        <v>11093</v>
      </c>
      <c r="U93" s="2"/>
      <c r="V93" s="7">
        <f t="shared" si="65"/>
        <v>1.6728041523785396E-3</v>
      </c>
      <c r="W93" s="2"/>
      <c r="X93" s="6">
        <f t="shared" si="66"/>
        <v>21603.040000000001</v>
      </c>
      <c r="Y93" s="2"/>
      <c r="Z93" s="7">
        <f t="shared" si="67"/>
        <v>1.9474479401424323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>
        <v>18515.689999999999</v>
      </c>
      <c r="E94" s="2"/>
      <c r="F94" s="7">
        <f t="shared" si="60"/>
        <v>7.2845418073565543E-3</v>
      </c>
      <c r="G94" s="2"/>
      <c r="H94" s="6">
        <v>25210</v>
      </c>
      <c r="I94" s="2"/>
      <c r="J94" s="7">
        <f t="shared" si="61"/>
        <v>9.3824445938919948E-3</v>
      </c>
      <c r="K94" s="2"/>
      <c r="L94" s="6">
        <f t="shared" si="62"/>
        <v>-6694.3100000000013</v>
      </c>
      <c r="M94" s="2"/>
      <c r="N94" s="7">
        <f t="shared" si="63"/>
        <v>-0.2655418484728283</v>
      </c>
      <c r="O94" s="11"/>
      <c r="P94" s="6">
        <v>62987.360000000001</v>
      </c>
      <c r="Q94" s="2"/>
      <c r="R94" s="7">
        <f t="shared" si="64"/>
        <v>1.0066745672809246E-2</v>
      </c>
      <c r="S94" s="2"/>
      <c r="T94" s="6">
        <v>84465</v>
      </c>
      <c r="U94" s="2"/>
      <c r="V94" s="7">
        <f t="shared" si="65"/>
        <v>1.2737167829320594E-2</v>
      </c>
      <c r="W94" s="2"/>
      <c r="X94" s="6">
        <f t="shared" si="66"/>
        <v>-21477.64</v>
      </c>
      <c r="Y94" s="2"/>
      <c r="Z94" s="7">
        <f t="shared" si="67"/>
        <v>-0.25427857692535372</v>
      </c>
    </row>
    <row r="95" spans="1:26" s="26" customFormat="1" outlineLevel="1" collapsed="1" x14ac:dyDescent="0.25">
      <c r="A95" s="25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32085.1</v>
      </c>
      <c r="E95" s="1"/>
      <c r="F95" s="5">
        <f t="shared" ref="F95:F98" si="68">IF(D$12=0,0,D95/D$12)</f>
        <v>1.2623091677556483E-2</v>
      </c>
      <c r="G95" s="1"/>
      <c r="H95" s="1">
        <f>SUM(OSRRefH22_17x_0)</f>
        <v>31880</v>
      </c>
      <c r="I95" s="1"/>
      <c r="J95" s="5">
        <f t="shared" ref="J95:J98" si="69">IF(H$12=0,0,H95/H$12)</f>
        <v>1.1864828784342593E-2</v>
      </c>
      <c r="K95" s="1"/>
      <c r="L95" s="1">
        <f t="shared" ref="L95:L98" si="70">+D95-H95</f>
        <v>205.09999999999854</v>
      </c>
      <c r="M95" s="1"/>
      <c r="N95" s="5">
        <f t="shared" ref="N95:N98" si="71">IF(H95=0,0,L95/H95)</f>
        <v>6.4335006273525267E-3</v>
      </c>
      <c r="O95" s="13"/>
      <c r="P95" s="1">
        <f>SUM(OSRRefP22_17x_0)</f>
        <v>92348.87</v>
      </c>
      <c r="Q95" s="1"/>
      <c r="R95" s="5">
        <f t="shared" ref="R95:R98" si="72">IF(P$12=0,0,P95/P$12)</f>
        <v>1.4759351518484398E-2</v>
      </c>
      <c r="S95" s="1"/>
      <c r="T95" s="1">
        <f>SUM(OSRRefT22_17x_0)</f>
        <v>81301</v>
      </c>
      <c r="U95" s="1"/>
      <c r="V95" s="5">
        <f t="shared" ref="V95:V98" si="73">IF(T$12=0,0,T95/T$12)</f>
        <v>1.2260042404446737E-2</v>
      </c>
      <c r="W95" s="1"/>
      <c r="X95" s="1">
        <f t="shared" ref="X95:X98" si="74">+P95-T95</f>
        <v>11047.869999999995</v>
      </c>
      <c r="Y95" s="1"/>
      <c r="Z95" s="5">
        <f t="shared" ref="Z95:Z98" si="75">IF(T95=0,0,X95/T95)</f>
        <v>0.1358884884564765</v>
      </c>
    </row>
    <row r="96" spans="1:26" s="24" customFormat="1" hidden="1" outlineLevel="2" x14ac:dyDescent="0.25">
      <c r="A96" s="27"/>
      <c r="B96" s="11" t="str">
        <f>CONCATENATE("          ", "6253", " - ", "ROYALTY DUE ATHLETICS-LRG")</f>
        <v xml:space="preserve">          6253 - ROYALTY DUE ATHLETICS-LRG</v>
      </c>
      <c r="C96" s="11"/>
      <c r="D96" s="6"/>
      <c r="E96" s="2"/>
      <c r="F96" s="7">
        <f t="shared" si="68"/>
        <v>0</v>
      </c>
      <c r="G96" s="2"/>
      <c r="H96" s="6">
        <v>8000</v>
      </c>
      <c r="I96" s="2"/>
      <c r="J96" s="7">
        <f t="shared" si="69"/>
        <v>2.9773723423695345E-3</v>
      </c>
      <c r="K96" s="2"/>
      <c r="L96" s="6">
        <f t="shared" si="70"/>
        <v>-8000</v>
      </c>
      <c r="M96" s="2"/>
      <c r="N96" s="7">
        <f t="shared" si="71"/>
        <v>-1</v>
      </c>
      <c r="O96" s="11"/>
      <c r="P96" s="6"/>
      <c r="Q96" s="2"/>
      <c r="R96" s="7">
        <f t="shared" si="72"/>
        <v>0</v>
      </c>
      <c r="S96" s="2"/>
      <c r="T96" s="6">
        <v>17000</v>
      </c>
      <c r="U96" s="2"/>
      <c r="V96" s="7">
        <f t="shared" si="73"/>
        <v>2.5635689705611805E-3</v>
      </c>
      <c r="W96" s="2"/>
      <c r="X96" s="6">
        <f t="shared" si="74"/>
        <v>-17000</v>
      </c>
      <c r="Y96" s="2"/>
      <c r="Z96" s="7">
        <f t="shared" si="75"/>
        <v>-1</v>
      </c>
    </row>
    <row r="97" spans="1:26" s="24" customFormat="1" hidden="1" outlineLevel="2" x14ac:dyDescent="0.25">
      <c r="A97" s="27"/>
      <c r="B97" s="11" t="str">
        <f>CONCATENATE("          ", "6254", " - ", "ROYALTY &amp; COMMISSIONS")</f>
        <v xml:space="preserve">          6254 - ROYALTY &amp; COMMISSIONS</v>
      </c>
      <c r="C97" s="11"/>
      <c r="D97" s="6">
        <v>10321.9</v>
      </c>
      <c r="E97" s="2"/>
      <c r="F97" s="7">
        <f t="shared" si="68"/>
        <v>4.0608971138182603E-3</v>
      </c>
      <c r="G97" s="2"/>
      <c r="H97" s="6"/>
      <c r="I97" s="2"/>
      <c r="J97" s="7">
        <f t="shared" si="69"/>
        <v>0</v>
      </c>
      <c r="K97" s="2"/>
      <c r="L97" s="6">
        <f t="shared" si="70"/>
        <v>10321.9</v>
      </c>
      <c r="M97" s="2"/>
      <c r="N97" s="7">
        <f t="shared" si="71"/>
        <v>0</v>
      </c>
      <c r="O97" s="11"/>
      <c r="P97" s="6">
        <v>44979.51</v>
      </c>
      <c r="Q97" s="2"/>
      <c r="R97" s="7">
        <f t="shared" si="72"/>
        <v>7.1887008386695393E-3</v>
      </c>
      <c r="S97" s="2"/>
      <c r="T97" s="6">
        <v>4117</v>
      </c>
      <c r="U97" s="2"/>
      <c r="V97" s="7">
        <f t="shared" si="73"/>
        <v>6.2083608540002228E-4</v>
      </c>
      <c r="W97" s="2"/>
      <c r="X97" s="6">
        <f t="shared" si="74"/>
        <v>40862.51</v>
      </c>
      <c r="Y97" s="2"/>
      <c r="Z97" s="7">
        <f t="shared" si="75"/>
        <v>9.9253121204760753</v>
      </c>
    </row>
    <row r="98" spans="1:26" s="24" customFormat="1" hidden="1" outlineLevel="2" x14ac:dyDescent="0.25">
      <c r="A98" s="27"/>
      <c r="B98" s="11" t="str">
        <f>CONCATENATE("          ", "6259", " - ", "ROYALTY &amp; COMMISSIONS")</f>
        <v xml:space="preserve">          6259 - ROYALTY &amp; COMMISSIONS</v>
      </c>
      <c r="C98" s="11"/>
      <c r="D98" s="6">
        <v>21763.200000000001</v>
      </c>
      <c r="E98" s="2"/>
      <c r="F98" s="7">
        <f t="shared" si="68"/>
        <v>8.5621945637382232E-3</v>
      </c>
      <c r="G98" s="2"/>
      <c r="H98" s="6">
        <v>23880</v>
      </c>
      <c r="I98" s="2"/>
      <c r="J98" s="7">
        <f t="shared" si="69"/>
        <v>8.8874564419730608E-3</v>
      </c>
      <c r="K98" s="2"/>
      <c r="L98" s="6">
        <f t="shared" si="70"/>
        <v>-2116.7999999999993</v>
      </c>
      <c r="M98" s="2"/>
      <c r="N98" s="7">
        <f t="shared" si="71"/>
        <v>-8.8643216080401974E-2</v>
      </c>
      <c r="O98" s="11"/>
      <c r="P98" s="6">
        <v>47369.36</v>
      </c>
      <c r="Q98" s="2"/>
      <c r="R98" s="7">
        <f t="shared" si="72"/>
        <v>7.5706506798148606E-3</v>
      </c>
      <c r="S98" s="2"/>
      <c r="T98" s="6">
        <v>60184</v>
      </c>
      <c r="U98" s="2"/>
      <c r="V98" s="7">
        <f t="shared" si="73"/>
        <v>9.0756373484855331E-3</v>
      </c>
      <c r="W98" s="2"/>
      <c r="X98" s="6">
        <f t="shared" si="74"/>
        <v>-12814.64</v>
      </c>
      <c r="Y98" s="2"/>
      <c r="Z98" s="7">
        <f t="shared" si="75"/>
        <v>-0.21292436527980857</v>
      </c>
    </row>
    <row r="99" spans="1:26" s="26" customFormat="1" outlineLevel="1" collapsed="1" x14ac:dyDescent="0.25">
      <c r="A99" s="25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42410.14</v>
      </c>
      <c r="E99" s="1"/>
      <c r="F99" s="5">
        <f t="shared" ref="F99:F104" si="76">IF(D$12=0,0,D99/D$12)</f>
        <v>1.6685224146971812E-2</v>
      </c>
      <c r="G99" s="1"/>
      <c r="H99" s="1">
        <f>SUM(OSRRefH22_18x_0)</f>
        <v>43950</v>
      </c>
      <c r="I99" s="1"/>
      <c r="J99" s="5">
        <f t="shared" ref="J99:J104" si="77">IF(H$12=0,0,H99/H$12)</f>
        <v>1.6356939305892628E-2</v>
      </c>
      <c r="K99" s="1"/>
      <c r="L99" s="1">
        <f t="shared" ref="L99:L104" si="78">+D99-H99</f>
        <v>-1539.8600000000006</v>
      </c>
      <c r="M99" s="1"/>
      <c r="N99" s="5">
        <f t="shared" ref="N99:N104" si="79">IF(H99=0,0,L99/H99)</f>
        <v>-3.5036632536973845E-2</v>
      </c>
      <c r="O99" s="13"/>
      <c r="P99" s="1">
        <f>SUM(OSRRefP22_18x_0)</f>
        <v>160143.75</v>
      </c>
      <c r="Q99" s="1"/>
      <c r="R99" s="5">
        <f t="shared" ref="R99:R104" si="80">IF(P$12=0,0,P99/P$12)</f>
        <v>2.5594443112712546E-2</v>
      </c>
      <c r="S99" s="1"/>
      <c r="T99" s="1">
        <f>SUM(OSRRefT22_18x_0)</f>
        <v>162955</v>
      </c>
      <c r="U99" s="1"/>
      <c r="V99" s="5">
        <f t="shared" ref="V99:V104" si="81">IF(T$12=0,0,T99/T$12)</f>
        <v>2.4573316564576304E-2</v>
      </c>
      <c r="W99" s="1"/>
      <c r="X99" s="1">
        <f t="shared" ref="X99:X104" si="82">+P99-T99</f>
        <v>-2811.25</v>
      </c>
      <c r="Y99" s="1"/>
      <c r="Z99" s="5">
        <f t="shared" ref="Z99:Z104" si="83">IF(T99=0,0,X99/T99)</f>
        <v>-1.7251695253290785E-2</v>
      </c>
    </row>
    <row r="100" spans="1:26" s="24" customFormat="1" hidden="1" outlineLevel="2" x14ac:dyDescent="0.25">
      <c r="A100" s="27"/>
      <c r="B100" s="11" t="str">
        <f>CONCATENATE("          ", "6282", " - ", "JANITORIAL/EXTERMINATOR EXPENS")</f>
        <v xml:space="preserve">          6282 - JANITORIAL/EXTERMINATOR EXPENS</v>
      </c>
      <c r="C100" s="11"/>
      <c r="D100" s="6">
        <v>2785.87</v>
      </c>
      <c r="E100" s="2"/>
      <c r="F100" s="7">
        <f t="shared" si="76"/>
        <v>1.0960318780915215E-3</v>
      </c>
      <c r="G100" s="2"/>
      <c r="H100" s="6">
        <v>2985</v>
      </c>
      <c r="I100" s="2"/>
      <c r="J100" s="7">
        <f t="shared" si="77"/>
        <v>1.1109320552466326E-3</v>
      </c>
      <c r="K100" s="2"/>
      <c r="L100" s="6">
        <f t="shared" si="78"/>
        <v>-199.13000000000011</v>
      </c>
      <c r="M100" s="2"/>
      <c r="N100" s="7">
        <f t="shared" si="79"/>
        <v>-6.6710217755443918E-2</v>
      </c>
      <c r="O100" s="11"/>
      <c r="P100" s="6">
        <v>11413.48</v>
      </c>
      <c r="Q100" s="2"/>
      <c r="R100" s="7">
        <f t="shared" si="80"/>
        <v>1.8241215444129563E-3</v>
      </c>
      <c r="S100" s="2"/>
      <c r="T100" s="6">
        <v>11725</v>
      </c>
      <c r="U100" s="2"/>
      <c r="V100" s="7">
        <f t="shared" si="81"/>
        <v>1.76810859881352E-3</v>
      </c>
      <c r="W100" s="2"/>
      <c r="X100" s="6">
        <f t="shared" si="82"/>
        <v>-311.52000000000044</v>
      </c>
      <c r="Y100" s="2"/>
      <c r="Z100" s="7">
        <f t="shared" si="83"/>
        <v>-2.6568869936034151E-2</v>
      </c>
    </row>
    <row r="101" spans="1:26" s="24" customFormat="1" hidden="1" outlineLevel="2" x14ac:dyDescent="0.25">
      <c r="A101" s="27"/>
      <c r="B101" s="11" t="str">
        <f>CONCATENATE("          ", "6283", " - ", "PLANT SERVICE")</f>
        <v xml:space="preserve">          6283 - PLANT SERVICE</v>
      </c>
      <c r="C101" s="11"/>
      <c r="D101" s="6"/>
      <c r="E101" s="2"/>
      <c r="F101" s="7">
        <f t="shared" si="76"/>
        <v>0</v>
      </c>
      <c r="G101" s="2"/>
      <c r="H101" s="6">
        <v>185</v>
      </c>
      <c r="I101" s="2"/>
      <c r="J101" s="7">
        <f t="shared" si="77"/>
        <v>6.8851735417295483E-5</v>
      </c>
      <c r="K101" s="2"/>
      <c r="L101" s="6">
        <f t="shared" si="78"/>
        <v>-185</v>
      </c>
      <c r="M101" s="2"/>
      <c r="N101" s="7">
        <f t="shared" si="79"/>
        <v>-1</v>
      </c>
      <c r="O101" s="11"/>
      <c r="P101" s="6">
        <v>599.34</v>
      </c>
      <c r="Q101" s="2"/>
      <c r="R101" s="7">
        <f t="shared" si="80"/>
        <v>9.5787525489899773E-5</v>
      </c>
      <c r="S101" s="2"/>
      <c r="T101" s="6">
        <v>705</v>
      </c>
      <c r="U101" s="2"/>
      <c r="V101" s="7">
        <f t="shared" si="81"/>
        <v>1.0631271319091954E-4</v>
      </c>
      <c r="W101" s="2"/>
      <c r="X101" s="6">
        <f t="shared" si="82"/>
        <v>-105.65999999999997</v>
      </c>
      <c r="Y101" s="2"/>
      <c r="Z101" s="7">
        <f t="shared" si="83"/>
        <v>-0.14987234042553188</v>
      </c>
    </row>
    <row r="102" spans="1:26" s="24" customFormat="1" hidden="1" outlineLevel="2" x14ac:dyDescent="0.25">
      <c r="A102" s="27"/>
      <c r="B102" s="11" t="str">
        <f>CONCATENATE("          ", "6284", " - ", "TRASH REMOVAL EXPENSE")</f>
        <v xml:space="preserve">          6284 - TRASH REMOVAL EXPENSE</v>
      </c>
      <c r="C102" s="11"/>
      <c r="D102" s="6">
        <v>4199</v>
      </c>
      <c r="E102" s="2"/>
      <c r="F102" s="7">
        <f t="shared" si="76"/>
        <v>1.6519930420681149E-3</v>
      </c>
      <c r="G102" s="2"/>
      <c r="H102" s="6">
        <v>4065</v>
      </c>
      <c r="I102" s="2"/>
      <c r="J102" s="7">
        <f t="shared" si="77"/>
        <v>1.5128773214665196E-3</v>
      </c>
      <c r="K102" s="2"/>
      <c r="L102" s="6">
        <f t="shared" si="78"/>
        <v>134</v>
      </c>
      <c r="M102" s="2"/>
      <c r="N102" s="7">
        <f t="shared" si="79"/>
        <v>3.2964329643296431E-2</v>
      </c>
      <c r="O102" s="11"/>
      <c r="P102" s="6">
        <v>9021</v>
      </c>
      <c r="Q102" s="2"/>
      <c r="R102" s="7">
        <f t="shared" si="80"/>
        <v>1.4417513722501181E-3</v>
      </c>
      <c r="S102" s="2"/>
      <c r="T102" s="6">
        <v>16210</v>
      </c>
      <c r="U102" s="2"/>
      <c r="V102" s="7">
        <f t="shared" si="81"/>
        <v>2.4444384125174548E-3</v>
      </c>
      <c r="W102" s="2"/>
      <c r="X102" s="6">
        <f t="shared" si="82"/>
        <v>-7189</v>
      </c>
      <c r="Y102" s="2"/>
      <c r="Z102" s="7">
        <f t="shared" si="83"/>
        <v>-0.44349167180752624</v>
      </c>
    </row>
    <row r="103" spans="1:26" s="24" customFormat="1" hidden="1" outlineLevel="2" x14ac:dyDescent="0.25">
      <c r="A103" s="27"/>
      <c r="B103" s="11" t="str">
        <f>CONCATENATE("          ", "6285", " - ", "JANITORIAL SERVICES")</f>
        <v xml:space="preserve">          6285 - JANITORIAL SERVICES</v>
      </c>
      <c r="C103" s="11"/>
      <c r="D103" s="6">
        <v>24632.47</v>
      </c>
      <c r="E103" s="2"/>
      <c r="F103" s="7">
        <f t="shared" si="76"/>
        <v>9.691038115968463E-3</v>
      </c>
      <c r="G103" s="2"/>
      <c r="H103" s="6">
        <v>27315</v>
      </c>
      <c r="I103" s="2"/>
      <c r="J103" s="7">
        <f t="shared" si="77"/>
        <v>1.0165865691477979E-2</v>
      </c>
      <c r="K103" s="2"/>
      <c r="L103" s="6">
        <f t="shared" si="78"/>
        <v>-2682.5299999999988</v>
      </c>
      <c r="M103" s="2"/>
      <c r="N103" s="7">
        <f t="shared" si="79"/>
        <v>-9.8207212154493823E-2</v>
      </c>
      <c r="O103" s="11"/>
      <c r="P103" s="6">
        <v>104216.84</v>
      </c>
      <c r="Q103" s="2"/>
      <c r="R103" s="7">
        <f t="shared" si="80"/>
        <v>1.6656110418087906E-2</v>
      </c>
      <c r="S103" s="2"/>
      <c r="T103" s="6">
        <v>100714</v>
      </c>
      <c r="U103" s="2"/>
      <c r="V103" s="7">
        <f t="shared" si="81"/>
        <v>1.5187487370652866E-2</v>
      </c>
      <c r="W103" s="2"/>
      <c r="X103" s="6">
        <f t="shared" si="82"/>
        <v>3502.8399999999965</v>
      </c>
      <c r="Y103" s="2"/>
      <c r="Z103" s="7">
        <f t="shared" si="83"/>
        <v>3.478007029807173E-2</v>
      </c>
    </row>
    <row r="104" spans="1:26" s="24" customFormat="1" hidden="1" outlineLevel="2" x14ac:dyDescent="0.25">
      <c r="A104" s="27"/>
      <c r="B104" s="11" t="str">
        <f>CONCATENATE("          ", "6286", " - ", "LAUNDRY EXPENSE")</f>
        <v xml:space="preserve">          6286 - LAUNDRY EXPENSE</v>
      </c>
      <c r="C104" s="11"/>
      <c r="D104" s="6">
        <v>10792.8</v>
      </c>
      <c r="E104" s="2"/>
      <c r="F104" s="7">
        <f t="shared" si="76"/>
        <v>4.2461611108437127E-3</v>
      </c>
      <c r="G104" s="2"/>
      <c r="H104" s="6">
        <v>9400</v>
      </c>
      <c r="I104" s="2"/>
      <c r="J104" s="7">
        <f t="shared" si="77"/>
        <v>3.4984125022842027E-3</v>
      </c>
      <c r="K104" s="2"/>
      <c r="L104" s="6">
        <f t="shared" si="78"/>
        <v>1392.7999999999993</v>
      </c>
      <c r="M104" s="2"/>
      <c r="N104" s="7">
        <f t="shared" si="79"/>
        <v>0.14817021276595738</v>
      </c>
      <c r="O104" s="11"/>
      <c r="P104" s="6">
        <v>34893.089999999997</v>
      </c>
      <c r="Q104" s="2"/>
      <c r="R104" s="7">
        <f t="shared" si="80"/>
        <v>5.5766722524716629E-3</v>
      </c>
      <c r="S104" s="2"/>
      <c r="T104" s="6">
        <v>33601</v>
      </c>
      <c r="U104" s="2"/>
      <c r="V104" s="7">
        <f t="shared" si="81"/>
        <v>5.0669694694015421E-3</v>
      </c>
      <c r="W104" s="2"/>
      <c r="X104" s="6">
        <f t="shared" si="82"/>
        <v>1292.0899999999965</v>
      </c>
      <c r="Y104" s="2"/>
      <c r="Z104" s="7">
        <f t="shared" si="83"/>
        <v>3.8453915062051619E-2</v>
      </c>
    </row>
    <row r="105" spans="1:26" s="26" customFormat="1" outlineLevel="1" collapsed="1" x14ac:dyDescent="0.25">
      <c r="A105" s="25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393.42</v>
      </c>
      <c r="E105" s="1"/>
      <c r="F105" s="5">
        <f t="shared" ref="F105:F117" si="84">IF(D$12=0,0,D105/D$12)</f>
        <v>1.5478140095509353E-4</v>
      </c>
      <c r="G105" s="1"/>
      <c r="H105" s="1">
        <f>SUM(OSRRefH22_19x_0)</f>
        <v>394</v>
      </c>
      <c r="I105" s="1"/>
      <c r="J105" s="5">
        <f t="shared" ref="J105:J117" si="85">IF(H$12=0,0,H105/H$12)</f>
        <v>1.4663558786169955E-4</v>
      </c>
      <c r="K105" s="1"/>
      <c r="L105" s="1">
        <f t="shared" ref="L105:L117" si="86">+D105-H105</f>
        <v>-0.57999999999998408</v>
      </c>
      <c r="M105" s="1"/>
      <c r="N105" s="5">
        <f t="shared" ref="N105:N117" si="87">IF(H105=0,0,L105/H105)</f>
        <v>-1.4720812182740712E-3</v>
      </c>
      <c r="O105" s="13"/>
      <c r="P105" s="1">
        <f>SUM(OSRRefP22_19x_0)</f>
        <v>1696.4</v>
      </c>
      <c r="Q105" s="1"/>
      <c r="R105" s="5">
        <f t="shared" ref="R105:R117" si="88">IF(P$12=0,0,P105/P$12)</f>
        <v>2.7112149738223044E-4</v>
      </c>
      <c r="S105" s="1"/>
      <c r="T105" s="1">
        <f>SUM(OSRRefT22_19x_0)</f>
        <v>1576</v>
      </c>
      <c r="U105" s="1"/>
      <c r="V105" s="5">
        <f t="shared" ref="V105:V117" si="89">IF(T$12=0,0,T105/T$12)</f>
        <v>2.3765792338849531E-4</v>
      </c>
      <c r="W105" s="1"/>
      <c r="X105" s="1">
        <f t="shared" ref="X105:X117" si="90">+P105-T105</f>
        <v>120.40000000000009</v>
      </c>
      <c r="Y105" s="1"/>
      <c r="Z105" s="5">
        <f t="shared" ref="Z105:Z117" si="91">IF(T105=0,0,X105/T105)</f>
        <v>7.6395939086294468E-2</v>
      </c>
    </row>
    <row r="106" spans="1:26" s="24" customFormat="1" hidden="1" outlineLevel="2" x14ac:dyDescent="0.25">
      <c r="A106" s="27"/>
      <c r="B106" s="11" t="str">
        <f>CONCATENATE("          ", "6275", " - ", "SUBSCRIPTIONS")</f>
        <v xml:space="preserve">          6275 - SUBSCRIPTIONS</v>
      </c>
      <c r="C106" s="11"/>
      <c r="D106" s="6">
        <v>393.42</v>
      </c>
      <c r="E106" s="2"/>
      <c r="F106" s="7">
        <f t="shared" si="84"/>
        <v>1.5478140095509353E-4</v>
      </c>
      <c r="G106" s="2"/>
      <c r="H106" s="6">
        <v>394</v>
      </c>
      <c r="I106" s="2"/>
      <c r="J106" s="7">
        <f t="shared" si="85"/>
        <v>1.4663558786169955E-4</v>
      </c>
      <c r="K106" s="2"/>
      <c r="L106" s="6">
        <f t="shared" si="86"/>
        <v>-0.57999999999998408</v>
      </c>
      <c r="M106" s="2"/>
      <c r="N106" s="7">
        <f t="shared" si="87"/>
        <v>-1.4720812182740712E-3</v>
      </c>
      <c r="O106" s="11"/>
      <c r="P106" s="6">
        <v>1696.4</v>
      </c>
      <c r="Q106" s="2"/>
      <c r="R106" s="7">
        <f t="shared" si="88"/>
        <v>2.7112149738223044E-4</v>
      </c>
      <c r="S106" s="2"/>
      <c r="T106" s="6">
        <v>1576</v>
      </c>
      <c r="U106" s="2"/>
      <c r="V106" s="7">
        <f t="shared" si="89"/>
        <v>2.3765792338849531E-4</v>
      </c>
      <c r="W106" s="2"/>
      <c r="X106" s="6">
        <f t="shared" si="90"/>
        <v>120.40000000000009</v>
      </c>
      <c r="Y106" s="2"/>
      <c r="Z106" s="7">
        <f t="shared" si="91"/>
        <v>7.6395939086294468E-2</v>
      </c>
    </row>
    <row r="107" spans="1:26" s="26" customFormat="1" outlineLevel="1" collapsed="1" x14ac:dyDescent="0.25">
      <c r="A107" s="25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59267.66</v>
      </c>
      <c r="E107" s="1"/>
      <c r="F107" s="5">
        <f t="shared" si="84"/>
        <v>2.3317399842738444E-2</v>
      </c>
      <c r="G107" s="1"/>
      <c r="H107" s="1">
        <f>SUM(OSRRefH22_20x_0)</f>
        <v>38985.770000000004</v>
      </c>
      <c r="I107" s="1"/>
      <c r="J107" s="5">
        <f t="shared" si="85"/>
        <v>1.4509394167997491E-2</v>
      </c>
      <c r="K107" s="1"/>
      <c r="L107" s="1">
        <f t="shared" si="86"/>
        <v>20281.89</v>
      </c>
      <c r="M107" s="1"/>
      <c r="N107" s="5">
        <f t="shared" si="87"/>
        <v>0.52023828181410803</v>
      </c>
      <c r="O107" s="13"/>
      <c r="P107" s="1">
        <f>SUM(OSRRefP22_20x_0)</f>
        <v>196206.36</v>
      </c>
      <c r="Q107" s="1"/>
      <c r="R107" s="5">
        <f t="shared" si="88"/>
        <v>3.1358030015985E-2</v>
      </c>
      <c r="S107" s="1"/>
      <c r="T107" s="1">
        <f>SUM(OSRRefT22_20x_0)</f>
        <v>169493.1</v>
      </c>
      <c r="U107" s="1"/>
      <c r="V107" s="5">
        <f t="shared" si="89"/>
        <v>2.5559250110836658E-2</v>
      </c>
      <c r="W107" s="1"/>
      <c r="X107" s="1">
        <f t="shared" si="90"/>
        <v>26713.25999999998</v>
      </c>
      <c r="Y107" s="1"/>
      <c r="Z107" s="5">
        <f t="shared" si="91"/>
        <v>0.15760676983310812</v>
      </c>
    </row>
    <row r="108" spans="1:26" s="24" customFormat="1" hidden="1" outlineLevel="2" x14ac:dyDescent="0.25">
      <c r="A108" s="27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>
        <v>4076.8</v>
      </c>
      <c r="E108" s="2"/>
      <c r="F108" s="7">
        <f t="shared" si="84"/>
        <v>1.6039164643732533E-3</v>
      </c>
      <c r="G108" s="2"/>
      <c r="H108" s="6">
        <v>700</v>
      </c>
      <c r="I108" s="2"/>
      <c r="J108" s="7">
        <f t="shared" si="85"/>
        <v>2.6052007995733424E-4</v>
      </c>
      <c r="K108" s="2"/>
      <c r="L108" s="6">
        <f t="shared" si="86"/>
        <v>3376.8</v>
      </c>
      <c r="M108" s="2"/>
      <c r="N108" s="7">
        <f t="shared" si="87"/>
        <v>4.8239999999999998</v>
      </c>
      <c r="O108" s="11"/>
      <c r="P108" s="6">
        <v>11746.89</v>
      </c>
      <c r="Q108" s="2"/>
      <c r="R108" s="7">
        <f t="shared" si="88"/>
        <v>1.8774076906297738E-3</v>
      </c>
      <c r="S108" s="2"/>
      <c r="T108" s="6">
        <v>3350</v>
      </c>
      <c r="U108" s="2"/>
      <c r="V108" s="7">
        <f t="shared" si="89"/>
        <v>5.0517388537529146E-4</v>
      </c>
      <c r="W108" s="2"/>
      <c r="X108" s="6">
        <f t="shared" si="90"/>
        <v>8396.89</v>
      </c>
      <c r="Y108" s="2"/>
      <c r="Z108" s="7">
        <f t="shared" si="91"/>
        <v>2.5065343283582089</v>
      </c>
    </row>
    <row r="109" spans="1:26" s="24" customFormat="1" hidden="1" outlineLevel="2" x14ac:dyDescent="0.25">
      <c r="A109" s="27"/>
      <c r="B109" s="11" t="str">
        <f>CONCATENATE("          ", "6237", " - ", "JANITORIAL SUPPLIES")</f>
        <v xml:space="preserve">          6237 - JANITORIAL SUPPLIES</v>
      </c>
      <c r="C109" s="11"/>
      <c r="D109" s="6">
        <v>21890.59</v>
      </c>
      <c r="E109" s="2"/>
      <c r="F109" s="7">
        <f t="shared" si="84"/>
        <v>8.6123130189963929E-3</v>
      </c>
      <c r="G109" s="2"/>
      <c r="H109" s="6">
        <v>13696</v>
      </c>
      <c r="I109" s="2"/>
      <c r="J109" s="7">
        <f t="shared" si="85"/>
        <v>5.0972614501366429E-3</v>
      </c>
      <c r="K109" s="2"/>
      <c r="L109" s="6">
        <f t="shared" si="86"/>
        <v>8194.59</v>
      </c>
      <c r="M109" s="2"/>
      <c r="N109" s="7">
        <f t="shared" si="87"/>
        <v>0.59831994742990657</v>
      </c>
      <c r="O109" s="11"/>
      <c r="P109" s="6">
        <v>56342.5</v>
      </c>
      <c r="Q109" s="2"/>
      <c r="R109" s="7">
        <f t="shared" si="88"/>
        <v>9.0047529864762527E-3</v>
      </c>
      <c r="S109" s="2"/>
      <c r="T109" s="6">
        <v>55989</v>
      </c>
      <c r="U109" s="2"/>
      <c r="V109" s="7">
        <f t="shared" si="89"/>
        <v>8.4430390054558782E-3</v>
      </c>
      <c r="W109" s="2"/>
      <c r="X109" s="6">
        <f t="shared" si="90"/>
        <v>353.5</v>
      </c>
      <c r="Y109" s="2"/>
      <c r="Z109" s="7">
        <f t="shared" si="91"/>
        <v>6.313740198967654E-3</v>
      </c>
    </row>
    <row r="110" spans="1:26" s="24" customFormat="1" hidden="1" outlineLevel="2" x14ac:dyDescent="0.25">
      <c r="A110" s="27"/>
      <c r="B110" s="11" t="str">
        <f>CONCATENATE("          ", "6239", " - ", "KITCHEN SUPPLIES")</f>
        <v xml:space="preserve">          6239 - KITCHEN SUPPLIES</v>
      </c>
      <c r="C110" s="11"/>
      <c r="D110" s="6">
        <v>13696.84</v>
      </c>
      <c r="E110" s="2"/>
      <c r="F110" s="7">
        <f t="shared" si="84"/>
        <v>5.3886840624720739E-3</v>
      </c>
      <c r="G110" s="2"/>
      <c r="H110" s="6">
        <v>7668.76</v>
      </c>
      <c r="I110" s="2"/>
      <c r="J110" s="7">
        <f t="shared" si="85"/>
        <v>2.8540942405337237E-3</v>
      </c>
      <c r="K110" s="2"/>
      <c r="L110" s="6">
        <f t="shared" si="86"/>
        <v>6028.08</v>
      </c>
      <c r="M110" s="2"/>
      <c r="N110" s="7">
        <f t="shared" si="87"/>
        <v>0.78605667669871004</v>
      </c>
      <c r="O110" s="11"/>
      <c r="P110" s="6">
        <v>46871.97</v>
      </c>
      <c r="Q110" s="2"/>
      <c r="R110" s="7">
        <f t="shared" si="88"/>
        <v>7.4911569745667187E-3</v>
      </c>
      <c r="S110" s="2"/>
      <c r="T110" s="6">
        <v>36284.76</v>
      </c>
      <c r="U110" s="2"/>
      <c r="V110" s="7">
        <f t="shared" si="89"/>
        <v>5.4716755788387942E-3</v>
      </c>
      <c r="W110" s="2"/>
      <c r="X110" s="6">
        <f t="shared" si="90"/>
        <v>10587.21</v>
      </c>
      <c r="Y110" s="2"/>
      <c r="Z110" s="7">
        <f t="shared" si="91"/>
        <v>0.29178117755222849</v>
      </c>
    </row>
    <row r="111" spans="1:26" s="24" customFormat="1" hidden="1" outlineLevel="2" x14ac:dyDescent="0.25">
      <c r="A111" s="27"/>
      <c r="B111" s="11" t="str">
        <f>CONCATENATE("          ", "6241", " - ", "OFFICE EXPENSE")</f>
        <v xml:space="preserve">          6241 - OFFICE EXPENSE</v>
      </c>
      <c r="C111" s="11"/>
      <c r="D111" s="6">
        <v>3138.24</v>
      </c>
      <c r="E111" s="2"/>
      <c r="F111" s="7">
        <f t="shared" si="84"/>
        <v>1.2346631684543559E-3</v>
      </c>
      <c r="G111" s="2"/>
      <c r="H111" s="6">
        <v>2199</v>
      </c>
      <c r="I111" s="2"/>
      <c r="J111" s="7">
        <f t="shared" si="85"/>
        <v>8.1840522260882571E-4</v>
      </c>
      <c r="K111" s="2"/>
      <c r="L111" s="6">
        <f t="shared" si="86"/>
        <v>939.23999999999978</v>
      </c>
      <c r="M111" s="2"/>
      <c r="N111" s="7">
        <f t="shared" si="87"/>
        <v>0.42712141882673932</v>
      </c>
      <c r="O111" s="11"/>
      <c r="P111" s="6">
        <v>35570.35</v>
      </c>
      <c r="Q111" s="2"/>
      <c r="R111" s="7">
        <f t="shared" si="88"/>
        <v>5.684913083240992E-3</v>
      </c>
      <c r="S111" s="2"/>
      <c r="T111" s="6">
        <v>9173.25</v>
      </c>
      <c r="U111" s="2"/>
      <c r="V111" s="7">
        <f t="shared" si="89"/>
        <v>1.3833093564235498E-3</v>
      </c>
      <c r="W111" s="2"/>
      <c r="X111" s="6">
        <f t="shared" si="90"/>
        <v>26397.1</v>
      </c>
      <c r="Y111" s="2"/>
      <c r="Z111" s="7">
        <f t="shared" si="91"/>
        <v>2.8776169841659169</v>
      </c>
    </row>
    <row r="112" spans="1:26" s="24" customFormat="1" hidden="1" outlineLevel="2" x14ac:dyDescent="0.25">
      <c r="A112" s="27"/>
      <c r="B112" s="11" t="str">
        <f>CONCATENATE("          ", "6243", " - ", "PAPER SUPPLIES")</f>
        <v xml:space="preserve">          6243 - PAPER SUPPLIES</v>
      </c>
      <c r="C112" s="11"/>
      <c r="D112" s="6">
        <v>16026.590000000002</v>
      </c>
      <c r="E112" s="2"/>
      <c r="F112" s="7">
        <f t="shared" si="84"/>
        <v>6.3052667702020553E-3</v>
      </c>
      <c r="G112" s="2"/>
      <c r="H112" s="6">
        <v>11979</v>
      </c>
      <c r="I112" s="2"/>
      <c r="J112" s="7">
        <f t="shared" si="85"/>
        <v>4.4582429111555818E-3</v>
      </c>
      <c r="K112" s="2"/>
      <c r="L112" s="6">
        <f t="shared" si="86"/>
        <v>4047.590000000002</v>
      </c>
      <c r="M112" s="2"/>
      <c r="N112" s="7">
        <f t="shared" si="87"/>
        <v>0.33789047499791319</v>
      </c>
      <c r="O112" s="11"/>
      <c r="P112" s="6">
        <v>42726.28</v>
      </c>
      <c r="Q112" s="2"/>
      <c r="R112" s="7">
        <f t="shared" si="88"/>
        <v>6.8285858353999305E-3</v>
      </c>
      <c r="S112" s="2"/>
      <c r="T112" s="6">
        <v>42187</v>
      </c>
      <c r="U112" s="2"/>
      <c r="V112" s="7">
        <f t="shared" si="89"/>
        <v>6.3617225977096771E-3</v>
      </c>
      <c r="W112" s="2"/>
      <c r="X112" s="6">
        <f t="shared" si="90"/>
        <v>539.27999999999884</v>
      </c>
      <c r="Y112" s="2"/>
      <c r="Z112" s="7">
        <f t="shared" si="91"/>
        <v>1.2783084836560998E-2</v>
      </c>
    </row>
    <row r="113" spans="1:26" s="24" customFormat="1" hidden="1" outlineLevel="2" x14ac:dyDescent="0.25">
      <c r="A113" s="27"/>
      <c r="B113" s="11" t="str">
        <f>CONCATENATE("          ", "6244", " - ", "SAFETY SUPPLY EXPENSE")</f>
        <v xml:space="preserve">          6244 - SAFETY SUPPLY EXPENSE</v>
      </c>
      <c r="C113" s="11"/>
      <c r="D113" s="6"/>
      <c r="E113" s="2"/>
      <c r="F113" s="7">
        <f t="shared" si="84"/>
        <v>0</v>
      </c>
      <c r="G113" s="2"/>
      <c r="H113" s="6">
        <v>235</v>
      </c>
      <c r="I113" s="2"/>
      <c r="J113" s="7">
        <f t="shared" si="85"/>
        <v>8.7460312557105068E-5</v>
      </c>
      <c r="K113" s="2"/>
      <c r="L113" s="6">
        <f t="shared" si="86"/>
        <v>-235</v>
      </c>
      <c r="M113" s="2"/>
      <c r="N113" s="7">
        <f t="shared" si="87"/>
        <v>-1</v>
      </c>
      <c r="O113" s="11"/>
      <c r="P113" s="6"/>
      <c r="Q113" s="2"/>
      <c r="R113" s="7">
        <f t="shared" si="88"/>
        <v>0</v>
      </c>
      <c r="S113" s="2"/>
      <c r="T113" s="6">
        <v>940</v>
      </c>
      <c r="U113" s="2"/>
      <c r="V113" s="7">
        <f t="shared" si="89"/>
        <v>1.4175028425455937E-4</v>
      </c>
      <c r="W113" s="2"/>
      <c r="X113" s="6">
        <f t="shared" si="90"/>
        <v>-940</v>
      </c>
      <c r="Y113" s="2"/>
      <c r="Z113" s="7">
        <f t="shared" si="91"/>
        <v>-1</v>
      </c>
    </row>
    <row r="114" spans="1:26" s="24" customFormat="1" hidden="1" outlineLevel="2" x14ac:dyDescent="0.25">
      <c r="A114" s="27"/>
      <c r="B114" s="11" t="str">
        <f>CONCATENATE("          ", "6245", " - ", "PRINTING")</f>
        <v xml:space="preserve">          6245 - PRINTING</v>
      </c>
      <c r="C114" s="11"/>
      <c r="D114" s="6">
        <v>84.16</v>
      </c>
      <c r="E114" s="2"/>
      <c r="F114" s="7">
        <f t="shared" si="84"/>
        <v>3.3110677404251616E-5</v>
      </c>
      <c r="G114" s="2"/>
      <c r="H114" s="6">
        <v>210</v>
      </c>
      <c r="I114" s="2"/>
      <c r="J114" s="7">
        <f t="shared" si="85"/>
        <v>7.8156023987200276E-5</v>
      </c>
      <c r="K114" s="2"/>
      <c r="L114" s="6">
        <f t="shared" si="86"/>
        <v>-125.84</v>
      </c>
      <c r="M114" s="2"/>
      <c r="N114" s="7">
        <f t="shared" si="87"/>
        <v>-0.59923809523809524</v>
      </c>
      <c r="O114" s="11"/>
      <c r="P114" s="6">
        <v>1606.35</v>
      </c>
      <c r="Q114" s="2"/>
      <c r="R114" s="7">
        <f t="shared" si="88"/>
        <v>2.5672955512847544E-4</v>
      </c>
      <c r="S114" s="2"/>
      <c r="T114" s="6">
        <v>1380</v>
      </c>
      <c r="U114" s="2"/>
      <c r="V114" s="7">
        <f t="shared" si="89"/>
        <v>2.081014811396723E-4</v>
      </c>
      <c r="W114" s="2"/>
      <c r="X114" s="6">
        <f t="shared" si="90"/>
        <v>226.34999999999991</v>
      </c>
      <c r="Y114" s="2"/>
      <c r="Z114" s="7">
        <f t="shared" si="91"/>
        <v>0.16402173913043472</v>
      </c>
    </row>
    <row r="115" spans="1:26" s="24" customFormat="1" hidden="1" outlineLevel="2" x14ac:dyDescent="0.25">
      <c r="A115" s="27"/>
      <c r="B115" s="11" t="str">
        <f>CONCATENATE("          ", "6246", " - ", "REPLACEMENTS")</f>
        <v xml:space="preserve">          6246 - REPLACEMENTS</v>
      </c>
      <c r="C115" s="11"/>
      <c r="D115" s="6"/>
      <c r="E115" s="2"/>
      <c r="F115" s="7">
        <f t="shared" si="84"/>
        <v>0</v>
      </c>
      <c r="G115" s="2"/>
      <c r="H115" s="6"/>
      <c r="I115" s="2"/>
      <c r="J115" s="7">
        <f t="shared" si="85"/>
        <v>0</v>
      </c>
      <c r="K115" s="2"/>
      <c r="L115" s="6">
        <f t="shared" si="86"/>
        <v>0</v>
      </c>
      <c r="M115" s="2"/>
      <c r="N115" s="7">
        <f t="shared" si="87"/>
        <v>0</v>
      </c>
      <c r="O115" s="11"/>
      <c r="P115" s="6"/>
      <c r="Q115" s="2"/>
      <c r="R115" s="7">
        <f t="shared" si="88"/>
        <v>0</v>
      </c>
      <c r="S115" s="2"/>
      <c r="T115" s="6">
        <v>2400</v>
      </c>
      <c r="U115" s="2"/>
      <c r="V115" s="7">
        <f t="shared" si="89"/>
        <v>3.6191561937334312E-4</v>
      </c>
      <c r="W115" s="2"/>
      <c r="X115" s="6">
        <f t="shared" si="90"/>
        <v>-2400</v>
      </c>
      <c r="Y115" s="2"/>
      <c r="Z115" s="7">
        <f t="shared" si="91"/>
        <v>-1</v>
      </c>
    </row>
    <row r="116" spans="1:26" s="24" customFormat="1" hidden="1" outlineLevel="2" x14ac:dyDescent="0.25">
      <c r="A116" s="27"/>
      <c r="B116" s="11" t="str">
        <f>CONCATENATE("          ", "6247", " - ", "STORE SUPPLIES")</f>
        <v xml:space="preserve">          6247 - STORE SUPPLIES</v>
      </c>
      <c r="C116" s="11"/>
      <c r="D116" s="6">
        <v>215.03</v>
      </c>
      <c r="E116" s="2"/>
      <c r="F116" s="7">
        <f t="shared" si="84"/>
        <v>8.4598252878282149E-5</v>
      </c>
      <c r="G116" s="2"/>
      <c r="H116" s="6">
        <v>423.01</v>
      </c>
      <c r="I116" s="2"/>
      <c r="J116" s="7">
        <f t="shared" si="85"/>
        <v>1.5743228431821707E-4</v>
      </c>
      <c r="K116" s="2"/>
      <c r="L116" s="6">
        <f t="shared" si="86"/>
        <v>-207.98</v>
      </c>
      <c r="M116" s="2"/>
      <c r="N116" s="7">
        <f t="shared" si="87"/>
        <v>-0.4916668636675256</v>
      </c>
      <c r="O116" s="11"/>
      <c r="P116" s="6">
        <v>2314.5300000000002</v>
      </c>
      <c r="Q116" s="2"/>
      <c r="R116" s="7">
        <f t="shared" si="88"/>
        <v>3.6991207223301923E-4</v>
      </c>
      <c r="S116" s="2"/>
      <c r="T116" s="6">
        <v>3189.09</v>
      </c>
      <c r="U116" s="2"/>
      <c r="V116" s="7">
        <f t="shared" si="89"/>
        <v>4.8090895107805615E-4</v>
      </c>
      <c r="W116" s="2"/>
      <c r="X116" s="6">
        <f t="shared" si="90"/>
        <v>-874.56</v>
      </c>
      <c r="Y116" s="2"/>
      <c r="Z116" s="7">
        <f t="shared" si="91"/>
        <v>-0.27423496985033347</v>
      </c>
    </row>
    <row r="117" spans="1:26" s="24" customFormat="1" hidden="1" outlineLevel="2" x14ac:dyDescent="0.25">
      <c r="A117" s="27"/>
      <c r="B117" s="11" t="str">
        <f>CONCATENATE("          ", "6248", " - ", "UNIFORMS")</f>
        <v xml:space="preserve">          6248 - UNIFORMS</v>
      </c>
      <c r="C117" s="11"/>
      <c r="D117" s="6">
        <v>139.41</v>
      </c>
      <c r="E117" s="2"/>
      <c r="F117" s="7">
        <f t="shared" si="84"/>
        <v>5.4847427957779442E-5</v>
      </c>
      <c r="G117" s="2"/>
      <c r="H117" s="6">
        <v>1875</v>
      </c>
      <c r="I117" s="2"/>
      <c r="J117" s="7">
        <f t="shared" si="85"/>
        <v>6.9782164274285964E-4</v>
      </c>
      <c r="K117" s="2"/>
      <c r="L117" s="6">
        <f t="shared" si="86"/>
        <v>-1735.59</v>
      </c>
      <c r="M117" s="2"/>
      <c r="N117" s="7">
        <f t="shared" si="87"/>
        <v>-0.92564799999999992</v>
      </c>
      <c r="O117" s="11"/>
      <c r="P117" s="6">
        <v>-972.51</v>
      </c>
      <c r="Q117" s="2"/>
      <c r="R117" s="7">
        <f t="shared" si="88"/>
        <v>-1.5542818169016323E-4</v>
      </c>
      <c r="S117" s="2"/>
      <c r="T117" s="6">
        <v>14600</v>
      </c>
      <c r="U117" s="2"/>
      <c r="V117" s="7">
        <f t="shared" si="89"/>
        <v>2.2016533511878371E-3</v>
      </c>
      <c r="W117" s="2"/>
      <c r="X117" s="6">
        <f t="shared" si="90"/>
        <v>-15572.51</v>
      </c>
      <c r="Y117" s="2"/>
      <c r="Z117" s="7">
        <f t="shared" si="91"/>
        <v>-1.0666102739726027</v>
      </c>
    </row>
    <row r="118" spans="1:26" s="26" customFormat="1" outlineLevel="1" collapsed="1" x14ac:dyDescent="0.25">
      <c r="A118" s="25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3152.32</v>
      </c>
      <c r="E118" s="1"/>
      <c r="F118" s="5">
        <f t="shared" ref="F118:F120" si="92">IF(D$12=0,0,D118/D$12)</f>
        <v>1.2402025973736984E-3</v>
      </c>
      <c r="G118" s="1"/>
      <c r="H118" s="1">
        <f>SUM(OSRRefH22_21x_0)</f>
        <v>2954</v>
      </c>
      <c r="I118" s="1"/>
      <c r="J118" s="5">
        <f t="shared" ref="J118:J120" si="93">IF(H$12=0,0,H118/H$12)</f>
        <v>1.0993947374199505E-3</v>
      </c>
      <c r="K118" s="1"/>
      <c r="L118" s="1">
        <f t="shared" ref="L118:L120" si="94">+D118-H118</f>
        <v>198.32000000000016</v>
      </c>
      <c r="M118" s="1"/>
      <c r="N118" s="5">
        <f t="shared" ref="N118:N120" si="95">IF(H118=0,0,L118/H118)</f>
        <v>6.7136086662153066E-2</v>
      </c>
      <c r="O118" s="13"/>
      <c r="P118" s="1">
        <f>SUM(OSRRefP22_21x_0)</f>
        <v>9353.36</v>
      </c>
      <c r="Q118" s="1"/>
      <c r="R118" s="5">
        <f t="shared" ref="R118:R120" si="96">IF(P$12=0,0,P118/P$12)</f>
        <v>1.4948697057032886E-3</v>
      </c>
      <c r="S118" s="1"/>
      <c r="T118" s="1">
        <f>SUM(OSRRefT22_21x_0)</f>
        <v>10197</v>
      </c>
      <c r="U118" s="1"/>
      <c r="V118" s="5">
        <f t="shared" ref="V118:V120" si="97">IF(T$12=0,0,T118/T$12)</f>
        <v>1.5376889878124915E-3</v>
      </c>
      <c r="W118" s="1"/>
      <c r="X118" s="1">
        <f t="shared" ref="X118:X120" si="98">+P118-T118</f>
        <v>-843.63999999999942</v>
      </c>
      <c r="Y118" s="1"/>
      <c r="Z118" s="5">
        <f t="shared" ref="Z118:Z120" si="99">IF(T118=0,0,X118/T118)</f>
        <v>-8.2734137491418988E-2</v>
      </c>
    </row>
    <row r="119" spans="1:26" s="24" customFormat="1" hidden="1" outlineLevel="2" x14ac:dyDescent="0.25">
      <c r="A119" s="27"/>
      <c r="B119" s="11" t="str">
        <f>CONCATENATE("          ", "6303", " - ", "DATA PHONE LINES")</f>
        <v xml:space="preserve">          6303 - DATA PHONE LINES</v>
      </c>
      <c r="C119" s="11"/>
      <c r="D119" s="6"/>
      <c r="E119" s="2"/>
      <c r="F119" s="7">
        <f t="shared" si="92"/>
        <v>0</v>
      </c>
      <c r="G119" s="2"/>
      <c r="H119" s="6">
        <v>696</v>
      </c>
      <c r="I119" s="2"/>
      <c r="J119" s="7">
        <f t="shared" si="93"/>
        <v>2.5903139378614947E-4</v>
      </c>
      <c r="K119" s="2"/>
      <c r="L119" s="6">
        <f t="shared" si="94"/>
        <v>-696</v>
      </c>
      <c r="M119" s="2"/>
      <c r="N119" s="7">
        <f t="shared" si="95"/>
        <v>-1</v>
      </c>
      <c r="O119" s="11"/>
      <c r="P119" s="6"/>
      <c r="Q119" s="2"/>
      <c r="R119" s="7">
        <f t="shared" si="96"/>
        <v>0</v>
      </c>
      <c r="S119" s="2"/>
      <c r="T119" s="6">
        <v>1990</v>
      </c>
      <c r="U119" s="2"/>
      <c r="V119" s="7">
        <f t="shared" si="97"/>
        <v>3.0008836773039697E-4</v>
      </c>
      <c r="W119" s="2"/>
      <c r="X119" s="6">
        <f t="shared" si="98"/>
        <v>-1990</v>
      </c>
      <c r="Y119" s="2"/>
      <c r="Z119" s="7">
        <f t="shared" si="99"/>
        <v>-1</v>
      </c>
    </row>
    <row r="120" spans="1:26" s="24" customFormat="1" hidden="1" outlineLevel="2" x14ac:dyDescent="0.25">
      <c r="A120" s="27"/>
      <c r="B120" s="11" t="str">
        <f>CONCATENATE("          ", "6309", " - ", "TELEPHONE")</f>
        <v xml:space="preserve">          6309 - TELEPHONE</v>
      </c>
      <c r="C120" s="11"/>
      <c r="D120" s="6">
        <v>3152.32</v>
      </c>
      <c r="E120" s="2"/>
      <c r="F120" s="7">
        <f t="shared" si="92"/>
        <v>1.2402025973736984E-3</v>
      </c>
      <c r="G120" s="2"/>
      <c r="H120" s="6">
        <v>2258</v>
      </c>
      <c r="I120" s="2"/>
      <c r="J120" s="7">
        <f t="shared" si="93"/>
        <v>8.4036334363380111E-4</v>
      </c>
      <c r="K120" s="2"/>
      <c r="L120" s="6">
        <f t="shared" si="94"/>
        <v>894.32000000000016</v>
      </c>
      <c r="M120" s="2"/>
      <c r="N120" s="7">
        <f t="shared" si="95"/>
        <v>0.39606731620903463</v>
      </c>
      <c r="O120" s="11"/>
      <c r="P120" s="6">
        <v>9353.36</v>
      </c>
      <c r="Q120" s="2"/>
      <c r="R120" s="7">
        <f t="shared" si="96"/>
        <v>1.4948697057032886E-3</v>
      </c>
      <c r="S120" s="2"/>
      <c r="T120" s="6">
        <v>8207</v>
      </c>
      <c r="U120" s="2"/>
      <c r="V120" s="7">
        <f t="shared" si="97"/>
        <v>1.2376006200820946E-3</v>
      </c>
      <c r="W120" s="2"/>
      <c r="X120" s="6">
        <f t="shared" si="98"/>
        <v>1146.3600000000006</v>
      </c>
      <c r="Y120" s="2"/>
      <c r="Z120" s="7">
        <f t="shared" si="99"/>
        <v>0.13968076032655058</v>
      </c>
    </row>
    <row r="121" spans="1:26" s="26" customFormat="1" outlineLevel="1" collapsed="1" x14ac:dyDescent="0.25">
      <c r="A121" s="25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SUM(OSRRefD22_22x_0)</f>
        <v>332.95</v>
      </c>
      <c r="E121" s="1"/>
      <c r="F121" s="5">
        <f t="shared" ref="F121:F126" si="100">IF(D$12=0,0,D121/D$12)</f>
        <v>1.3099097007777537E-4</v>
      </c>
      <c r="G121" s="1"/>
      <c r="H121" s="1">
        <f>SUM(OSRRefH22_22x_0)</f>
        <v>1000</v>
      </c>
      <c r="I121" s="1"/>
      <c r="J121" s="5">
        <f t="shared" ref="J121:J126" si="101">IF(H$12=0,0,H121/H$12)</f>
        <v>3.7217154279619181E-4</v>
      </c>
      <c r="K121" s="1"/>
      <c r="L121" s="1">
        <f t="shared" ref="L121:L126" si="102">+D121-H121</f>
        <v>-667.05</v>
      </c>
      <c r="M121" s="1"/>
      <c r="N121" s="5">
        <f t="shared" ref="N121:N126" si="103">IF(H121=0,0,L121/H121)</f>
        <v>-0.66704999999999992</v>
      </c>
      <c r="O121" s="13"/>
      <c r="P121" s="1">
        <f>SUM(OSRRefP22_22x_0)</f>
        <v>5299.77</v>
      </c>
      <c r="Q121" s="1"/>
      <c r="R121" s="5">
        <f t="shared" ref="R121:R126" si="104">IF(P$12=0,0,P121/P$12)</f>
        <v>8.4701814323356721E-4</v>
      </c>
      <c r="S121" s="1"/>
      <c r="T121" s="1">
        <f>SUM(OSRRefT22_22x_0)</f>
        <v>11838</v>
      </c>
      <c r="U121" s="1"/>
      <c r="V121" s="5">
        <f t="shared" ref="V121:V126" si="105">IF(T$12=0,0,T121/T$12)</f>
        <v>1.7851487925590148E-3</v>
      </c>
      <c r="W121" s="1"/>
      <c r="X121" s="1">
        <f t="shared" ref="X121:X126" si="106">+P121-T121</f>
        <v>-6538.23</v>
      </c>
      <c r="Y121" s="1"/>
      <c r="Z121" s="5">
        <f t="shared" ref="Z121:Z126" si="107">IF(T121=0,0,X121/T121)</f>
        <v>-0.55230866700456149</v>
      </c>
    </row>
    <row r="122" spans="1:26" s="24" customFormat="1" hidden="1" outlineLevel="2" x14ac:dyDescent="0.25">
      <c r="A122" s="27"/>
      <c r="B122" s="11" t="str">
        <f>CONCATENATE("          ", "6376", " - ", "TRAINING")</f>
        <v xml:space="preserve">          6376 - TRAINING</v>
      </c>
      <c r="C122" s="11"/>
      <c r="D122" s="6">
        <v>332.95</v>
      </c>
      <c r="E122" s="2"/>
      <c r="F122" s="7">
        <f t="shared" si="100"/>
        <v>1.3099097007777537E-4</v>
      </c>
      <c r="G122" s="2"/>
      <c r="H122" s="6">
        <v>1000</v>
      </c>
      <c r="I122" s="2"/>
      <c r="J122" s="7">
        <f t="shared" si="101"/>
        <v>3.7217154279619181E-4</v>
      </c>
      <c r="K122" s="2"/>
      <c r="L122" s="6">
        <f t="shared" si="102"/>
        <v>-667.05</v>
      </c>
      <c r="M122" s="2"/>
      <c r="N122" s="7">
        <f t="shared" si="103"/>
        <v>-0.66704999999999992</v>
      </c>
      <c r="O122" s="11"/>
      <c r="P122" s="6">
        <v>5299.77</v>
      </c>
      <c r="Q122" s="2"/>
      <c r="R122" s="7">
        <f t="shared" si="104"/>
        <v>8.4701814323356721E-4</v>
      </c>
      <c r="S122" s="2"/>
      <c r="T122" s="6">
        <v>11838</v>
      </c>
      <c r="U122" s="2"/>
      <c r="V122" s="7">
        <f t="shared" si="105"/>
        <v>1.7851487925590148E-3</v>
      </c>
      <c r="W122" s="2"/>
      <c r="X122" s="6">
        <f t="shared" si="106"/>
        <v>-6538.23</v>
      </c>
      <c r="Y122" s="2"/>
      <c r="Z122" s="7">
        <f t="shared" si="107"/>
        <v>-0.55230866700456149</v>
      </c>
    </row>
    <row r="123" spans="1:26" s="26" customFormat="1" outlineLevel="1" collapsed="1" x14ac:dyDescent="0.25">
      <c r="A123" s="25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SUM(OSRRefD22_23x_0)</f>
        <v>291.26</v>
      </c>
      <c r="E123" s="1"/>
      <c r="F123" s="5">
        <f t="shared" si="100"/>
        <v>1.1458906726190977E-4</v>
      </c>
      <c r="G123" s="1"/>
      <c r="H123" s="1">
        <f>SUM(OSRRefH22_23x_0)</f>
        <v>2410</v>
      </c>
      <c r="I123" s="1"/>
      <c r="J123" s="5">
        <f t="shared" si="101"/>
        <v>8.9693341813882222E-4</v>
      </c>
      <c r="K123" s="1"/>
      <c r="L123" s="1">
        <f t="shared" si="102"/>
        <v>-2118.7399999999998</v>
      </c>
      <c r="M123" s="1"/>
      <c r="N123" s="5">
        <f t="shared" si="103"/>
        <v>-0.87914522821576757</v>
      </c>
      <c r="O123" s="13"/>
      <c r="P123" s="1">
        <f>SUM(OSRRefP22_23x_0)</f>
        <v>3080.85</v>
      </c>
      <c r="Q123" s="1"/>
      <c r="R123" s="5">
        <f t="shared" si="104"/>
        <v>4.9238662179323543E-4</v>
      </c>
      <c r="S123" s="1"/>
      <c r="T123" s="1">
        <f>SUM(OSRRefT22_23x_0)</f>
        <v>9340</v>
      </c>
      <c r="U123" s="1"/>
      <c r="V123" s="5">
        <f t="shared" si="105"/>
        <v>1.4084549520612603E-3</v>
      </c>
      <c r="W123" s="1"/>
      <c r="X123" s="1">
        <f t="shared" si="106"/>
        <v>-6259.15</v>
      </c>
      <c r="Y123" s="1"/>
      <c r="Z123" s="5">
        <f t="shared" si="107"/>
        <v>-0.670144539614561</v>
      </c>
    </row>
    <row r="124" spans="1:26" s="24" customFormat="1" hidden="1" outlineLevel="2" x14ac:dyDescent="0.25">
      <c r="A124" s="27"/>
      <c r="B124" s="11" t="str">
        <f>CONCATENATE("          ", "6292", " - ", "TRAVEL/CONFERENCE")</f>
        <v xml:space="preserve">          6292 - TRAVEL/CONFERENCE</v>
      </c>
      <c r="C124" s="11"/>
      <c r="D124" s="6">
        <v>291.26</v>
      </c>
      <c r="E124" s="2"/>
      <c r="F124" s="7">
        <f t="shared" si="100"/>
        <v>1.1458906726190977E-4</v>
      </c>
      <c r="G124" s="2"/>
      <c r="H124" s="6">
        <v>2300</v>
      </c>
      <c r="I124" s="2"/>
      <c r="J124" s="7">
        <f t="shared" si="101"/>
        <v>8.5599454843124107E-4</v>
      </c>
      <c r="K124" s="2"/>
      <c r="L124" s="6">
        <f t="shared" si="102"/>
        <v>-2008.74</v>
      </c>
      <c r="M124" s="2"/>
      <c r="N124" s="7">
        <f t="shared" si="103"/>
        <v>-0.87336521739130435</v>
      </c>
      <c r="O124" s="11"/>
      <c r="P124" s="6">
        <v>2525.36</v>
      </c>
      <c r="Q124" s="2"/>
      <c r="R124" s="7">
        <f t="shared" si="104"/>
        <v>4.0360727695660777E-4</v>
      </c>
      <c r="S124" s="2"/>
      <c r="T124" s="6">
        <v>8900</v>
      </c>
      <c r="U124" s="2"/>
      <c r="V124" s="7">
        <f t="shared" si="105"/>
        <v>1.3421037551761474E-3</v>
      </c>
      <c r="W124" s="2"/>
      <c r="X124" s="6">
        <f t="shared" si="106"/>
        <v>-6374.6399999999994</v>
      </c>
      <c r="Y124" s="2"/>
      <c r="Z124" s="7">
        <f t="shared" si="107"/>
        <v>-0.71625168539325834</v>
      </c>
    </row>
    <row r="125" spans="1:26" s="24" customFormat="1" hidden="1" outlineLevel="2" x14ac:dyDescent="0.25">
      <c r="A125" s="27"/>
      <c r="B125" s="11" t="str">
        <f>CONCATENATE("          ", "6294", " - ", "TRAVEL OPERATIONAL")</f>
        <v xml:space="preserve">          6294 - TRAVEL OPERATIONAL</v>
      </c>
      <c r="C125" s="11"/>
      <c r="D125" s="6"/>
      <c r="E125" s="2"/>
      <c r="F125" s="7">
        <f t="shared" si="100"/>
        <v>0</v>
      </c>
      <c r="G125" s="2"/>
      <c r="H125" s="6"/>
      <c r="I125" s="2"/>
      <c r="J125" s="7">
        <f t="shared" si="101"/>
        <v>0</v>
      </c>
      <c r="K125" s="2"/>
      <c r="L125" s="6">
        <f t="shared" si="102"/>
        <v>0</v>
      </c>
      <c r="M125" s="2"/>
      <c r="N125" s="7">
        <f t="shared" si="103"/>
        <v>0</v>
      </c>
      <c r="O125" s="11"/>
      <c r="P125" s="6">
        <v>45.49</v>
      </c>
      <c r="Q125" s="2"/>
      <c r="R125" s="7">
        <f t="shared" si="104"/>
        <v>7.2702882079212811E-6</v>
      </c>
      <c r="S125" s="2"/>
      <c r="T125" s="6"/>
      <c r="U125" s="2"/>
      <c r="V125" s="7">
        <f t="shared" si="105"/>
        <v>0</v>
      </c>
      <c r="W125" s="2"/>
      <c r="X125" s="6">
        <f t="shared" si="106"/>
        <v>45.49</v>
      </c>
      <c r="Y125" s="2"/>
      <c r="Z125" s="7">
        <f t="shared" si="107"/>
        <v>0</v>
      </c>
    </row>
    <row r="126" spans="1:26" s="24" customFormat="1" hidden="1" outlineLevel="2" x14ac:dyDescent="0.25">
      <c r="A126" s="27"/>
      <c r="B126" s="11" t="str">
        <f>CONCATENATE("          ", "6298", " - ", "VEHICLE MILEAGE")</f>
        <v xml:space="preserve">          6298 - VEHICLE MILEAGE</v>
      </c>
      <c r="C126" s="11"/>
      <c r="D126" s="6"/>
      <c r="E126" s="2"/>
      <c r="F126" s="7">
        <f t="shared" si="100"/>
        <v>0</v>
      </c>
      <c r="G126" s="2"/>
      <c r="H126" s="6">
        <v>110</v>
      </c>
      <c r="I126" s="2"/>
      <c r="J126" s="7">
        <f t="shared" si="101"/>
        <v>4.0938869707581099E-5</v>
      </c>
      <c r="K126" s="2"/>
      <c r="L126" s="6">
        <f t="shared" si="102"/>
        <v>-110</v>
      </c>
      <c r="M126" s="2"/>
      <c r="N126" s="7">
        <f t="shared" si="103"/>
        <v>-1</v>
      </c>
      <c r="O126" s="11"/>
      <c r="P126" s="6">
        <v>510</v>
      </c>
      <c r="Q126" s="2"/>
      <c r="R126" s="7">
        <f t="shared" si="104"/>
        <v>8.1509056628706385E-5</v>
      </c>
      <c r="S126" s="2"/>
      <c r="T126" s="6">
        <v>440</v>
      </c>
      <c r="U126" s="2"/>
      <c r="V126" s="7">
        <f t="shared" si="105"/>
        <v>6.6351196885112897E-5</v>
      </c>
      <c r="W126" s="2"/>
      <c r="X126" s="6">
        <f t="shared" si="106"/>
        <v>70</v>
      </c>
      <c r="Y126" s="2"/>
      <c r="Z126" s="7">
        <f t="shared" si="107"/>
        <v>0.15909090909090909</v>
      </c>
    </row>
    <row r="127" spans="1:26" s="26" customFormat="1" outlineLevel="1" collapsed="1" x14ac:dyDescent="0.25">
      <c r="A127" s="25"/>
      <c r="B127" s="13" t="str">
        <f>CONCATENATE("     ","Utilities                                         ")</f>
        <v xml:space="preserve">     Utilities                                         </v>
      </c>
      <c r="C127" s="13"/>
      <c r="D127" s="1">
        <f>SUM(OSRRefD22_24x_0)</f>
        <v>13691</v>
      </c>
      <c r="E127" s="1"/>
      <c r="F127" s="5">
        <f t="shared" ref="F127:F128" si="108">IF(D$12=0,0,D127/D$12)</f>
        <v>5.386386458431665E-3</v>
      </c>
      <c r="G127" s="1"/>
      <c r="H127" s="1">
        <f>SUM(OSRRefH22_24x_0)</f>
        <v>22450</v>
      </c>
      <c r="I127" s="1"/>
      <c r="J127" s="5">
        <f t="shared" ref="J127:J128" si="109">IF(H$12=0,0,H127/H$12)</f>
        <v>8.3552511357745055E-3</v>
      </c>
      <c r="K127" s="1"/>
      <c r="L127" s="1">
        <f t="shared" ref="L127:L128" si="110">+D127-H127</f>
        <v>-8759</v>
      </c>
      <c r="M127" s="1"/>
      <c r="N127" s="5">
        <f t="shared" ref="N127:N128" si="111">IF(H127=0,0,L127/H127)</f>
        <v>-0.39015590200445432</v>
      </c>
      <c r="O127" s="13"/>
      <c r="P127" s="1">
        <f>SUM(OSRRefP22_24x_0)</f>
        <v>44649</v>
      </c>
      <c r="Q127" s="1"/>
      <c r="R127" s="5">
        <f t="shared" ref="R127:R128" si="112">IF(P$12=0,0,P127/P$12)</f>
        <v>7.1358781753237477E-3</v>
      </c>
      <c r="S127" s="1"/>
      <c r="T127" s="1">
        <f>SUM(OSRRefT22_24x_0)</f>
        <v>79800</v>
      </c>
      <c r="U127" s="1"/>
      <c r="V127" s="5">
        <f t="shared" ref="V127:V128" si="113">IF(T$12=0,0,T127/T$12)</f>
        <v>1.2033694344163659E-2</v>
      </c>
      <c r="W127" s="1"/>
      <c r="X127" s="1">
        <f t="shared" ref="X127:X128" si="114">+P127-T127</f>
        <v>-35151</v>
      </c>
      <c r="Y127" s="1"/>
      <c r="Z127" s="5">
        <f t="shared" ref="Z127:Z128" si="115">IF(T127=0,0,X127/T127)</f>
        <v>-0.44048872180451126</v>
      </c>
    </row>
    <row r="128" spans="1:26" s="24" customFormat="1" hidden="1" outlineLevel="2" x14ac:dyDescent="0.25">
      <c r="A128" s="27"/>
      <c r="B128" s="11" t="str">
        <f>CONCATENATE("          ", "6274", " - ", "UTILITIES")</f>
        <v xml:space="preserve">          6274 - UTILITIES</v>
      </c>
      <c r="C128" s="11"/>
      <c r="D128" s="6">
        <v>13691</v>
      </c>
      <c r="E128" s="2"/>
      <c r="F128" s="7">
        <f t="shared" si="108"/>
        <v>5.386386458431665E-3</v>
      </c>
      <c r="G128" s="2"/>
      <c r="H128" s="6">
        <v>22450</v>
      </c>
      <c r="I128" s="2"/>
      <c r="J128" s="7">
        <f t="shared" si="109"/>
        <v>8.3552511357745055E-3</v>
      </c>
      <c r="K128" s="2"/>
      <c r="L128" s="6">
        <f t="shared" si="110"/>
        <v>-8759</v>
      </c>
      <c r="M128" s="2"/>
      <c r="N128" s="7">
        <f t="shared" si="111"/>
        <v>-0.39015590200445432</v>
      </c>
      <c r="O128" s="11"/>
      <c r="P128" s="6">
        <v>44649</v>
      </c>
      <c r="Q128" s="2"/>
      <c r="R128" s="7">
        <f t="shared" si="112"/>
        <v>7.1358781753237477E-3</v>
      </c>
      <c r="S128" s="2"/>
      <c r="T128" s="6">
        <v>79800</v>
      </c>
      <c r="U128" s="2"/>
      <c r="V128" s="7">
        <f t="shared" si="113"/>
        <v>1.2033694344163659E-2</v>
      </c>
      <c r="W128" s="2"/>
      <c r="X128" s="6">
        <f t="shared" si="114"/>
        <v>-35151</v>
      </c>
      <c r="Y128" s="2"/>
      <c r="Z128" s="7">
        <f t="shared" si="115"/>
        <v>-0.44048872180451126</v>
      </c>
    </row>
    <row r="129" spans="1:26" s="61" customFormat="1" x14ac:dyDescent="0.25">
      <c r="A129" s="36"/>
      <c r="B129" s="36"/>
      <c r="C129" s="36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6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3" customFormat="1" collapsed="1" x14ac:dyDescent="0.25">
      <c r="A130" s="10"/>
      <c r="B130" s="29" t="s">
        <v>0</v>
      </c>
      <c r="C130" s="10"/>
      <c r="D130" s="4">
        <f>SUM(OSRRefD25x_0)</f>
        <v>123863.64</v>
      </c>
      <c r="E130" s="4"/>
      <c r="F130" s="12">
        <f t="shared" ref="F130:F134" si="116">IF(D$12=0,0,D130/D$12)</f>
        <v>4.8731095843112603E-2</v>
      </c>
      <c r="G130" s="4"/>
      <c r="H130" s="4">
        <f>SUM(OSRRefH25x_0)</f>
        <v>58244</v>
      </c>
      <c r="I130" s="4"/>
      <c r="J130" s="12">
        <f t="shared" ref="J130:J134" si="117">IF(H$12=0,0,H130/H$12)</f>
        <v>2.1676759338621395E-2</v>
      </c>
      <c r="K130" s="4"/>
      <c r="L130" s="4">
        <f t="shared" ref="L130:L134" si="118">+D130-H130</f>
        <v>65619.64</v>
      </c>
      <c r="M130" s="4"/>
      <c r="N130" s="12">
        <f t="shared" ref="N130:N134" si="119">IF(H130=0,0,L130/H130)</f>
        <v>1.1266334729757572</v>
      </c>
      <c r="O130" s="10"/>
      <c r="P130" s="4">
        <f>SUM(OSRRefP25x_0)</f>
        <v>426524.63</v>
      </c>
      <c r="Q130" s="4"/>
      <c r="R130" s="12">
        <f t="shared" ref="R130:R134" si="120">IF(P$12=0,0,P130/P$12)</f>
        <v>6.8167882784721634E-2</v>
      </c>
      <c r="S130" s="4"/>
      <c r="T130" s="4">
        <f>SUM(OSRRefT25x_0)</f>
        <v>317736</v>
      </c>
      <c r="U130" s="4"/>
      <c r="V130" s="12">
        <f t="shared" ref="V130:V134" si="121">IF(T$12=0,0,T130/T$12)</f>
        <v>4.7914008848836891E-2</v>
      </c>
      <c r="W130" s="4"/>
      <c r="X130" s="4">
        <f t="shared" ref="X130:X134" si="122">+P130-T130</f>
        <v>108788.63</v>
      </c>
      <c r="Y130" s="4"/>
      <c r="Z130" s="12">
        <f t="shared" ref="Z130:Z134" si="123">IF(T130=0,0,X130/T130)</f>
        <v>0.34238685575446282</v>
      </c>
    </row>
    <row r="131" spans="1:26" s="24" customFormat="1" hidden="1" outlineLevel="1" x14ac:dyDescent="0.25">
      <c r="A131" s="44"/>
      <c r="B131" s="11" t="str">
        <f>CONCATENATE("          ", "9150", " - ", "MISC. INCOME")</f>
        <v xml:space="preserve">          9150 - MISC. INCOME</v>
      </c>
      <c r="C131" s="11"/>
      <c r="D131" s="2">
        <f>--50769.74</f>
        <v>50769.74</v>
      </c>
      <c r="E131" s="2"/>
      <c r="F131" s="19">
        <f t="shared" si="116"/>
        <v>1.9974102697691652E-2</v>
      </c>
      <c r="G131" s="2"/>
      <c r="H131" s="2">
        <v>40325</v>
      </c>
      <c r="I131" s="2"/>
      <c r="J131" s="19">
        <f t="shared" si="117"/>
        <v>1.5007817463256435E-2</v>
      </c>
      <c r="K131" s="2"/>
      <c r="L131" s="2">
        <f t="shared" si="118"/>
        <v>10444.739999999998</v>
      </c>
      <c r="M131" s="2"/>
      <c r="N131" s="19">
        <f t="shared" si="119"/>
        <v>0.25901401115933037</v>
      </c>
      <c r="O131" s="11"/>
      <c r="P131" s="2">
        <f>--117296.68</f>
        <v>117296.68</v>
      </c>
      <c r="Q131" s="2"/>
      <c r="R131" s="19">
        <f t="shared" si="120"/>
        <v>1.874655241662598E-2</v>
      </c>
      <c r="S131" s="2"/>
      <c r="T131" s="2">
        <v>81619</v>
      </c>
      <c r="U131" s="2"/>
      <c r="V131" s="19">
        <f t="shared" si="121"/>
        <v>1.2307996224013705E-2</v>
      </c>
      <c r="W131" s="2"/>
      <c r="X131" s="2">
        <f t="shared" si="122"/>
        <v>35677.679999999993</v>
      </c>
      <c r="Y131" s="2"/>
      <c r="Z131" s="19">
        <f t="shared" si="123"/>
        <v>0.43712468910425262</v>
      </c>
    </row>
    <row r="132" spans="1:26" s="24" customFormat="1" hidden="1" outlineLevel="1" x14ac:dyDescent="0.25">
      <c r="A132" s="44"/>
      <c r="B132" s="11" t="str">
        <f>CONCATENATE("          ", "9151", " - ", "MISC. INCOME")</f>
        <v xml:space="preserve">          9151 - MISC. INCOME</v>
      </c>
      <c r="C132" s="11"/>
      <c r="D132" s="2">
        <f>0</f>
        <v>0</v>
      </c>
      <c r="E132" s="2"/>
      <c r="F132" s="19">
        <f t="shared" si="116"/>
        <v>0</v>
      </c>
      <c r="G132" s="2"/>
      <c r="H132" s="2">
        <v>17919</v>
      </c>
      <c r="I132" s="2"/>
      <c r="J132" s="19">
        <f t="shared" si="117"/>
        <v>6.6689418753649605E-3</v>
      </c>
      <c r="K132" s="2"/>
      <c r="L132" s="2">
        <f t="shared" si="118"/>
        <v>-17919</v>
      </c>
      <c r="M132" s="2"/>
      <c r="N132" s="19">
        <f t="shared" si="119"/>
        <v>-1</v>
      </c>
      <c r="O132" s="11"/>
      <c r="P132" s="2">
        <f>0</f>
        <v>0</v>
      </c>
      <c r="Q132" s="2"/>
      <c r="R132" s="19">
        <f t="shared" si="120"/>
        <v>0</v>
      </c>
      <c r="S132" s="2"/>
      <c r="T132" s="2">
        <v>236117</v>
      </c>
      <c r="U132" s="2"/>
      <c r="V132" s="19">
        <f t="shared" si="121"/>
        <v>3.5606012624823193E-2</v>
      </c>
      <c r="W132" s="2"/>
      <c r="X132" s="2">
        <f t="shared" si="122"/>
        <v>-236117</v>
      </c>
      <c r="Y132" s="2"/>
      <c r="Z132" s="19">
        <f t="shared" si="123"/>
        <v>-1</v>
      </c>
    </row>
    <row r="133" spans="1:26" s="24" customFormat="1" hidden="1" outlineLevel="1" x14ac:dyDescent="0.25">
      <c r="A133" s="44"/>
      <c r="B133" s="11" t="str">
        <f>CONCATENATE("          ", "9160", " - ", "MISC. INCOME")</f>
        <v xml:space="preserve">          9160 - MISC. INCOME</v>
      </c>
      <c r="C133" s="11"/>
      <c r="D133" s="2">
        <f>--65384.61</f>
        <v>65384.61</v>
      </c>
      <c r="E133" s="2"/>
      <c r="F133" s="19">
        <f t="shared" si="116"/>
        <v>2.5723963033659748E-2</v>
      </c>
      <c r="G133" s="2"/>
      <c r="H133" s="2"/>
      <c r="I133" s="2"/>
      <c r="J133" s="19">
        <f t="shared" si="117"/>
        <v>0</v>
      </c>
      <c r="K133" s="2"/>
      <c r="L133" s="2">
        <f t="shared" si="118"/>
        <v>65384.61</v>
      </c>
      <c r="M133" s="2"/>
      <c r="N133" s="19">
        <f t="shared" si="119"/>
        <v>0</v>
      </c>
      <c r="O133" s="11"/>
      <c r="P133" s="2">
        <f>--96357.88</f>
        <v>96357.88</v>
      </c>
      <c r="Q133" s="2"/>
      <c r="R133" s="19">
        <f t="shared" si="120"/>
        <v>1.5400078230474694E-2</v>
      </c>
      <c r="S133" s="2"/>
      <c r="T133" s="2"/>
      <c r="U133" s="2"/>
      <c r="V133" s="19">
        <f t="shared" si="121"/>
        <v>0</v>
      </c>
      <c r="W133" s="2"/>
      <c r="X133" s="2">
        <f t="shared" si="122"/>
        <v>96357.88</v>
      </c>
      <c r="Y133" s="2"/>
      <c r="Z133" s="19">
        <f t="shared" si="123"/>
        <v>0</v>
      </c>
    </row>
    <row r="134" spans="1:26" s="24" customFormat="1" hidden="1" outlineLevel="1" x14ac:dyDescent="0.25">
      <c r="A134" s="44"/>
      <c r="B134" s="11" t="str">
        <f>CONCATENATE("          ", "9165", " - ", "OTHER INCOME")</f>
        <v xml:space="preserve">          9165 - OTHER INCOME</v>
      </c>
      <c r="C134" s="11"/>
      <c r="D134" s="2">
        <f>--7709.29</f>
        <v>7709.29</v>
      </c>
      <c r="E134" s="2"/>
      <c r="F134" s="19">
        <f t="shared" si="116"/>
        <v>3.0330301117612044E-3</v>
      </c>
      <c r="G134" s="2"/>
      <c r="H134" s="2"/>
      <c r="I134" s="2"/>
      <c r="J134" s="19">
        <f t="shared" si="117"/>
        <v>0</v>
      </c>
      <c r="K134" s="2"/>
      <c r="L134" s="2">
        <f t="shared" si="118"/>
        <v>7709.29</v>
      </c>
      <c r="M134" s="2"/>
      <c r="N134" s="19">
        <f t="shared" si="119"/>
        <v>0</v>
      </c>
      <c r="O134" s="11"/>
      <c r="P134" s="2">
        <f>--212870.07</f>
        <v>212870.07</v>
      </c>
      <c r="Q134" s="2"/>
      <c r="R134" s="19">
        <f t="shared" si="120"/>
        <v>3.4021252137620965E-2</v>
      </c>
      <c r="S134" s="2"/>
      <c r="T134" s="2"/>
      <c r="U134" s="2"/>
      <c r="V134" s="19">
        <f t="shared" si="121"/>
        <v>0</v>
      </c>
      <c r="W134" s="2"/>
      <c r="X134" s="2">
        <f t="shared" si="122"/>
        <v>212870.07</v>
      </c>
      <c r="Y134" s="2"/>
      <c r="Z134" s="19">
        <f t="shared" si="123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8" t="s">
        <v>3</v>
      </c>
      <c r="C136" s="28"/>
      <c r="D136" s="22">
        <f>+D31-D33+D130</f>
        <v>746796.26000000013</v>
      </c>
      <c r="E136" s="14"/>
      <c r="F136" s="20">
        <f>IF(D$12=0,0,D136/D$12)</f>
        <v>0.29380857951000022</v>
      </c>
      <c r="G136" s="14"/>
      <c r="H136" s="22">
        <f>+H31-H33+H130</f>
        <v>811557.33724906365</v>
      </c>
      <c r="I136" s="14"/>
      <c r="J136" s="20">
        <f>IF(H$12=0,0,H136/H$12)</f>
        <v>0.30203854627155335</v>
      </c>
      <c r="K136" s="16"/>
      <c r="L136" s="22">
        <f>+D136-H136</f>
        <v>-64761.077249063528</v>
      </c>
      <c r="M136" s="16"/>
      <c r="N136" s="20">
        <f>IF(H136=0,0,L136/H136)</f>
        <v>-7.9798523501228125E-2</v>
      </c>
      <c r="O136" s="29"/>
      <c r="P136" s="22">
        <f>+P31-P33+P130</f>
        <v>1042800.2199999994</v>
      </c>
      <c r="Q136" s="14"/>
      <c r="R136" s="20">
        <f>IF(P$12=0,0,P136/P$12)</f>
        <v>0.16666208271452435</v>
      </c>
      <c r="S136" s="14"/>
      <c r="T136" s="22">
        <f>+T31-T33+T130</f>
        <v>1181009.1848062463</v>
      </c>
      <c r="U136" s="14"/>
      <c r="V136" s="20">
        <f>IF(T$12=0,0,T136/T$12)</f>
        <v>0.17809402941864985</v>
      </c>
      <c r="W136" s="16"/>
      <c r="X136" s="22">
        <f>+P136-T136</f>
        <v>-138208.96480624692</v>
      </c>
      <c r="Y136" s="16"/>
      <c r="Z136" s="20">
        <f>IF(T136=0,0,X136/T136)</f>
        <v>-0.11702615575248144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2"/>
      <c r="B138" s="10" t="s">
        <v>14</v>
      </c>
      <c r="C138" s="10"/>
      <c r="D138" s="4">
        <v>230781.74</v>
      </c>
      <c r="E138" s="4"/>
      <c r="F138" s="12">
        <f>IF(D$12=0,0,D138/D$12)</f>
        <v>9.0795386691205696E-2</v>
      </c>
      <c r="G138" s="4"/>
      <c r="H138" s="4">
        <v>299662</v>
      </c>
      <c r="I138" s="4"/>
      <c r="J138" s="12">
        <f>IF(H$12=0,0,H138/H$12)</f>
        <v>0.11152566885739243</v>
      </c>
      <c r="K138" s="4"/>
      <c r="L138" s="4">
        <f>+D138-H138</f>
        <v>-68880.260000000009</v>
      </c>
      <c r="M138" s="4"/>
      <c r="N138" s="12">
        <f>IF(H138=0,0,L138/H138)</f>
        <v>-0.22985984208875335</v>
      </c>
      <c r="O138" s="10"/>
      <c r="P138" s="4">
        <v>629842.92000000004</v>
      </c>
      <c r="Q138" s="4"/>
      <c r="R138" s="12">
        <f>IF(P$12=0,0,P138/P$12)</f>
        <v>0.10066255339896037</v>
      </c>
      <c r="S138" s="4"/>
      <c r="T138" s="4">
        <v>798577</v>
      </c>
      <c r="U138" s="4"/>
      <c r="V138" s="12">
        <f>IF(T$12=0,0,T138/T$12)</f>
        <v>0.12042395398846092</v>
      </c>
      <c r="W138" s="4"/>
      <c r="X138" s="4">
        <f>+P138-T138</f>
        <v>-168734.07999999996</v>
      </c>
      <c r="Y138" s="4"/>
      <c r="Z138" s="12">
        <f>IF(T138=0,0,X138/T138)</f>
        <v>-0.2112934382032039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8" t="s">
        <v>4</v>
      </c>
      <c r="C140" s="28"/>
      <c r="D140" s="31">
        <f>+D136-D138</f>
        <v>516014.52000000014</v>
      </c>
      <c r="E140" s="14"/>
      <c r="F140" s="33">
        <f>IF(D$12=0,0,D140/D$12)</f>
        <v>0.20301319281879454</v>
      </c>
      <c r="G140" s="14"/>
      <c r="H140" s="31">
        <f>+H136-H138</f>
        <v>511895.33724906365</v>
      </c>
      <c r="I140" s="14"/>
      <c r="J140" s="33">
        <f>IF(H$12=0,0,H140/H$12)</f>
        <v>0.19051287741416092</v>
      </c>
      <c r="K140" s="16"/>
      <c r="L140" s="31">
        <f>D140-H140</f>
        <v>4119.1827509364812</v>
      </c>
      <c r="M140" s="16"/>
      <c r="N140" s="33">
        <f>IF(H140=0,0,L140/H140)</f>
        <v>8.0469237580343203E-3</v>
      </c>
      <c r="O140" s="29"/>
      <c r="P140" s="31">
        <f>+P136-P138</f>
        <v>412957.29999999935</v>
      </c>
      <c r="Q140" s="14"/>
      <c r="R140" s="33">
        <f>IF(P$12=0,0,P140/P$12)</f>
        <v>6.5999529315563993E-2</v>
      </c>
      <c r="S140" s="14"/>
      <c r="T140" s="31">
        <f>+T136-T138</f>
        <v>382432.18480624631</v>
      </c>
      <c r="U140" s="14"/>
      <c r="V140" s="33">
        <f>IF(T$12=0,0,T140/T$12)</f>
        <v>5.7670075430188934E-2</v>
      </c>
      <c r="W140" s="16"/>
      <c r="X140" s="31">
        <f>P140-T140</f>
        <v>30525.115193753038</v>
      </c>
      <c r="Y140" s="16"/>
      <c r="Z140" s="33">
        <f>IF(T140=0,0,X140/T140)</f>
        <v>7.9818374097405373E-2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8" t="s">
        <v>5</v>
      </c>
      <c r="C143" s="28"/>
      <c r="D143" s="32">
        <f>SUM(D140:D142)</f>
        <v>516014.52000000014</v>
      </c>
      <c r="E143" s="14"/>
      <c r="F143" s="34">
        <f>IF(D$12=0,0,D143/D$12)</f>
        <v>0.20301319281879454</v>
      </c>
      <c r="G143" s="14"/>
      <c r="H143" s="32">
        <f>SUM(H140:H142)</f>
        <v>511895.33724906365</v>
      </c>
      <c r="I143" s="14"/>
      <c r="J143" s="34">
        <f>IF(H$12=0,0,H143/H$12)</f>
        <v>0.19051287741416092</v>
      </c>
      <c r="K143" s="16"/>
      <c r="L143" s="32">
        <f>+D143-H143</f>
        <v>4119.1827509364812</v>
      </c>
      <c r="M143" s="16"/>
      <c r="N143" s="34">
        <f>IF(H143=0,0,L143/H143)</f>
        <v>8.0469237580343203E-3</v>
      </c>
      <c r="O143" s="29"/>
      <c r="P143" s="32">
        <f>SUM(P140:P142)</f>
        <v>412957.29999999935</v>
      </c>
      <c r="Q143" s="14"/>
      <c r="R143" s="34">
        <f>IF(P$12=0,0,P143/P$12)</f>
        <v>6.5999529315563993E-2</v>
      </c>
      <c r="S143" s="14"/>
      <c r="T143" s="32">
        <f>SUM(T140:T142)</f>
        <v>382432.18480624631</v>
      </c>
      <c r="U143" s="14"/>
      <c r="V143" s="34">
        <f>IF(T$12=0,0,T143/T$12)</f>
        <v>5.7670075430188934E-2</v>
      </c>
      <c r="W143" s="16"/>
      <c r="X143" s="32">
        <f>+P143-T143</f>
        <v>30525.115193753038</v>
      </c>
      <c r="Y143" s="16"/>
      <c r="Z143" s="34">
        <f>IF(T143=0,0,X143/T143)</f>
        <v>7.9818374097405373E-2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1:24" x14ac:dyDescent="0.25">
      <c r="A145" s="9"/>
      <c r="B145" s="60">
        <v>43791.347775428243</v>
      </c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A146" s="9"/>
      <c r="B146" s="54" t="s">
        <v>314</v>
      </c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  <row r="147" spans="1:24" x14ac:dyDescent="0.25">
      <c r="A147" s="9"/>
      <c r="B147" s="55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313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1400717.89</v>
      </c>
      <c r="E12" s="4"/>
      <c r="F12" s="12"/>
      <c r="G12" s="4"/>
      <c r="H12" s="4">
        <f>SUM(OSRRefH13x_0)</f>
        <v>1508624</v>
      </c>
      <c r="I12" s="4"/>
      <c r="J12" s="12"/>
      <c r="K12" s="4"/>
      <c r="L12" s="4">
        <f t="shared" ref="L12:L29" si="0">+D12-H12</f>
        <v>-107906.1100000001</v>
      </c>
      <c r="M12" s="4"/>
      <c r="N12" s="12">
        <f t="shared" ref="N12:N29" si="1">IF(H12=0,0,L12/H12)</f>
        <v>-7.1526178822556255E-2</v>
      </c>
      <c r="O12" s="10"/>
      <c r="P12" s="4">
        <f>SUM(OSRRefP13x_0)</f>
        <v>3229080.82</v>
      </c>
      <c r="Q12" s="4"/>
      <c r="R12" s="12"/>
      <c r="S12" s="4"/>
      <c r="T12" s="4">
        <f>SUM(OSRRefT13x_0)</f>
        <v>3586514.1999999997</v>
      </c>
      <c r="U12" s="4"/>
      <c r="V12" s="12"/>
      <c r="W12" s="4"/>
      <c r="X12" s="4">
        <f t="shared" ref="X12:X29" si="2">+P12-T12</f>
        <v>-357433.37999999989</v>
      </c>
      <c r="Y12" s="4"/>
      <c r="Z12" s="12">
        <f t="shared" ref="Z12:Z29" si="3">IF(T12=0,0,X12/T12)</f>
        <v>-9.966038333265205E-2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604662</v>
      </c>
      <c r="I13" s="2"/>
      <c r="J13" s="19"/>
      <c r="K13" s="2"/>
      <c r="L13" s="2">
        <f t="shared" si="0"/>
        <v>-604662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1502713.2</v>
      </c>
      <c r="U13" s="2"/>
      <c r="V13" s="19"/>
      <c r="W13" s="2"/>
      <c r="X13" s="2">
        <f t="shared" si="2"/>
        <v>-1502713.2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--59158.53</f>
        <v>59158.53</v>
      </c>
      <c r="E14" s="2"/>
      <c r="F14" s="19"/>
      <c r="G14" s="2"/>
      <c r="H14" s="2"/>
      <c r="I14" s="2"/>
      <c r="J14" s="19"/>
      <c r="K14" s="2"/>
      <c r="L14" s="2">
        <f t="shared" si="0"/>
        <v>59158.53</v>
      </c>
      <c r="M14" s="2"/>
      <c r="N14" s="19">
        <f t="shared" si="1"/>
        <v>0</v>
      </c>
      <c r="O14" s="11"/>
      <c r="P14" s="2">
        <f>--131814.87</f>
        <v>131814.87</v>
      </c>
      <c r="Q14" s="2"/>
      <c r="R14" s="19"/>
      <c r="S14" s="2"/>
      <c r="T14" s="2"/>
      <c r="U14" s="2"/>
      <c r="V14" s="19"/>
      <c r="W14" s="2"/>
      <c r="X14" s="2">
        <f t="shared" si="2"/>
        <v>131814.87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--531.75</f>
        <v>531.75</v>
      </c>
      <c r="E15" s="2"/>
      <c r="F15" s="19"/>
      <c r="G15" s="2"/>
      <c r="H15" s="2"/>
      <c r="I15" s="2"/>
      <c r="J15" s="19"/>
      <c r="K15" s="2"/>
      <c r="L15" s="2">
        <f t="shared" si="0"/>
        <v>531.75</v>
      </c>
      <c r="M15" s="2"/>
      <c r="N15" s="19">
        <f t="shared" si="1"/>
        <v>0</v>
      </c>
      <c r="O15" s="11"/>
      <c r="P15" s="2">
        <f>--1682.08</f>
        <v>1682.08</v>
      </c>
      <c r="Q15" s="2"/>
      <c r="R15" s="19"/>
      <c r="S15" s="2"/>
      <c r="T15" s="2"/>
      <c r="U15" s="2"/>
      <c r="V15" s="19"/>
      <c r="W15" s="2"/>
      <c r="X15" s="2">
        <f t="shared" si="2"/>
        <v>1682.08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--125346.31</f>
        <v>125346.31</v>
      </c>
      <c r="E16" s="2"/>
      <c r="F16" s="19"/>
      <c r="G16" s="2"/>
      <c r="H16" s="2"/>
      <c r="I16" s="2"/>
      <c r="J16" s="19"/>
      <c r="K16" s="2"/>
      <c r="L16" s="2">
        <f t="shared" si="0"/>
        <v>125346.31</v>
      </c>
      <c r="M16" s="2"/>
      <c r="N16" s="19">
        <f t="shared" si="1"/>
        <v>0</v>
      </c>
      <c r="O16" s="11"/>
      <c r="P16" s="2">
        <f>--300035.94</f>
        <v>300035.94</v>
      </c>
      <c r="Q16" s="2"/>
      <c r="R16" s="19"/>
      <c r="S16" s="2"/>
      <c r="T16" s="2"/>
      <c r="U16" s="2"/>
      <c r="V16" s="19"/>
      <c r="W16" s="2"/>
      <c r="X16" s="2">
        <f t="shared" si="2"/>
        <v>300035.94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--115316.39</f>
        <v>115316.39</v>
      </c>
      <c r="E17" s="2"/>
      <c r="F17" s="19"/>
      <c r="G17" s="2"/>
      <c r="H17" s="2"/>
      <c r="I17" s="2"/>
      <c r="J17" s="19"/>
      <c r="K17" s="2"/>
      <c r="L17" s="2">
        <f t="shared" si="0"/>
        <v>115316.39</v>
      </c>
      <c r="M17" s="2"/>
      <c r="N17" s="19">
        <f t="shared" si="1"/>
        <v>0</v>
      </c>
      <c r="O17" s="11"/>
      <c r="P17" s="2">
        <f>--368822.4</f>
        <v>368822.4</v>
      </c>
      <c r="Q17" s="2"/>
      <c r="R17" s="19"/>
      <c r="S17" s="2"/>
      <c r="T17" s="2"/>
      <c r="U17" s="2"/>
      <c r="V17" s="19"/>
      <c r="W17" s="2"/>
      <c r="X17" s="2">
        <f t="shared" si="2"/>
        <v>368822.4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--13668.19</f>
        <v>13668.19</v>
      </c>
      <c r="E18" s="2"/>
      <c r="F18" s="19"/>
      <c r="G18" s="2"/>
      <c r="H18" s="2"/>
      <c r="I18" s="2"/>
      <c r="J18" s="19"/>
      <c r="K18" s="2"/>
      <c r="L18" s="2">
        <f t="shared" si="0"/>
        <v>13668.19</v>
      </c>
      <c r="M18" s="2"/>
      <c r="N18" s="19">
        <f t="shared" si="1"/>
        <v>0</v>
      </c>
      <c r="O18" s="11"/>
      <c r="P18" s="2">
        <f>--60500.61</f>
        <v>60500.61</v>
      </c>
      <c r="Q18" s="2"/>
      <c r="R18" s="19"/>
      <c r="S18" s="2"/>
      <c r="T18" s="2"/>
      <c r="U18" s="2"/>
      <c r="V18" s="19"/>
      <c r="W18" s="2"/>
      <c r="X18" s="2">
        <f t="shared" si="2"/>
        <v>60500.61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--75155.92</f>
        <v>75155.92</v>
      </c>
      <c r="E19" s="2"/>
      <c r="F19" s="19"/>
      <c r="G19" s="2"/>
      <c r="H19" s="2"/>
      <c r="I19" s="2"/>
      <c r="J19" s="19"/>
      <c r="K19" s="2"/>
      <c r="L19" s="2">
        <f t="shared" si="0"/>
        <v>75155.92</v>
      </c>
      <c r="M19" s="2"/>
      <c r="N19" s="19">
        <f t="shared" si="1"/>
        <v>0</v>
      </c>
      <c r="O19" s="11"/>
      <c r="P19" s="2">
        <f>--185991.6</f>
        <v>185991.6</v>
      </c>
      <c r="Q19" s="2"/>
      <c r="R19" s="19"/>
      <c r="S19" s="2"/>
      <c r="T19" s="2"/>
      <c r="U19" s="2"/>
      <c r="V19" s="19"/>
      <c r="W19" s="2"/>
      <c r="X19" s="2">
        <f t="shared" si="2"/>
        <v>185991.6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--21855.03</f>
        <v>21855.03</v>
      </c>
      <c r="E20" s="2"/>
      <c r="F20" s="19"/>
      <c r="G20" s="2"/>
      <c r="H20" s="2"/>
      <c r="I20" s="2"/>
      <c r="J20" s="19"/>
      <c r="K20" s="2"/>
      <c r="L20" s="2">
        <f t="shared" si="0"/>
        <v>21855.03</v>
      </c>
      <c r="M20" s="2"/>
      <c r="N20" s="19">
        <f t="shared" si="1"/>
        <v>0</v>
      </c>
      <c r="O20" s="11"/>
      <c r="P20" s="2">
        <f>--64145.93</f>
        <v>64145.93</v>
      </c>
      <c r="Q20" s="2"/>
      <c r="R20" s="19"/>
      <c r="S20" s="2"/>
      <c r="T20" s="2"/>
      <c r="U20" s="2"/>
      <c r="V20" s="19"/>
      <c r="W20" s="2"/>
      <c r="X20" s="2">
        <f t="shared" si="2"/>
        <v>64145.93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903962</v>
      </c>
      <c r="I21" s="2"/>
      <c r="J21" s="19"/>
      <c r="K21" s="2"/>
      <c r="L21" s="2">
        <f t="shared" si="0"/>
        <v>-903962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2083800.9999999998</v>
      </c>
      <c r="U21" s="2"/>
      <c r="V21" s="19"/>
      <c r="W21" s="2"/>
      <c r="X21" s="2">
        <f t="shared" si="2"/>
        <v>-2083800.9999999998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--239161.66</f>
        <v>239161.66</v>
      </c>
      <c r="E22" s="2"/>
      <c r="F22" s="19"/>
      <c r="G22" s="2"/>
      <c r="H22" s="2"/>
      <c r="I22" s="2"/>
      <c r="J22" s="19"/>
      <c r="K22" s="2"/>
      <c r="L22" s="2">
        <f t="shared" si="0"/>
        <v>239161.66</v>
      </c>
      <c r="M22" s="2"/>
      <c r="N22" s="19">
        <f t="shared" si="1"/>
        <v>0</v>
      </c>
      <c r="O22" s="11"/>
      <c r="P22" s="2">
        <f>--515103.65</f>
        <v>515103.65</v>
      </c>
      <c r="Q22" s="2"/>
      <c r="R22" s="19"/>
      <c r="S22" s="2"/>
      <c r="T22" s="2"/>
      <c r="U22" s="2"/>
      <c r="V22" s="19"/>
      <c r="W22" s="2"/>
      <c r="X22" s="2">
        <f t="shared" si="2"/>
        <v>515103.65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/>
      <c r="U23" s="2"/>
      <c r="V23" s="19"/>
      <c r="W23" s="2"/>
      <c r="X23" s="2">
        <f t="shared" si="2"/>
        <v>0.39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--227.76</f>
        <v>227.76</v>
      </c>
      <c r="E24" s="2"/>
      <c r="F24" s="19"/>
      <c r="G24" s="2"/>
      <c r="H24" s="2"/>
      <c r="I24" s="2"/>
      <c r="J24" s="19"/>
      <c r="K24" s="2"/>
      <c r="L24" s="2">
        <f t="shared" si="0"/>
        <v>227.76</v>
      </c>
      <c r="M24" s="2"/>
      <c r="N24" s="19">
        <f t="shared" si="1"/>
        <v>0</v>
      </c>
      <c r="O24" s="11"/>
      <c r="P24" s="2">
        <f>--848.85</f>
        <v>848.85</v>
      </c>
      <c r="Q24" s="2"/>
      <c r="R24" s="19"/>
      <c r="S24" s="2"/>
      <c r="T24" s="2"/>
      <c r="U24" s="2"/>
      <c r="V24" s="19"/>
      <c r="W24" s="2"/>
      <c r="X24" s="2">
        <f t="shared" si="2"/>
        <v>848.85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--493606.49</f>
        <v>493606.49</v>
      </c>
      <c r="E25" s="2"/>
      <c r="F25" s="19"/>
      <c r="G25" s="2"/>
      <c r="H25" s="2"/>
      <c r="I25" s="2"/>
      <c r="J25" s="19"/>
      <c r="K25" s="2"/>
      <c r="L25" s="2">
        <f t="shared" si="0"/>
        <v>493606.49</v>
      </c>
      <c r="M25" s="2"/>
      <c r="N25" s="19">
        <f t="shared" si="1"/>
        <v>0</v>
      </c>
      <c r="O25" s="11"/>
      <c r="P25" s="2">
        <f>--1029947.91</f>
        <v>1029947.91</v>
      </c>
      <c r="Q25" s="2"/>
      <c r="R25" s="19"/>
      <c r="S25" s="2"/>
      <c r="T25" s="2"/>
      <c r="U25" s="2"/>
      <c r="V25" s="19"/>
      <c r="W25" s="2"/>
      <c r="X25" s="2">
        <f t="shared" si="2"/>
        <v>1029947.91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--9149.73</f>
        <v>9149.73</v>
      </c>
      <c r="E26" s="2"/>
      <c r="F26" s="19"/>
      <c r="G26" s="2"/>
      <c r="H26" s="2"/>
      <c r="I26" s="2"/>
      <c r="J26" s="19"/>
      <c r="K26" s="2"/>
      <c r="L26" s="2">
        <f t="shared" si="0"/>
        <v>9149.73</v>
      </c>
      <c r="M26" s="2"/>
      <c r="N26" s="19">
        <f t="shared" si="1"/>
        <v>0</v>
      </c>
      <c r="O26" s="11"/>
      <c r="P26" s="2">
        <f>--24938.79</f>
        <v>24938.79</v>
      </c>
      <c r="Q26" s="2"/>
      <c r="R26" s="19"/>
      <c r="S26" s="2"/>
      <c r="T26" s="2"/>
      <c r="U26" s="2"/>
      <c r="V26" s="19"/>
      <c r="W26" s="2"/>
      <c r="X26" s="2">
        <f t="shared" si="2"/>
        <v>24938.79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--2874</f>
        <v>2874</v>
      </c>
      <c r="E27" s="2"/>
      <c r="F27" s="19"/>
      <c r="G27" s="2"/>
      <c r="H27" s="2"/>
      <c r="I27" s="2"/>
      <c r="J27" s="19"/>
      <c r="K27" s="2"/>
      <c r="L27" s="2">
        <f t="shared" si="0"/>
        <v>2874</v>
      </c>
      <c r="M27" s="2"/>
      <c r="N27" s="19">
        <f t="shared" si="1"/>
        <v>0</v>
      </c>
      <c r="O27" s="11"/>
      <c r="P27" s="2">
        <f>--5280.5</f>
        <v>5280.5</v>
      </c>
      <c r="Q27" s="2"/>
      <c r="R27" s="19"/>
      <c r="S27" s="2"/>
      <c r="T27" s="2"/>
      <c r="U27" s="2"/>
      <c r="V27" s="19"/>
      <c r="W27" s="2"/>
      <c r="X27" s="2">
        <f t="shared" si="2"/>
        <v>5280.5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--149192.49</f>
        <v>149192.49</v>
      </c>
      <c r="E28" s="2"/>
      <c r="F28" s="19"/>
      <c r="G28" s="2"/>
      <c r="H28" s="2"/>
      <c r="I28" s="2"/>
      <c r="J28" s="19"/>
      <c r="K28" s="2"/>
      <c r="L28" s="2">
        <f t="shared" si="0"/>
        <v>149192.49</v>
      </c>
      <c r="M28" s="2"/>
      <c r="N28" s="19">
        <f t="shared" si="1"/>
        <v>0</v>
      </c>
      <c r="O28" s="11"/>
      <c r="P28" s="2">
        <f>--332247.03</f>
        <v>332247.03000000003</v>
      </c>
      <c r="Q28" s="2"/>
      <c r="R28" s="19"/>
      <c r="S28" s="2"/>
      <c r="T28" s="2"/>
      <c r="U28" s="2"/>
      <c r="V28" s="19"/>
      <c r="W28" s="2"/>
      <c r="X28" s="2">
        <f t="shared" si="2"/>
        <v>332247.03000000003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--95473.64</f>
        <v>95473.64</v>
      </c>
      <c r="E29" s="2"/>
      <c r="F29" s="19"/>
      <c r="G29" s="2"/>
      <c r="H29" s="2"/>
      <c r="I29" s="2"/>
      <c r="J29" s="19"/>
      <c r="K29" s="2"/>
      <c r="L29" s="2">
        <f t="shared" si="0"/>
        <v>95473.64</v>
      </c>
      <c r="M29" s="2"/>
      <c r="N29" s="19">
        <f t="shared" si="1"/>
        <v>0</v>
      </c>
      <c r="O29" s="11"/>
      <c r="P29" s="2">
        <f>--207720.27</f>
        <v>207720.27</v>
      </c>
      <c r="Q29" s="2"/>
      <c r="R29" s="19"/>
      <c r="S29" s="2"/>
      <c r="T29" s="2"/>
      <c r="U29" s="2"/>
      <c r="V29" s="19"/>
      <c r="W29" s="2"/>
      <c r="X29" s="2">
        <f t="shared" si="2"/>
        <v>207720.27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9" t="s">
        <v>8</v>
      </c>
      <c r="C31" s="10"/>
      <c r="D31" s="4">
        <f>SUM(OSRRefD16x_0)</f>
        <v>502994.97000000003</v>
      </c>
      <c r="E31" s="4"/>
      <c r="F31" s="12">
        <f t="shared" ref="F31:F34" si="4">IF(D$12=0,0,D31/D$12)</f>
        <v>0.35909798367749846</v>
      </c>
      <c r="G31" s="4"/>
      <c r="H31" s="4">
        <f>SUM(OSRRefH16x_0)</f>
        <v>554098</v>
      </c>
      <c r="I31" s="4"/>
      <c r="J31" s="12">
        <f t="shared" ref="J31:J34" si="5">IF(H$12=0,0,H31/H$12)</f>
        <v>0.3672870112102154</v>
      </c>
      <c r="K31" s="4"/>
      <c r="L31" s="4">
        <f t="shared" ref="L31:L34" si="6">+D31-H31</f>
        <v>-51103.02999999997</v>
      </c>
      <c r="M31" s="4"/>
      <c r="N31" s="12">
        <f t="shared" ref="N31:N34" si="7">IF(H31=0,0,L31/H31)</f>
        <v>-9.2227421864002346E-2</v>
      </c>
      <c r="O31" s="10"/>
      <c r="P31" s="4">
        <f>SUM(OSRRefP16x_0)</f>
        <v>1218943.3900000001</v>
      </c>
      <c r="Q31" s="4"/>
      <c r="R31" s="12">
        <f t="shared" ref="R31:R34" si="8">IF(P$12=0,0,P31/P$12)</f>
        <v>0.37748927882207672</v>
      </c>
      <c r="S31" s="4"/>
      <c r="T31" s="4">
        <f>SUM(OSRRefT16x_0)</f>
        <v>1305400</v>
      </c>
      <c r="U31" s="4"/>
      <c r="V31" s="12">
        <f t="shared" ref="V31:V34" si="9">IF(T$12=0,0,T31/T$12)</f>
        <v>0.36397458010900952</v>
      </c>
      <c r="W31" s="4"/>
      <c r="X31" s="4">
        <f t="shared" ref="X31:X34" si="10">+P31-T31</f>
        <v>-86456.60999999987</v>
      </c>
      <c r="Y31" s="4"/>
      <c r="Z31" s="12">
        <f t="shared" ref="Z31:Z34" si="11">IF(T31=0,0,X31/T31)</f>
        <v>-6.6229975486440842E-2</v>
      </c>
    </row>
    <row r="32" spans="1:26" s="24" customFormat="1" hidden="1" outlineLevel="1" x14ac:dyDescent="0.25">
      <c r="A32" s="44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19">
        <f t="shared" si="4"/>
        <v>0</v>
      </c>
      <c r="G32" s="2"/>
      <c r="H32" s="2">
        <v>554098</v>
      </c>
      <c r="I32" s="2"/>
      <c r="J32" s="19">
        <f t="shared" si="5"/>
        <v>0.3672870112102154</v>
      </c>
      <c r="K32" s="2"/>
      <c r="L32" s="2">
        <f t="shared" si="6"/>
        <v>-554098</v>
      </c>
      <c r="M32" s="2"/>
      <c r="N32" s="19">
        <f t="shared" si="7"/>
        <v>-1</v>
      </c>
      <c r="O32" s="11"/>
      <c r="P32" s="2"/>
      <c r="Q32" s="2"/>
      <c r="R32" s="19">
        <f t="shared" si="8"/>
        <v>0</v>
      </c>
      <c r="S32" s="2"/>
      <c r="T32" s="2">
        <v>1305400</v>
      </c>
      <c r="U32" s="2"/>
      <c r="V32" s="19">
        <f t="shared" si="9"/>
        <v>0.36397458010900952</v>
      </c>
      <c r="W32" s="2"/>
      <c r="X32" s="2">
        <f t="shared" si="10"/>
        <v>-1305400</v>
      </c>
      <c r="Y32" s="2"/>
      <c r="Z32" s="19">
        <f t="shared" si="11"/>
        <v>-1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519685.60000000003</v>
      </c>
      <c r="E33" s="2"/>
      <c r="F33" s="19">
        <f t="shared" si="4"/>
        <v>0.3710137520982188</v>
      </c>
      <c r="G33" s="2"/>
      <c r="H33" s="2"/>
      <c r="I33" s="2"/>
      <c r="J33" s="19">
        <f t="shared" si="5"/>
        <v>0</v>
      </c>
      <c r="K33" s="2"/>
      <c r="L33" s="2">
        <f t="shared" si="6"/>
        <v>519685.60000000003</v>
      </c>
      <c r="M33" s="2"/>
      <c r="N33" s="19">
        <f t="shared" si="7"/>
        <v>0</v>
      </c>
      <c r="O33" s="11"/>
      <c r="P33" s="2">
        <v>1302241.51</v>
      </c>
      <c r="Q33" s="2"/>
      <c r="R33" s="19">
        <f t="shared" si="8"/>
        <v>0.40328551144780578</v>
      </c>
      <c r="S33" s="2"/>
      <c r="T33" s="2"/>
      <c r="U33" s="2"/>
      <c r="V33" s="19">
        <f t="shared" si="9"/>
        <v>0</v>
      </c>
      <c r="W33" s="2"/>
      <c r="X33" s="2">
        <f t="shared" si="10"/>
        <v>1302241.51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-16690.63</v>
      </c>
      <c r="E34" s="2"/>
      <c r="F34" s="19">
        <f t="shared" si="4"/>
        <v>-1.1915768420720322E-2</v>
      </c>
      <c r="G34" s="2"/>
      <c r="H34" s="2"/>
      <c r="I34" s="2"/>
      <c r="J34" s="19">
        <f t="shared" si="5"/>
        <v>0</v>
      </c>
      <c r="K34" s="2"/>
      <c r="L34" s="2">
        <f t="shared" si="6"/>
        <v>-16690.63</v>
      </c>
      <c r="M34" s="2"/>
      <c r="N34" s="19">
        <f t="shared" si="7"/>
        <v>0</v>
      </c>
      <c r="O34" s="11"/>
      <c r="P34" s="2">
        <v>-83298.12</v>
      </c>
      <c r="Q34" s="2"/>
      <c r="R34" s="19">
        <f t="shared" si="8"/>
        <v>-2.5796232625729075E-2</v>
      </c>
      <c r="S34" s="2"/>
      <c r="T34" s="2"/>
      <c r="U34" s="2"/>
      <c r="V34" s="19">
        <f t="shared" si="9"/>
        <v>0</v>
      </c>
      <c r="W34" s="2"/>
      <c r="X34" s="2">
        <f t="shared" si="10"/>
        <v>-83298.12</v>
      </c>
      <c r="Y34" s="2"/>
      <c r="Z34" s="19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8" t="s">
        <v>6</v>
      </c>
      <c r="C36" s="28"/>
      <c r="D36" s="22">
        <f>D12-D31</f>
        <v>897722.91999999993</v>
      </c>
      <c r="E36" s="14"/>
      <c r="F36" s="20">
        <f>IF(D$12=0,0,D36/D$12)</f>
        <v>0.64090201632250154</v>
      </c>
      <c r="G36" s="14"/>
      <c r="H36" s="22">
        <f>H12-H31</f>
        <v>954526</v>
      </c>
      <c r="I36" s="14"/>
      <c r="J36" s="20">
        <f>IF(H$12=0,0,H36/H$12)</f>
        <v>0.63271298878978455</v>
      </c>
      <c r="K36" s="16"/>
      <c r="L36" s="22">
        <f>+D36-H36</f>
        <v>-56803.080000000075</v>
      </c>
      <c r="M36" s="16"/>
      <c r="N36" s="20">
        <f>IF(H36=0,0,L36/H36)</f>
        <v>-5.9509201425629134E-2</v>
      </c>
      <c r="O36" s="29"/>
      <c r="P36" s="22">
        <f>P12-P31</f>
        <v>2010137.4299999997</v>
      </c>
      <c r="Q36" s="14"/>
      <c r="R36" s="20">
        <f>IF(P$12=0,0,P36/P$12)</f>
        <v>0.62251072117792328</v>
      </c>
      <c r="S36" s="14"/>
      <c r="T36" s="22">
        <f>T12-T31</f>
        <v>2281114.1999999997</v>
      </c>
      <c r="U36" s="14"/>
      <c r="V36" s="20">
        <f>IF(T$12=0,0,T36/T$12)</f>
        <v>0.63602541989099048</v>
      </c>
      <c r="W36" s="16"/>
      <c r="X36" s="22">
        <f>+P36-T36</f>
        <v>-270976.77</v>
      </c>
      <c r="Y36" s="16"/>
      <c r="Z36" s="20">
        <f>IF(T36=0,0,X36/T36)</f>
        <v>-0.11879140904037161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9</v>
      </c>
      <c r="C38" s="10"/>
      <c r="D38" s="21">
        <f>SUM(OSRRefD22x_0)</f>
        <v>743198.82999999984</v>
      </c>
      <c r="E38" s="21"/>
      <c r="F38" s="35">
        <f t="shared" ref="F38:F49" si="12">IF(D$12=0,0,D38/D$12)</f>
        <v>0.53058423491685391</v>
      </c>
      <c r="G38" s="21"/>
      <c r="H38" s="21">
        <f>SUM(OSRRefH22x_0)</f>
        <v>709982.2718481773</v>
      </c>
      <c r="I38" s="21"/>
      <c r="J38" s="35">
        <f t="shared" ref="J38:J49" si="13">IF(H$12=0,0,H38/H$12)</f>
        <v>0.47061578753100658</v>
      </c>
      <c r="K38" s="4"/>
      <c r="L38" s="21">
        <f t="shared" ref="L38:L49" si="14">+D38-H38</f>
        <v>33216.558151822537</v>
      </c>
      <c r="M38" s="4"/>
      <c r="N38" s="35">
        <f t="shared" ref="N38:N49" si="15">IF(H38=0,0,L38/H38)</f>
        <v>4.6785052907526076E-2</v>
      </c>
      <c r="O38" s="10"/>
      <c r="P38" s="21">
        <f>SUM(OSRRefP22x_0)</f>
        <v>2367015.3500000006</v>
      </c>
      <c r="Q38" s="21"/>
      <c r="R38" s="35">
        <f t="shared" ref="R38:R49" si="16">IF(P$12=0,0,P38/P$12)</f>
        <v>0.73303069261673071</v>
      </c>
      <c r="S38" s="21"/>
      <c r="T38" s="21">
        <f>SUM(OSRRefT22x_0)</f>
        <v>2314115.9149327083</v>
      </c>
      <c r="U38" s="21"/>
      <c r="V38" s="35">
        <f t="shared" ref="V38:V49" si="17">IF(T$12=0,0,T38/T$12)</f>
        <v>0.64522703268056447</v>
      </c>
      <c r="W38" s="4"/>
      <c r="X38" s="21">
        <f t="shared" ref="X38:X49" si="18">+P38-T38</f>
        <v>52899.435067292303</v>
      </c>
      <c r="Y38" s="4"/>
      <c r="Z38" s="35">
        <f t="shared" ref="Z38:Z49" si="19">IF(T38=0,0,X38/T38)</f>
        <v>2.2859457785125926E-2</v>
      </c>
    </row>
    <row r="39" spans="1:26" s="26" customFormat="1" outlineLevel="1" collapsed="1" x14ac:dyDescent="0.25">
      <c r="A39" s="25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89754.91</v>
      </c>
      <c r="E39" s="1"/>
      <c r="F39" s="5">
        <f t="shared" si="12"/>
        <v>6.4077792281213755E-2</v>
      </c>
      <c r="G39" s="1"/>
      <c r="H39" s="1">
        <f>SUM(OSRRefH22_0x_0)</f>
        <v>89691.284617408091</v>
      </c>
      <c r="I39" s="1"/>
      <c r="J39" s="5">
        <f t="shared" si="13"/>
        <v>5.9452378205177757E-2</v>
      </c>
      <c r="K39" s="1"/>
      <c r="L39" s="1">
        <f t="shared" si="14"/>
        <v>63.625382591912057</v>
      </c>
      <c r="M39" s="1"/>
      <c r="N39" s="5">
        <f t="shared" si="15"/>
        <v>7.0938199696119722E-4</v>
      </c>
      <c r="O39" s="13"/>
      <c r="P39" s="1">
        <f>SUM(OSRRefP22_0x_0)</f>
        <v>334572.69</v>
      </c>
      <c r="Q39" s="1"/>
      <c r="R39" s="5">
        <f t="shared" si="16"/>
        <v>0.1036123617370469</v>
      </c>
      <c r="S39" s="1"/>
      <c r="T39" s="1">
        <f>SUM(OSRRefT22_0x_0)</f>
        <v>325599.94510193932</v>
      </c>
      <c r="U39" s="1"/>
      <c r="V39" s="5">
        <f t="shared" si="17"/>
        <v>9.0784513024356445E-2</v>
      </c>
      <c r="W39" s="1"/>
      <c r="X39" s="1">
        <f t="shared" si="18"/>
        <v>8972.744898060686</v>
      </c>
      <c r="Y39" s="1"/>
      <c r="Z39" s="5">
        <f t="shared" si="19"/>
        <v>2.7557574972107216E-2</v>
      </c>
    </row>
    <row r="40" spans="1:26" s="24" customFormat="1" hidden="1" outlineLevel="2" x14ac:dyDescent="0.25">
      <c r="A40" s="27"/>
      <c r="B40" s="11" t="str">
        <f>CONCATENATE("          ", "6111", " - ", "F.I.C.A.")</f>
        <v xml:space="preserve">          6111 - F.I.C.A.</v>
      </c>
      <c r="C40" s="11"/>
      <c r="D40" s="6">
        <v>27684.510000000002</v>
      </c>
      <c r="E40" s="2"/>
      <c r="F40" s="7">
        <f t="shared" si="12"/>
        <v>1.9764515180140951E-2</v>
      </c>
      <c r="G40" s="2"/>
      <c r="H40" s="6">
        <v>14643.526817685004</v>
      </c>
      <c r="I40" s="2"/>
      <c r="J40" s="7">
        <f t="shared" si="13"/>
        <v>9.7065450487894955E-3</v>
      </c>
      <c r="K40" s="2"/>
      <c r="L40" s="6">
        <f t="shared" si="14"/>
        <v>13040.983182314998</v>
      </c>
      <c r="M40" s="2"/>
      <c r="N40" s="7">
        <f t="shared" si="15"/>
        <v>0.89056300061303451</v>
      </c>
      <c r="O40" s="11"/>
      <c r="P40" s="6">
        <v>68843.78</v>
      </c>
      <c r="Q40" s="2"/>
      <c r="R40" s="7">
        <f t="shared" si="16"/>
        <v>2.1319930914581446E-2</v>
      </c>
      <c r="S40" s="2"/>
      <c r="T40" s="6">
        <v>55873.456248570015</v>
      </c>
      <c r="U40" s="2"/>
      <c r="V40" s="7">
        <f t="shared" si="17"/>
        <v>1.5578763426775229E-2</v>
      </c>
      <c r="W40" s="2"/>
      <c r="X40" s="6">
        <f t="shared" si="18"/>
        <v>12970.323751429984</v>
      </c>
      <c r="Y40" s="2"/>
      <c r="Z40" s="7">
        <f t="shared" si="19"/>
        <v>0.23213748749902932</v>
      </c>
    </row>
    <row r="41" spans="1:26" s="24" customFormat="1" hidden="1" outlineLevel="2" x14ac:dyDescent="0.25">
      <c r="A41" s="27"/>
      <c r="B41" s="11" t="str">
        <f>CONCATENATE("          ", "6112", " - ", "COMPENSATION INSURANCE")</f>
        <v xml:space="preserve">          6112 - COMPENSATION INSURANCE</v>
      </c>
      <c r="C41" s="11"/>
      <c r="D41" s="6">
        <v>-1647.55</v>
      </c>
      <c r="E41" s="2"/>
      <c r="F41" s="7">
        <f t="shared" si="12"/>
        <v>-1.1762182890374879E-3</v>
      </c>
      <c r="G41" s="2"/>
      <c r="H41" s="6">
        <v>12743.977709330766</v>
      </c>
      <c r="I41" s="2"/>
      <c r="J41" s="7">
        <f t="shared" si="13"/>
        <v>8.4474181169932102E-3</v>
      </c>
      <c r="K41" s="2"/>
      <c r="L41" s="6">
        <f t="shared" si="14"/>
        <v>-14391.527709330765</v>
      </c>
      <c r="M41" s="2"/>
      <c r="N41" s="7">
        <f t="shared" si="15"/>
        <v>-1.1292806718261688</v>
      </c>
      <c r="O41" s="11"/>
      <c r="P41" s="6">
        <v>20985.31</v>
      </c>
      <c r="Q41" s="2"/>
      <c r="R41" s="7">
        <f t="shared" si="16"/>
        <v>6.4988494156055232E-3</v>
      </c>
      <c r="S41" s="2"/>
      <c r="T41" s="6">
        <v>38814.623622430765</v>
      </c>
      <c r="U41" s="2"/>
      <c r="V41" s="7">
        <f t="shared" si="17"/>
        <v>1.0822381136098881E-2</v>
      </c>
      <c r="W41" s="2"/>
      <c r="X41" s="6">
        <f t="shared" si="18"/>
        <v>-17829.313622430764</v>
      </c>
      <c r="Y41" s="2"/>
      <c r="Z41" s="7">
        <f t="shared" si="19"/>
        <v>-0.45934526625494054</v>
      </c>
    </row>
    <row r="42" spans="1:26" s="24" customFormat="1" hidden="1" outlineLevel="2" x14ac:dyDescent="0.25">
      <c r="A42" s="27"/>
      <c r="B42" s="11" t="str">
        <f>CONCATENATE("          ", "6113", " - ", "GROUP INSURANCE")</f>
        <v xml:space="preserve">          6113 - GROUP INSURANCE</v>
      </c>
      <c r="C42" s="11"/>
      <c r="D42" s="6">
        <v>27091.870000000003</v>
      </c>
      <c r="E42" s="2"/>
      <c r="F42" s="7">
        <f t="shared" si="12"/>
        <v>1.9341417849671361E-2</v>
      </c>
      <c r="G42" s="2"/>
      <c r="H42" s="6">
        <v>29869.711538461546</v>
      </c>
      <c r="I42" s="2"/>
      <c r="J42" s="7">
        <f t="shared" si="13"/>
        <v>1.9799308203012511E-2</v>
      </c>
      <c r="K42" s="2"/>
      <c r="L42" s="6">
        <f t="shared" si="14"/>
        <v>-2777.8415384615437</v>
      </c>
      <c r="M42" s="2"/>
      <c r="N42" s="7">
        <f t="shared" si="15"/>
        <v>-9.2998606125963876E-2</v>
      </c>
      <c r="O42" s="11"/>
      <c r="P42" s="6">
        <v>108541.43000000001</v>
      </c>
      <c r="Q42" s="2"/>
      <c r="R42" s="7">
        <f t="shared" si="16"/>
        <v>3.3613723548734223E-2</v>
      </c>
      <c r="S42" s="2"/>
      <c r="T42" s="6">
        <v>112705.15769230772</v>
      </c>
      <c r="U42" s="2"/>
      <c r="V42" s="7">
        <f t="shared" si="17"/>
        <v>3.1424706945899654E-2</v>
      </c>
      <c r="W42" s="2"/>
      <c r="X42" s="6">
        <f t="shared" si="18"/>
        <v>-4163.7276923077152</v>
      </c>
      <c r="Y42" s="2"/>
      <c r="Z42" s="7">
        <f t="shared" si="19"/>
        <v>-3.6943541693761323E-2</v>
      </c>
    </row>
    <row r="43" spans="1:26" s="24" customFormat="1" hidden="1" outlineLevel="2" x14ac:dyDescent="0.25">
      <c r="A43" s="27"/>
      <c r="B43" s="11" t="str">
        <f>CONCATENATE("          ", "6114", " - ", "STATE UNEMPLOYMENT INSURANCE")</f>
        <v xml:space="preserve">          6114 - STATE UNEMPLOYMENT INSURANCE</v>
      </c>
      <c r="C43" s="11"/>
      <c r="D43" s="6">
        <v>1042.04</v>
      </c>
      <c r="E43" s="2"/>
      <c r="F43" s="7">
        <f t="shared" si="12"/>
        <v>7.4393281290924328E-4</v>
      </c>
      <c r="G43" s="2"/>
      <c r="H43" s="6">
        <v>1006.7462976999999</v>
      </c>
      <c r="I43" s="2"/>
      <c r="J43" s="7">
        <f t="shared" si="13"/>
        <v>6.6732751016820619E-4</v>
      </c>
      <c r="K43" s="2"/>
      <c r="L43" s="6">
        <f t="shared" si="14"/>
        <v>35.293702300000064</v>
      </c>
      <c r="M43" s="2"/>
      <c r="N43" s="7">
        <f t="shared" si="15"/>
        <v>3.5057196019127775E-2</v>
      </c>
      <c r="O43" s="11"/>
      <c r="P43" s="6">
        <v>2782.31</v>
      </c>
      <c r="Q43" s="2"/>
      <c r="R43" s="7">
        <f t="shared" si="16"/>
        <v>8.6164148718953406E-4</v>
      </c>
      <c r="S43" s="2"/>
      <c r="T43" s="6">
        <v>3069.4377193999999</v>
      </c>
      <c r="U43" s="2"/>
      <c r="V43" s="7">
        <f t="shared" si="17"/>
        <v>8.5582756633167663E-4</v>
      </c>
      <c r="W43" s="2"/>
      <c r="X43" s="6">
        <f t="shared" si="18"/>
        <v>-287.12771939999993</v>
      </c>
      <c r="Y43" s="2"/>
      <c r="Z43" s="7">
        <f t="shared" si="19"/>
        <v>-9.354407733548227E-2</v>
      </c>
    </row>
    <row r="44" spans="1:26" s="24" customFormat="1" hidden="1" outlineLevel="2" x14ac:dyDescent="0.25">
      <c r="A44" s="27"/>
      <c r="B44" s="11" t="str">
        <f>CONCATENATE("          ", "6115", " - ", "P.E.R.S.")</f>
        <v xml:space="preserve">          6115 - P.E.R.S.</v>
      </c>
      <c r="C44" s="11"/>
      <c r="D44" s="6">
        <v>13282.84</v>
      </c>
      <c r="E44" s="2"/>
      <c r="F44" s="7">
        <f t="shared" si="12"/>
        <v>9.4828802393606901E-3</v>
      </c>
      <c r="G44" s="2"/>
      <c r="H44" s="6">
        <v>10361.956175000003</v>
      </c>
      <c r="I44" s="2"/>
      <c r="J44" s="7">
        <f t="shared" si="13"/>
        <v>6.8684815931603915E-3</v>
      </c>
      <c r="K44" s="2"/>
      <c r="L44" s="6">
        <f t="shared" si="14"/>
        <v>2920.8838249999972</v>
      </c>
      <c r="M44" s="2"/>
      <c r="N44" s="7">
        <f t="shared" si="15"/>
        <v>0.28188536755705745</v>
      </c>
      <c r="O44" s="11"/>
      <c r="P44" s="6">
        <v>35573.100000000006</v>
      </c>
      <c r="Q44" s="2"/>
      <c r="R44" s="7">
        <f t="shared" si="16"/>
        <v>1.1016478677049652E-2</v>
      </c>
      <c r="S44" s="2"/>
      <c r="T44" s="6">
        <v>37303.042230000021</v>
      </c>
      <c r="U44" s="2"/>
      <c r="V44" s="7">
        <f t="shared" si="17"/>
        <v>1.0400918593881498E-2</v>
      </c>
      <c r="W44" s="2"/>
      <c r="X44" s="6">
        <f t="shared" si="18"/>
        <v>-1729.9422300000151</v>
      </c>
      <c r="Y44" s="2"/>
      <c r="Z44" s="7">
        <f t="shared" si="19"/>
        <v>-4.6375365830317004E-2</v>
      </c>
    </row>
    <row r="45" spans="1:26" s="24" customFormat="1" hidden="1" outlineLevel="2" x14ac:dyDescent="0.25">
      <c r="A45" s="27"/>
      <c r="B45" s="11" t="str">
        <f>CONCATENATE("          ", "6116", " - ", "EDUCATIONAL BENEFITS")</f>
        <v xml:space="preserve">          6116 - EDUCATIONAL BENEFITS</v>
      </c>
      <c r="C45" s="11"/>
      <c r="D45" s="6"/>
      <c r="E45" s="2"/>
      <c r="F45" s="7">
        <f t="shared" si="12"/>
        <v>0</v>
      </c>
      <c r="G45" s="2"/>
      <c r="H45" s="6">
        <v>0</v>
      </c>
      <c r="I45" s="2"/>
      <c r="J45" s="7">
        <f t="shared" si="13"/>
        <v>0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/>
      <c r="Q45" s="2"/>
      <c r="R45" s="7">
        <f t="shared" si="16"/>
        <v>0</v>
      </c>
      <c r="S45" s="2"/>
      <c r="T45" s="6">
        <v>8000</v>
      </c>
      <c r="U45" s="2"/>
      <c r="V45" s="7">
        <f t="shared" si="17"/>
        <v>2.2305780916746405E-3</v>
      </c>
      <c r="W45" s="2"/>
      <c r="X45" s="6">
        <f t="shared" si="18"/>
        <v>-8000</v>
      </c>
      <c r="Y45" s="2"/>
      <c r="Z45" s="7">
        <f t="shared" si="19"/>
        <v>-1</v>
      </c>
    </row>
    <row r="46" spans="1:26" s="24" customFormat="1" hidden="1" outlineLevel="2" x14ac:dyDescent="0.25">
      <c r="A46" s="27"/>
      <c r="B46" s="11" t="str">
        <f>CONCATENATE("          ", "6117", " - ", "RETIREMENT STAFF HOURLY")</f>
        <v xml:space="preserve">          6117 - RETIREMENT STAFF HOURLY</v>
      </c>
      <c r="C46" s="11"/>
      <c r="D46" s="6">
        <v>56</v>
      </c>
      <c r="E46" s="2"/>
      <c r="F46" s="7">
        <f t="shared" si="12"/>
        <v>3.9979499369426918E-5</v>
      </c>
      <c r="G46" s="2"/>
      <c r="H46" s="6"/>
      <c r="I46" s="2"/>
      <c r="J46" s="7">
        <f t="shared" si="13"/>
        <v>0</v>
      </c>
      <c r="K46" s="2"/>
      <c r="L46" s="6">
        <f t="shared" si="14"/>
        <v>56</v>
      </c>
      <c r="M46" s="2"/>
      <c r="N46" s="7">
        <f t="shared" si="15"/>
        <v>0</v>
      </c>
      <c r="O46" s="11"/>
      <c r="P46" s="6">
        <v>252</v>
      </c>
      <c r="Q46" s="2"/>
      <c r="R46" s="7">
        <f t="shared" si="16"/>
        <v>7.8040784374049834E-5</v>
      </c>
      <c r="S46" s="2"/>
      <c r="T46" s="6"/>
      <c r="U46" s="2"/>
      <c r="V46" s="7">
        <f t="shared" si="17"/>
        <v>0</v>
      </c>
      <c r="W46" s="2"/>
      <c r="X46" s="6">
        <f t="shared" si="18"/>
        <v>252</v>
      </c>
      <c r="Y46" s="2"/>
      <c r="Z46" s="7">
        <f t="shared" si="19"/>
        <v>0</v>
      </c>
    </row>
    <row r="47" spans="1:26" s="24" customFormat="1" hidden="1" outlineLevel="2" x14ac:dyDescent="0.25">
      <c r="A47" s="27"/>
      <c r="B47" s="11" t="str">
        <f>CONCATENATE("          ", "6118", " - ", "VACATION")</f>
        <v xml:space="preserve">          6118 - VACATION</v>
      </c>
      <c r="C47" s="11"/>
      <c r="D47" s="6">
        <v>10841.79</v>
      </c>
      <c r="E47" s="2"/>
      <c r="F47" s="7">
        <f t="shared" si="12"/>
        <v>7.7401667226510559E-3</v>
      </c>
      <c r="G47" s="2"/>
      <c r="H47" s="6">
        <v>7358.8971249999959</v>
      </c>
      <c r="I47" s="2"/>
      <c r="J47" s="7">
        <f t="shared" si="13"/>
        <v>4.8778868193797764E-3</v>
      </c>
      <c r="K47" s="2"/>
      <c r="L47" s="6">
        <f t="shared" si="14"/>
        <v>3482.892875000005</v>
      </c>
      <c r="M47" s="2"/>
      <c r="N47" s="7">
        <f t="shared" si="15"/>
        <v>0.47329006179034022</v>
      </c>
      <c r="O47" s="11"/>
      <c r="P47" s="6">
        <v>37807.14</v>
      </c>
      <c r="Q47" s="2"/>
      <c r="R47" s="7">
        <f t="shared" si="16"/>
        <v>1.1708328811664739E-2</v>
      </c>
      <c r="S47" s="2"/>
      <c r="T47" s="6">
        <v>26247.473049999986</v>
      </c>
      <c r="U47" s="2"/>
      <c r="V47" s="7">
        <f t="shared" si="17"/>
        <v>7.3183797933938158E-3</v>
      </c>
      <c r="W47" s="2"/>
      <c r="X47" s="6">
        <f t="shared" si="18"/>
        <v>11559.666950000013</v>
      </c>
      <c r="Y47" s="2"/>
      <c r="Z47" s="7">
        <f t="shared" si="19"/>
        <v>0.44041066078930668</v>
      </c>
    </row>
    <row r="48" spans="1:26" s="24" customFormat="1" hidden="1" outlineLevel="2" x14ac:dyDescent="0.25">
      <c r="A48" s="27"/>
      <c r="B48" s="11" t="str">
        <f>CONCATENATE("          ", "6119", " - ", "SICK LEAVE")</f>
        <v xml:space="preserve">          6119 - SICK LEAVE</v>
      </c>
      <c r="C48" s="11"/>
      <c r="D48" s="6">
        <v>8235.36</v>
      </c>
      <c r="E48" s="2"/>
      <c r="F48" s="7">
        <f t="shared" si="12"/>
        <v>5.8793851772679234E-3</v>
      </c>
      <c r="G48" s="2"/>
      <c r="H48" s="6">
        <v>11981.468954230768</v>
      </c>
      <c r="I48" s="2"/>
      <c r="J48" s="7">
        <f t="shared" si="13"/>
        <v>7.9419848512490634E-3</v>
      </c>
      <c r="K48" s="2"/>
      <c r="L48" s="6">
        <f t="shared" si="14"/>
        <v>-3746.1089542307673</v>
      </c>
      <c r="M48" s="2"/>
      <c r="N48" s="7">
        <f t="shared" si="15"/>
        <v>-0.31265857037571188</v>
      </c>
      <c r="O48" s="11"/>
      <c r="P48" s="6">
        <v>47162.96</v>
      </c>
      <c r="Q48" s="2"/>
      <c r="R48" s="7">
        <f t="shared" si="16"/>
        <v>1.4605692030960068E-2</v>
      </c>
      <c r="S48" s="2"/>
      <c r="T48" s="6">
        <v>36561.754539230773</v>
      </c>
      <c r="U48" s="2"/>
      <c r="V48" s="7">
        <f t="shared" si="17"/>
        <v>1.0194231083549251E-2</v>
      </c>
      <c r="W48" s="2"/>
      <c r="X48" s="6">
        <f t="shared" si="18"/>
        <v>10601.205460769226</v>
      </c>
      <c r="Y48" s="2"/>
      <c r="Z48" s="7">
        <f t="shared" si="19"/>
        <v>0.28995341154632309</v>
      </c>
    </row>
    <row r="49" spans="1:26" s="24" customFormat="1" hidden="1" outlineLevel="2" x14ac:dyDescent="0.25">
      <c r="A49" s="27"/>
      <c r="B49" s="11" t="str">
        <f>CONCATENATE("          ", "6156", " - ", "EMPLOYEE MEALS")</f>
        <v xml:space="preserve">          6156 - EMPLOYEE MEALS</v>
      </c>
      <c r="C49" s="11"/>
      <c r="D49" s="6">
        <v>3168.05</v>
      </c>
      <c r="E49" s="2"/>
      <c r="F49" s="7">
        <f t="shared" si="12"/>
        <v>2.2617330888805884E-3</v>
      </c>
      <c r="G49" s="2"/>
      <c r="H49" s="6">
        <v>1725</v>
      </c>
      <c r="I49" s="2"/>
      <c r="J49" s="7">
        <f t="shared" si="13"/>
        <v>1.1434260624250973E-3</v>
      </c>
      <c r="K49" s="2"/>
      <c r="L49" s="6">
        <f t="shared" si="14"/>
        <v>1443.0500000000002</v>
      </c>
      <c r="M49" s="2"/>
      <c r="N49" s="7">
        <f t="shared" si="15"/>
        <v>0.83655072463768132</v>
      </c>
      <c r="O49" s="11"/>
      <c r="P49" s="6">
        <v>12624.66</v>
      </c>
      <c r="Q49" s="2"/>
      <c r="R49" s="7">
        <f t="shared" si="16"/>
        <v>3.9096760668876664E-3</v>
      </c>
      <c r="S49" s="2"/>
      <c r="T49" s="6">
        <v>7025</v>
      </c>
      <c r="U49" s="2"/>
      <c r="V49" s="7">
        <f t="shared" si="17"/>
        <v>1.9587263867517938E-3</v>
      </c>
      <c r="W49" s="2"/>
      <c r="X49" s="6">
        <f t="shared" si="18"/>
        <v>5599.66</v>
      </c>
      <c r="Y49" s="2"/>
      <c r="Z49" s="7">
        <f t="shared" si="19"/>
        <v>0.79710462633451951</v>
      </c>
    </row>
    <row r="50" spans="1:26" s="26" customFormat="1" outlineLevel="1" collapsed="1" x14ac:dyDescent="0.25">
      <c r="A50" s="25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381241.74</v>
      </c>
      <c r="E50" s="1"/>
      <c r="F50" s="5">
        <f t="shared" ref="F50:F60" si="20">IF(D$12=0,0,D50/D$12)</f>
        <v>0.27217596257016469</v>
      </c>
      <c r="G50" s="1"/>
      <c r="H50" s="1">
        <f>SUM(OSRRefH22_1x_0)</f>
        <v>365630.21723076922</v>
      </c>
      <c r="I50" s="1"/>
      <c r="J50" s="5">
        <f t="shared" ref="J50:J60" si="21">IF(H$12=0,0,H50/H$12)</f>
        <v>0.24236006932858634</v>
      </c>
      <c r="K50" s="1"/>
      <c r="L50" s="1">
        <f t="shared" ref="L50:L60" si="22">+D50-H50</f>
        <v>15611.522769230767</v>
      </c>
      <c r="M50" s="1"/>
      <c r="N50" s="5">
        <f t="shared" ref="N50:N60" si="23">IF(H50=0,0,L50/H50)</f>
        <v>4.2697572666368221E-2</v>
      </c>
      <c r="O50" s="13"/>
      <c r="P50" s="1">
        <f>SUM(OSRRefP22_1x_0)</f>
        <v>1109017.31</v>
      </c>
      <c r="Q50" s="1"/>
      <c r="R50" s="5">
        <f t="shared" ref="R50:R60" si="24">IF(P$12=0,0,P50/P$12)</f>
        <v>0.34344674903491579</v>
      </c>
      <c r="S50" s="1"/>
      <c r="T50" s="1">
        <f>SUM(OSRRefT22_1x_0)</f>
        <v>1107482.8698307693</v>
      </c>
      <c r="U50" s="1"/>
      <c r="V50" s="5">
        <f t="shared" ref="V50:V60" si="25">IF(T$12=0,0,T50/T$12)</f>
        <v>0.30879087829368396</v>
      </c>
      <c r="W50" s="1"/>
      <c r="X50" s="1">
        <f t="shared" ref="X50:X60" si="26">+P50-T50</f>
        <v>1534.440169230802</v>
      </c>
      <c r="Y50" s="1"/>
      <c r="Z50" s="5">
        <f t="shared" ref="Z50:Z60" si="27">IF(T50=0,0,X50/T50)</f>
        <v>1.3855204545649312E-3</v>
      </c>
    </row>
    <row r="51" spans="1:26" s="24" customFormat="1" hidden="1" outlineLevel="2" x14ac:dyDescent="0.25">
      <c r="A51" s="27"/>
      <c r="B51" s="11" t="str">
        <f>CONCATENATE("          ", "6001", " - ", "ADMINISTRATIVE SALARIES")</f>
        <v xml:space="preserve">          6001 - ADMINISTRATIVE SALARIES</v>
      </c>
      <c r="C51" s="11"/>
      <c r="D51" s="6">
        <v>18561.289999999997</v>
      </c>
      <c r="E51" s="2"/>
      <c r="F51" s="7">
        <f t="shared" si="20"/>
        <v>1.3251269318763394E-2</v>
      </c>
      <c r="G51" s="2"/>
      <c r="H51" s="6">
        <v>41269.716923076929</v>
      </c>
      <c r="I51" s="2"/>
      <c r="J51" s="7">
        <f t="shared" si="21"/>
        <v>2.7355866619566526E-2</v>
      </c>
      <c r="K51" s="2"/>
      <c r="L51" s="6">
        <f t="shared" si="22"/>
        <v>-22708.426923076931</v>
      </c>
      <c r="M51" s="2"/>
      <c r="N51" s="7">
        <f t="shared" si="23"/>
        <v>-0.55024431026273846</v>
      </c>
      <c r="O51" s="11"/>
      <c r="P51" s="6">
        <v>70256.06</v>
      </c>
      <c r="Q51" s="2"/>
      <c r="R51" s="7">
        <f t="shared" si="24"/>
        <v>2.1757293767580583E-2</v>
      </c>
      <c r="S51" s="2"/>
      <c r="T51" s="6">
        <v>148570.98092307692</v>
      </c>
      <c r="U51" s="2"/>
      <c r="V51" s="7">
        <f t="shared" si="25"/>
        <v>4.1424896888203291E-2</v>
      </c>
      <c r="W51" s="2"/>
      <c r="X51" s="6">
        <f t="shared" si="26"/>
        <v>-78314.920923076919</v>
      </c>
      <c r="Y51" s="2"/>
      <c r="Z51" s="7">
        <f t="shared" si="27"/>
        <v>-0.52712124828484985</v>
      </c>
    </row>
    <row r="52" spans="1:26" s="24" customFormat="1" hidden="1" outlineLevel="2" x14ac:dyDescent="0.25">
      <c r="A52" s="27"/>
      <c r="B52" s="11" t="str">
        <f>CONCATENATE("          ", "6002", " - ", "STAFF SALARIES")</f>
        <v xml:space="preserve">          6002 - STAFF SALARIES</v>
      </c>
      <c r="C52" s="11"/>
      <c r="D52" s="6">
        <v>96870.06</v>
      </c>
      <c r="E52" s="2"/>
      <c r="F52" s="7">
        <f t="shared" si="20"/>
        <v>6.9157437547970491E-2</v>
      </c>
      <c r="G52" s="2"/>
      <c r="H52" s="6">
        <v>68659.352057692304</v>
      </c>
      <c r="I52" s="2"/>
      <c r="J52" s="7">
        <f t="shared" si="21"/>
        <v>4.5511242070716294E-2</v>
      </c>
      <c r="K52" s="2"/>
      <c r="L52" s="6">
        <f t="shared" si="22"/>
        <v>28210.707942307694</v>
      </c>
      <c r="M52" s="2"/>
      <c r="N52" s="7">
        <f t="shared" si="23"/>
        <v>0.41087932083313455</v>
      </c>
      <c r="O52" s="11"/>
      <c r="P52" s="6">
        <v>311557.06</v>
      </c>
      <c r="Q52" s="2"/>
      <c r="R52" s="7">
        <f t="shared" si="24"/>
        <v>9.6484751347908349E-2</v>
      </c>
      <c r="S52" s="2"/>
      <c r="T52" s="6">
        <v>247173.66740769235</v>
      </c>
      <c r="U52" s="2"/>
      <c r="V52" s="7">
        <f t="shared" si="25"/>
        <v>6.8917520919809086E-2</v>
      </c>
      <c r="W52" s="2"/>
      <c r="X52" s="6">
        <f t="shared" si="26"/>
        <v>64383.392592307646</v>
      </c>
      <c r="Y52" s="2"/>
      <c r="Z52" s="7">
        <f t="shared" si="27"/>
        <v>0.26047836433204113</v>
      </c>
    </row>
    <row r="53" spans="1:26" s="24" customFormat="1" hidden="1" outlineLevel="2" x14ac:dyDescent="0.25">
      <c r="A53" s="27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7"/>
      <c r="B54" s="11" t="str">
        <f>CONCATENATE("          ", "6004", " - ", "STAFF HOURLY")</f>
        <v xml:space="preserve">          6004 - STAFF HOURLY</v>
      </c>
      <c r="C54" s="11"/>
      <c r="D54" s="6">
        <v>30306.700000000004</v>
      </c>
      <c r="E54" s="2"/>
      <c r="F54" s="7">
        <f t="shared" si="20"/>
        <v>2.1636548098918053E-2</v>
      </c>
      <c r="G54" s="2"/>
      <c r="H54" s="6">
        <v>68821.420750000005</v>
      </c>
      <c r="I54" s="2"/>
      <c r="J54" s="7">
        <f t="shared" si="21"/>
        <v>4.561867022531791E-2</v>
      </c>
      <c r="K54" s="2"/>
      <c r="L54" s="6">
        <f t="shared" si="22"/>
        <v>-38514.72075</v>
      </c>
      <c r="M54" s="2"/>
      <c r="N54" s="7">
        <f t="shared" si="23"/>
        <v>-0.55963274704700128</v>
      </c>
      <c r="O54" s="11"/>
      <c r="P54" s="6">
        <v>83089.91</v>
      </c>
      <c r="Q54" s="2"/>
      <c r="R54" s="7">
        <f t="shared" si="24"/>
        <v>2.5731752976068282E-2</v>
      </c>
      <c r="S54" s="2"/>
      <c r="T54" s="6">
        <v>222625.79424999998</v>
      </c>
      <c r="U54" s="2"/>
      <c r="V54" s="7">
        <f t="shared" si="25"/>
        <v>6.2073027411964521E-2</v>
      </c>
      <c r="W54" s="2"/>
      <c r="X54" s="6">
        <f t="shared" si="26"/>
        <v>-139535.88424999997</v>
      </c>
      <c r="Y54" s="2"/>
      <c r="Z54" s="7">
        <f t="shared" si="27"/>
        <v>-0.62677321251151463</v>
      </c>
    </row>
    <row r="55" spans="1:26" s="24" customFormat="1" hidden="1" outlineLevel="2" x14ac:dyDescent="0.25">
      <c r="A55" s="27"/>
      <c r="B55" s="11" t="str">
        <f>CONCATENATE("          ", "6005", " - ", "TEMPORARY WAGES-HOURLY")</f>
        <v xml:space="preserve">          6005 - TEMPORARY WAGES-HOURLY</v>
      </c>
      <c r="C55" s="11"/>
      <c r="D55" s="6">
        <v>87358.33</v>
      </c>
      <c r="E55" s="2"/>
      <c r="F55" s="7">
        <f t="shared" si="20"/>
        <v>6.236682677052123E-2</v>
      </c>
      <c r="G55" s="2"/>
      <c r="H55" s="6">
        <v>42964.49</v>
      </c>
      <c r="I55" s="2"/>
      <c r="J55" s="7">
        <f t="shared" si="21"/>
        <v>2.8479256594088388E-2</v>
      </c>
      <c r="K55" s="2"/>
      <c r="L55" s="6">
        <f t="shared" si="22"/>
        <v>44393.840000000004</v>
      </c>
      <c r="M55" s="2"/>
      <c r="N55" s="7">
        <f t="shared" si="23"/>
        <v>1.0332681709942328</v>
      </c>
      <c r="O55" s="11"/>
      <c r="P55" s="6">
        <v>217647.87</v>
      </c>
      <c r="Q55" s="2"/>
      <c r="R55" s="7">
        <f t="shared" si="24"/>
        <v>6.7402422587862013E-2</v>
      </c>
      <c r="S55" s="2"/>
      <c r="T55" s="6">
        <v>119909.531</v>
      </c>
      <c r="U55" s="2"/>
      <c r="V55" s="7">
        <f t="shared" si="25"/>
        <v>3.3433446603947647E-2</v>
      </c>
      <c r="W55" s="2"/>
      <c r="X55" s="6">
        <f t="shared" si="26"/>
        <v>97738.338999999993</v>
      </c>
      <c r="Y55" s="2"/>
      <c r="Z55" s="7">
        <f t="shared" si="27"/>
        <v>0.81510066952059046</v>
      </c>
    </row>
    <row r="56" spans="1:26" s="24" customFormat="1" hidden="1" outlineLevel="2" x14ac:dyDescent="0.25">
      <c r="A56" s="27"/>
      <c r="B56" s="11" t="str">
        <f>CONCATENATE("          ", "6006", " - ", "TEMPORARY PART TIME")</f>
        <v xml:space="preserve">          6006 - TEMPORARY PART TIME</v>
      </c>
      <c r="C56" s="11"/>
      <c r="D56" s="6">
        <v>5917.85</v>
      </c>
      <c r="E56" s="2"/>
      <c r="F56" s="7">
        <f t="shared" si="20"/>
        <v>4.2248692918457698E-3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5917.85</v>
      </c>
      <c r="M56" s="2"/>
      <c r="N56" s="7">
        <f t="shared" si="23"/>
        <v>0</v>
      </c>
      <c r="O56" s="11"/>
      <c r="P56" s="6">
        <v>16151.969999999998</v>
      </c>
      <c r="Q56" s="2"/>
      <c r="R56" s="7">
        <f t="shared" si="24"/>
        <v>5.0020333650242915E-3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16151.969999999998</v>
      </c>
      <c r="Y56" s="2"/>
      <c r="Z56" s="7">
        <f t="shared" si="27"/>
        <v>0</v>
      </c>
    </row>
    <row r="57" spans="1:26" s="24" customFormat="1" hidden="1" outlineLevel="2" x14ac:dyDescent="0.25">
      <c r="A57" s="27"/>
      <c r="B57" s="11" t="str">
        <f>CONCATENATE("          ", "6007", " - ", "STUDENT HOURLY")</f>
        <v xml:space="preserve">          6007 - STUDENT HOURLY</v>
      </c>
      <c r="C57" s="11"/>
      <c r="D57" s="6">
        <v>133738.01</v>
      </c>
      <c r="E57" s="2"/>
      <c r="F57" s="7">
        <f t="shared" si="20"/>
        <v>9.5478190829703768E-2</v>
      </c>
      <c r="G57" s="2"/>
      <c r="H57" s="6">
        <v>892.5</v>
      </c>
      <c r="I57" s="2"/>
      <c r="J57" s="7">
        <f t="shared" si="21"/>
        <v>5.9159870186341996E-4</v>
      </c>
      <c r="K57" s="2"/>
      <c r="L57" s="6">
        <f t="shared" si="22"/>
        <v>132845.51</v>
      </c>
      <c r="M57" s="2"/>
      <c r="N57" s="7">
        <f t="shared" si="23"/>
        <v>148.84650980392158</v>
      </c>
      <c r="O57" s="11"/>
      <c r="P57" s="6">
        <v>389119.68</v>
      </c>
      <c r="Q57" s="2"/>
      <c r="R57" s="7">
        <f t="shared" si="24"/>
        <v>0.1205047819149971</v>
      </c>
      <c r="S57" s="2"/>
      <c r="T57" s="6">
        <v>60741.443749999999</v>
      </c>
      <c r="U57" s="2"/>
      <c r="V57" s="7">
        <f t="shared" si="25"/>
        <v>1.6936066710679692E-2</v>
      </c>
      <c r="W57" s="2"/>
      <c r="X57" s="6">
        <f t="shared" si="26"/>
        <v>328378.23625000002</v>
      </c>
      <c r="Y57" s="2"/>
      <c r="Z57" s="7">
        <f t="shared" si="27"/>
        <v>5.406164489628221</v>
      </c>
    </row>
    <row r="58" spans="1:26" s="24" customFormat="1" hidden="1" outlineLevel="2" x14ac:dyDescent="0.25">
      <c r="A58" s="27"/>
      <c r="B58" s="11" t="str">
        <f>CONCATENATE("          ", "6008", " - ", "STUDENT HOURLY-FICA EXEMPT")</f>
        <v xml:space="preserve">          6008 - STUDENT HOURLY-FICA EXEMPT</v>
      </c>
      <c r="C58" s="11"/>
      <c r="D58" s="6">
        <v>8489.5</v>
      </c>
      <c r="E58" s="2"/>
      <c r="F58" s="7">
        <f t="shared" si="20"/>
        <v>6.0608207124419611E-3</v>
      </c>
      <c r="G58" s="2"/>
      <c r="H58" s="6">
        <v>143022.73749999999</v>
      </c>
      <c r="I58" s="2"/>
      <c r="J58" s="7">
        <f t="shared" si="21"/>
        <v>9.4803435117033791E-2</v>
      </c>
      <c r="K58" s="2"/>
      <c r="L58" s="6">
        <f t="shared" si="22"/>
        <v>-134533.23749999999</v>
      </c>
      <c r="M58" s="2"/>
      <c r="N58" s="7">
        <f t="shared" si="23"/>
        <v>-0.94064230521388248</v>
      </c>
      <c r="O58" s="11"/>
      <c r="P58" s="6">
        <v>21194.76</v>
      </c>
      <c r="Q58" s="2"/>
      <c r="R58" s="7">
        <f t="shared" si="24"/>
        <v>6.563713075475144E-3</v>
      </c>
      <c r="S58" s="2"/>
      <c r="T58" s="6">
        <v>308461.45250000001</v>
      </c>
      <c r="U58" s="2"/>
      <c r="V58" s="7">
        <f t="shared" si="25"/>
        <v>8.600591975907973E-2</v>
      </c>
      <c r="W58" s="2"/>
      <c r="X58" s="6">
        <f t="shared" si="26"/>
        <v>-287266.6925</v>
      </c>
      <c r="Y58" s="2"/>
      <c r="Z58" s="7">
        <f t="shared" si="27"/>
        <v>-0.93128878883172606</v>
      </c>
    </row>
    <row r="59" spans="1:26" s="24" customFormat="1" hidden="1" outlineLevel="2" x14ac:dyDescent="0.25">
      <c r="A59" s="27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7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6" customFormat="1" outlineLevel="1" collapsed="1" x14ac:dyDescent="0.25">
      <c r="A61" s="25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6466.41</v>
      </c>
      <c r="E61" s="1"/>
      <c r="F61" s="5">
        <f t="shared" ref="F61:F71" si="28">IF(D$12=0,0,D61/D$12)</f>
        <v>4.6164970449545702E-3</v>
      </c>
      <c r="G61" s="1"/>
      <c r="H61" s="1">
        <f>SUM(OSRRefH22_2x_0)</f>
        <v>3505</v>
      </c>
      <c r="I61" s="1"/>
      <c r="J61" s="5">
        <f t="shared" ref="J61:J71" si="29">IF(H$12=0,0,H61/H$12)</f>
        <v>2.3233091877101252E-3</v>
      </c>
      <c r="K61" s="1"/>
      <c r="L61" s="1">
        <f t="shared" ref="L61:L71" si="30">+D61-H61</f>
        <v>2961.41</v>
      </c>
      <c r="M61" s="1"/>
      <c r="N61" s="5">
        <f t="shared" ref="N61:N71" si="31">IF(H61=0,0,L61/H61)</f>
        <v>0.84491012838801705</v>
      </c>
      <c r="O61" s="13"/>
      <c r="P61" s="1">
        <f>SUM(OSRRefP22_2x_0)</f>
        <v>13722.05</v>
      </c>
      <c r="Q61" s="1"/>
      <c r="R61" s="5">
        <f t="shared" ref="R61:R71" si="32">IF(P$12=0,0,P61/P$12)</f>
        <v>4.2495220048409934E-3</v>
      </c>
      <c r="S61" s="1"/>
      <c r="T61" s="1">
        <f>SUM(OSRRefT22_2x_0)</f>
        <v>10930</v>
      </c>
      <c r="U61" s="1"/>
      <c r="V61" s="5">
        <f t="shared" ref="V61:V71" si="33">IF(T$12=0,0,T61/T$12)</f>
        <v>3.0475273177504778E-3</v>
      </c>
      <c r="W61" s="1"/>
      <c r="X61" s="1">
        <f t="shared" ref="X61:X71" si="34">+P61-T61</f>
        <v>2792.0499999999993</v>
      </c>
      <c r="Y61" s="1"/>
      <c r="Z61" s="5">
        <f t="shared" ref="Z61:Z71" si="35">IF(T61=0,0,X61/T61)</f>
        <v>0.25544830741079588</v>
      </c>
    </row>
    <row r="62" spans="1:26" s="24" customFormat="1" hidden="1" outlineLevel="2" x14ac:dyDescent="0.25">
      <c r="A62" s="27"/>
      <c r="B62" s="11" t="str">
        <f>CONCATENATE("          ", "6362", " - ", "ADVERTISING EXPENSE")</f>
        <v xml:space="preserve">          6362 - ADVERTISING EXPENSE</v>
      </c>
      <c r="C62" s="11"/>
      <c r="D62" s="6">
        <v>6466.41</v>
      </c>
      <c r="E62" s="2"/>
      <c r="F62" s="7">
        <f t="shared" si="28"/>
        <v>4.6164970449545702E-3</v>
      </c>
      <c r="G62" s="2"/>
      <c r="H62" s="6">
        <v>3505</v>
      </c>
      <c r="I62" s="2"/>
      <c r="J62" s="7">
        <f t="shared" si="29"/>
        <v>2.3233091877101252E-3</v>
      </c>
      <c r="K62" s="2"/>
      <c r="L62" s="6">
        <f t="shared" si="30"/>
        <v>2961.41</v>
      </c>
      <c r="M62" s="2"/>
      <c r="N62" s="7">
        <f t="shared" si="31"/>
        <v>0.84491012838801705</v>
      </c>
      <c r="O62" s="11"/>
      <c r="P62" s="6">
        <v>13722.05</v>
      </c>
      <c r="Q62" s="2"/>
      <c r="R62" s="7">
        <f t="shared" si="32"/>
        <v>4.2495220048409934E-3</v>
      </c>
      <c r="S62" s="2"/>
      <c r="T62" s="6">
        <v>10930</v>
      </c>
      <c r="U62" s="2"/>
      <c r="V62" s="7">
        <f t="shared" si="33"/>
        <v>3.0475273177504778E-3</v>
      </c>
      <c r="W62" s="2"/>
      <c r="X62" s="6">
        <f t="shared" si="34"/>
        <v>2792.0499999999993</v>
      </c>
      <c r="Y62" s="2"/>
      <c r="Z62" s="7">
        <f t="shared" si="35"/>
        <v>0.25544830741079588</v>
      </c>
    </row>
    <row r="63" spans="1:26" s="26" customFormat="1" outlineLevel="1" collapsed="1" x14ac:dyDescent="0.25">
      <c r="A63" s="25"/>
      <c r="B63" s="13" t="str">
        <f>CONCATENATE("     ","Bad Debts/Over/Short                              ")</f>
        <v xml:space="preserve">     Bad Debts/Over/Short                              </v>
      </c>
      <c r="C63" s="13"/>
      <c r="D63" s="1">
        <f>SUM(OSRRefD22_3x_0)</f>
        <v>-32.799999999999997</v>
      </c>
      <c r="E63" s="1"/>
      <c r="F63" s="5">
        <f t="shared" si="28"/>
        <v>-2.3416563916378621E-5</v>
      </c>
      <c r="G63" s="1"/>
      <c r="H63" s="1">
        <f>SUM(OSRRefH22_3x_0)</f>
        <v>154</v>
      </c>
      <c r="I63" s="1"/>
      <c r="J63" s="5">
        <f t="shared" si="29"/>
        <v>1.0207977600780579E-4</v>
      </c>
      <c r="K63" s="1"/>
      <c r="L63" s="1">
        <f t="shared" si="30"/>
        <v>-186.8</v>
      </c>
      <c r="M63" s="1"/>
      <c r="N63" s="5">
        <f t="shared" si="31"/>
        <v>-1.2129870129870131</v>
      </c>
      <c r="O63" s="13"/>
      <c r="P63" s="1">
        <f>SUM(OSRRefP22_3x_0)</f>
        <v>-220.9</v>
      </c>
      <c r="Q63" s="1"/>
      <c r="R63" s="5">
        <f t="shared" si="32"/>
        <v>-6.8409560588204792E-5</v>
      </c>
      <c r="S63" s="1"/>
      <c r="T63" s="1">
        <f>SUM(OSRRefT22_3x_0)</f>
        <v>596</v>
      </c>
      <c r="U63" s="1"/>
      <c r="V63" s="5">
        <f t="shared" si="33"/>
        <v>1.6617806782976072E-4</v>
      </c>
      <c r="W63" s="1"/>
      <c r="X63" s="1">
        <f t="shared" si="34"/>
        <v>-816.9</v>
      </c>
      <c r="Y63" s="1"/>
      <c r="Z63" s="5">
        <f t="shared" si="35"/>
        <v>-1.3706375838926175</v>
      </c>
    </row>
    <row r="64" spans="1:26" s="24" customFormat="1" hidden="1" outlineLevel="2" x14ac:dyDescent="0.25">
      <c r="A64" s="27"/>
      <c r="B64" s="11" t="str">
        <f>CONCATENATE("          ", "6272", " - ", "CASH (OVER/SHORT)")</f>
        <v xml:space="preserve">          6272 - CASH (OVER/SHORT)</v>
      </c>
      <c r="C64" s="11"/>
      <c r="D64" s="6">
        <v>-32.799999999999997</v>
      </c>
      <c r="E64" s="2"/>
      <c r="F64" s="7">
        <f t="shared" si="28"/>
        <v>-2.3416563916378621E-5</v>
      </c>
      <c r="G64" s="2"/>
      <c r="H64" s="6">
        <v>154</v>
      </c>
      <c r="I64" s="2"/>
      <c r="J64" s="7">
        <f t="shared" si="29"/>
        <v>1.0207977600780579E-4</v>
      </c>
      <c r="K64" s="2"/>
      <c r="L64" s="6">
        <f t="shared" si="30"/>
        <v>-186.8</v>
      </c>
      <c r="M64" s="2"/>
      <c r="N64" s="7">
        <f t="shared" si="31"/>
        <v>-1.2129870129870131</v>
      </c>
      <c r="O64" s="11"/>
      <c r="P64" s="6">
        <v>-220.9</v>
      </c>
      <c r="Q64" s="2"/>
      <c r="R64" s="7">
        <f t="shared" si="32"/>
        <v>-6.8409560588204792E-5</v>
      </c>
      <c r="S64" s="2"/>
      <c r="T64" s="6">
        <v>596</v>
      </c>
      <c r="U64" s="2"/>
      <c r="V64" s="7">
        <f t="shared" si="33"/>
        <v>1.6617806782976072E-4</v>
      </c>
      <c r="W64" s="2"/>
      <c r="X64" s="6">
        <f t="shared" si="34"/>
        <v>-816.9</v>
      </c>
      <c r="Y64" s="2"/>
      <c r="Z64" s="7">
        <f t="shared" si="35"/>
        <v>-1.3706375838926175</v>
      </c>
    </row>
    <row r="65" spans="1:26" s="26" customFormat="1" outlineLevel="1" collapsed="1" x14ac:dyDescent="0.25">
      <c r="A65" s="25"/>
      <c r="B65" s="13" t="str">
        <f>CONCATENATE("     ","Bank/card Fees                                    ")</f>
        <v xml:space="preserve">     Bank/card Fees                                    </v>
      </c>
      <c r="C65" s="13"/>
      <c r="D65" s="1">
        <f>SUM(OSRRefD22_4x_0)</f>
        <v>46660.6</v>
      </c>
      <c r="E65" s="1"/>
      <c r="F65" s="5">
        <f t="shared" si="28"/>
        <v>3.3311918362090742E-2</v>
      </c>
      <c r="G65" s="1"/>
      <c r="H65" s="1">
        <f>SUM(OSRRefH22_4x_0)</f>
        <v>32835</v>
      </c>
      <c r="I65" s="1"/>
      <c r="J65" s="5">
        <f t="shared" si="29"/>
        <v>2.1764866527378593E-2</v>
      </c>
      <c r="K65" s="1"/>
      <c r="L65" s="1">
        <f t="shared" si="30"/>
        <v>13825.599999999999</v>
      </c>
      <c r="M65" s="1"/>
      <c r="N65" s="5">
        <f t="shared" si="31"/>
        <v>0.42106289020861881</v>
      </c>
      <c r="O65" s="13"/>
      <c r="P65" s="1">
        <f>SUM(OSRRefP22_4x_0)</f>
        <v>100665.82</v>
      </c>
      <c r="Q65" s="1"/>
      <c r="R65" s="5">
        <f t="shared" si="32"/>
        <v>3.1174760128797274E-2</v>
      </c>
      <c r="S65" s="1"/>
      <c r="T65" s="1">
        <f>SUM(OSRRefT22_4x_0)</f>
        <v>78050</v>
      </c>
      <c r="U65" s="1"/>
      <c r="V65" s="5">
        <f t="shared" si="33"/>
        <v>2.1762077506900714E-2</v>
      </c>
      <c r="W65" s="1"/>
      <c r="X65" s="1">
        <f t="shared" si="34"/>
        <v>22615.820000000007</v>
      </c>
      <c r="Y65" s="1"/>
      <c r="Z65" s="5">
        <f t="shared" si="35"/>
        <v>0.28976066623959007</v>
      </c>
    </row>
    <row r="66" spans="1:26" s="24" customFormat="1" hidden="1" outlineLevel="2" x14ac:dyDescent="0.25">
      <c r="A66" s="27"/>
      <c r="B66" s="11" t="str">
        <f>CONCATENATE("          ", "6381", " - ", "BANK/CREDIT CARD FEES")</f>
        <v xml:space="preserve">          6381 - BANK/CREDIT CARD FEES</v>
      </c>
      <c r="C66" s="11"/>
      <c r="D66" s="6">
        <v>46660.6</v>
      </c>
      <c r="E66" s="2"/>
      <c r="F66" s="7">
        <f t="shared" si="28"/>
        <v>3.3311918362090742E-2</v>
      </c>
      <c r="G66" s="2"/>
      <c r="H66" s="6">
        <v>32835</v>
      </c>
      <c r="I66" s="2"/>
      <c r="J66" s="7">
        <f t="shared" si="29"/>
        <v>2.1764866527378593E-2</v>
      </c>
      <c r="K66" s="2"/>
      <c r="L66" s="6">
        <f t="shared" si="30"/>
        <v>13825.599999999999</v>
      </c>
      <c r="M66" s="2"/>
      <c r="N66" s="7">
        <f t="shared" si="31"/>
        <v>0.42106289020861881</v>
      </c>
      <c r="O66" s="11"/>
      <c r="P66" s="6">
        <v>100665.82</v>
      </c>
      <c r="Q66" s="2"/>
      <c r="R66" s="7">
        <f t="shared" si="32"/>
        <v>3.1174760128797274E-2</v>
      </c>
      <c r="S66" s="2"/>
      <c r="T66" s="6">
        <v>78050</v>
      </c>
      <c r="U66" s="2"/>
      <c r="V66" s="7">
        <f t="shared" si="33"/>
        <v>2.1762077506900714E-2</v>
      </c>
      <c r="W66" s="2"/>
      <c r="X66" s="6">
        <f t="shared" si="34"/>
        <v>22615.820000000007</v>
      </c>
      <c r="Y66" s="2"/>
      <c r="Z66" s="7">
        <f t="shared" si="35"/>
        <v>0.28976066623959007</v>
      </c>
    </row>
    <row r="67" spans="1:26" s="26" customFormat="1" outlineLevel="1" collapsed="1" x14ac:dyDescent="0.25">
      <c r="A67" s="25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SUM(OSRRefD22_5x_0)</f>
        <v>47974.53</v>
      </c>
      <c r="E67" s="1"/>
      <c r="F67" s="5">
        <f t="shared" si="28"/>
        <v>3.4249958783634869E-2</v>
      </c>
      <c r="G67" s="1"/>
      <c r="H67" s="1">
        <f>SUM(OSRRefH22_5x_0)</f>
        <v>53322</v>
      </c>
      <c r="I67" s="1"/>
      <c r="J67" s="5">
        <f t="shared" si="29"/>
        <v>3.5344791014858573E-2</v>
      </c>
      <c r="K67" s="1"/>
      <c r="L67" s="1">
        <f t="shared" si="30"/>
        <v>-5347.4700000000012</v>
      </c>
      <c r="M67" s="1"/>
      <c r="N67" s="5">
        <f t="shared" si="31"/>
        <v>-0.10028637335433782</v>
      </c>
      <c r="O67" s="13"/>
      <c r="P67" s="1">
        <f>SUM(OSRRefP22_5x_0)</f>
        <v>191898.12</v>
      </c>
      <c r="Q67" s="1"/>
      <c r="R67" s="5">
        <f t="shared" si="32"/>
        <v>5.9428094463117219E-2</v>
      </c>
      <c r="S67" s="1"/>
      <c r="T67" s="1">
        <f>SUM(OSRRefT22_5x_0)</f>
        <v>197732</v>
      </c>
      <c r="U67" s="1"/>
      <c r="V67" s="5">
        <f t="shared" si="33"/>
        <v>5.5132083402876259E-2</v>
      </c>
      <c r="W67" s="1"/>
      <c r="X67" s="1">
        <f t="shared" si="34"/>
        <v>-5833.8800000000047</v>
      </c>
      <c r="Y67" s="1"/>
      <c r="Z67" s="5">
        <f t="shared" si="35"/>
        <v>-2.9503975077377485E-2</v>
      </c>
    </row>
    <row r="68" spans="1:26" s="24" customFormat="1" hidden="1" outlineLevel="2" x14ac:dyDescent="0.25">
      <c r="A68" s="27"/>
      <c r="B68" s="11" t="str">
        <f>CONCATENATE("          ", "6321", " - ", "BUILDING DEPRECIATION")</f>
        <v xml:space="preserve">          6321 - BUILDING DEPRECIATION</v>
      </c>
      <c r="C68" s="11"/>
      <c r="D68" s="6">
        <v>29123.47</v>
      </c>
      <c r="E68" s="2"/>
      <c r="F68" s="7">
        <f t="shared" si="28"/>
        <v>2.0791816973223638E-2</v>
      </c>
      <c r="G68" s="2"/>
      <c r="H68" s="6">
        <v>28118</v>
      </c>
      <c r="I68" s="2"/>
      <c r="J68" s="7">
        <f t="shared" si="29"/>
        <v>1.8638176245373266E-2</v>
      </c>
      <c r="K68" s="2"/>
      <c r="L68" s="6">
        <f t="shared" si="30"/>
        <v>1005.4700000000012</v>
      </c>
      <c r="M68" s="2"/>
      <c r="N68" s="7">
        <f t="shared" si="31"/>
        <v>3.5758944448396085E-2</v>
      </c>
      <c r="O68" s="11"/>
      <c r="P68" s="6">
        <v>116493.88</v>
      </c>
      <c r="Q68" s="2"/>
      <c r="R68" s="7">
        <f t="shared" si="32"/>
        <v>3.6076483214192205E-2</v>
      </c>
      <c r="S68" s="2"/>
      <c r="T68" s="6">
        <v>112718</v>
      </c>
      <c r="U68" s="2"/>
      <c r="V68" s="7">
        <f t="shared" si="33"/>
        <v>3.1428287667172768E-2</v>
      </c>
      <c r="W68" s="2"/>
      <c r="X68" s="6">
        <f t="shared" si="34"/>
        <v>3775.8800000000047</v>
      </c>
      <c r="Y68" s="2"/>
      <c r="Z68" s="7">
        <f t="shared" si="35"/>
        <v>3.3498465196330707E-2</v>
      </c>
    </row>
    <row r="69" spans="1:26" s="24" customFormat="1" hidden="1" outlineLevel="2" x14ac:dyDescent="0.25">
      <c r="A69" s="27"/>
      <c r="B69" s="11" t="str">
        <f>CONCATENATE("          ", "6322", " - ", "EQUIPMENT DEPRECIATION EXPENSE")</f>
        <v xml:space="preserve">          6322 - EQUIPMENT DEPRECIATION EXPENSE</v>
      </c>
      <c r="C69" s="11"/>
      <c r="D69" s="6">
        <v>18426.809999999998</v>
      </c>
      <c r="E69" s="2"/>
      <c r="F69" s="7">
        <f t="shared" si="28"/>
        <v>1.3155261406706241E-2</v>
      </c>
      <c r="G69" s="2"/>
      <c r="H69" s="6">
        <v>18476</v>
      </c>
      <c r="I69" s="2"/>
      <c r="J69" s="7">
        <f t="shared" si="29"/>
        <v>1.2246921698183245E-2</v>
      </c>
      <c r="K69" s="2"/>
      <c r="L69" s="6">
        <f t="shared" si="30"/>
        <v>-49.190000000002328</v>
      </c>
      <c r="M69" s="2"/>
      <c r="N69" s="7">
        <f t="shared" si="31"/>
        <v>-2.6623728079672184E-3</v>
      </c>
      <c r="O69" s="11"/>
      <c r="P69" s="6">
        <v>73707.239999999991</v>
      </c>
      <c r="Q69" s="2"/>
      <c r="R69" s="7">
        <f t="shared" si="32"/>
        <v>2.2826074697009285E-2</v>
      </c>
      <c r="S69" s="2"/>
      <c r="T69" s="6">
        <v>73904</v>
      </c>
      <c r="U69" s="2"/>
      <c r="V69" s="7">
        <f t="shared" si="33"/>
        <v>2.0606080410890331E-2</v>
      </c>
      <c r="W69" s="2"/>
      <c r="X69" s="6">
        <f t="shared" si="34"/>
        <v>-196.76000000000931</v>
      </c>
      <c r="Y69" s="2"/>
      <c r="Z69" s="7">
        <f t="shared" si="35"/>
        <v>-2.6623728079672184E-3</v>
      </c>
    </row>
    <row r="70" spans="1:26" s="24" customFormat="1" hidden="1" outlineLevel="2" x14ac:dyDescent="0.25">
      <c r="A70" s="27"/>
      <c r="B70" s="11" t="str">
        <f>CONCATENATE("          ", "6324", " - ", "FURNITURE + FIXT DEPRECIATION")</f>
        <v xml:space="preserve">          6324 - FURNITURE + FIXT DEPRECIATION</v>
      </c>
      <c r="C70" s="11"/>
      <c r="D70" s="6"/>
      <c r="E70" s="2"/>
      <c r="F70" s="7">
        <f t="shared" si="28"/>
        <v>0</v>
      </c>
      <c r="G70" s="2"/>
      <c r="H70" s="6">
        <v>4554</v>
      </c>
      <c r="I70" s="2"/>
      <c r="J70" s="7">
        <f t="shared" si="29"/>
        <v>3.018644804802257E-3</v>
      </c>
      <c r="K70" s="2"/>
      <c r="L70" s="6">
        <f t="shared" si="30"/>
        <v>-4554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7664</v>
      </c>
      <c r="U70" s="2"/>
      <c r="V70" s="7">
        <f t="shared" si="33"/>
        <v>2.1368938118243056E-3</v>
      </c>
      <c r="W70" s="2"/>
      <c r="X70" s="6">
        <f t="shared" si="34"/>
        <v>-7664</v>
      </c>
      <c r="Y70" s="2"/>
      <c r="Z70" s="7">
        <f t="shared" si="35"/>
        <v>-1</v>
      </c>
    </row>
    <row r="71" spans="1:26" s="24" customFormat="1" hidden="1" outlineLevel="2" x14ac:dyDescent="0.25">
      <c r="A71" s="27"/>
      <c r="B71" s="11" t="str">
        <f>CONCATENATE("          ", "6326", " - ", "VEHICLES DEPRECIATION EXPENSE")</f>
        <v xml:space="preserve">          6326 - VEHICLES DEPRECIATION EXPENSE</v>
      </c>
      <c r="C71" s="11"/>
      <c r="D71" s="6">
        <v>424.25</v>
      </c>
      <c r="E71" s="2"/>
      <c r="F71" s="7">
        <f t="shared" si="28"/>
        <v>3.0288040370498876E-4</v>
      </c>
      <c r="G71" s="2"/>
      <c r="H71" s="6">
        <v>2174</v>
      </c>
      <c r="I71" s="2"/>
      <c r="J71" s="7">
        <f t="shared" si="29"/>
        <v>1.4410482664998039E-3</v>
      </c>
      <c r="K71" s="2"/>
      <c r="L71" s="6">
        <f t="shared" si="30"/>
        <v>-1749.75</v>
      </c>
      <c r="M71" s="2"/>
      <c r="N71" s="7">
        <f t="shared" si="31"/>
        <v>-0.80485280588776453</v>
      </c>
      <c r="O71" s="11"/>
      <c r="P71" s="6">
        <v>1697</v>
      </c>
      <c r="Q71" s="2"/>
      <c r="R71" s="7">
        <f t="shared" si="32"/>
        <v>5.2553655191572444E-4</v>
      </c>
      <c r="S71" s="2"/>
      <c r="T71" s="6">
        <v>3446</v>
      </c>
      <c r="U71" s="2"/>
      <c r="V71" s="7">
        <f t="shared" si="33"/>
        <v>9.6082151298885143E-4</v>
      </c>
      <c r="W71" s="2"/>
      <c r="X71" s="6">
        <f t="shared" si="34"/>
        <v>-1749</v>
      </c>
      <c r="Y71" s="2"/>
      <c r="Z71" s="7">
        <f t="shared" si="35"/>
        <v>-0.50754497968659318</v>
      </c>
    </row>
    <row r="72" spans="1:26" s="26" customFormat="1" outlineLevel="1" collapsed="1" x14ac:dyDescent="0.25">
      <c r="A72" s="25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SUM(OSRRefD22_6x_0)</f>
        <v>17.260000000000002</v>
      </c>
      <c r="E72" s="1"/>
      <c r="F72" s="5">
        <f t="shared" ref="F72:F84" si="36">IF(D$12=0,0,D72/D$12)</f>
        <v>1.2322252841362656E-5</v>
      </c>
      <c r="G72" s="1"/>
      <c r="H72" s="1">
        <f>SUM(OSRRefH22_6x_0)</f>
        <v>0</v>
      </c>
      <c r="I72" s="1"/>
      <c r="J72" s="5">
        <f t="shared" ref="J72:J84" si="37">IF(H$12=0,0,H72/H$12)</f>
        <v>0</v>
      </c>
      <c r="K72" s="1"/>
      <c r="L72" s="1">
        <f t="shared" ref="L72:L84" si="38">+D72-H72</f>
        <v>17.260000000000002</v>
      </c>
      <c r="M72" s="1"/>
      <c r="N72" s="5">
        <f t="shared" ref="N72:N84" si="39">IF(H72=0,0,L72/H72)</f>
        <v>0</v>
      </c>
      <c r="O72" s="13"/>
      <c r="P72" s="1">
        <f>SUM(OSRRefP22_6x_0)</f>
        <v>49.16</v>
      </c>
      <c r="Q72" s="1"/>
      <c r="R72" s="5">
        <f t="shared" ref="R72:R84" si="40">IF(P$12=0,0,P72/P$12)</f>
        <v>1.5224146665985275E-5</v>
      </c>
      <c r="S72" s="1"/>
      <c r="T72" s="1">
        <f>SUM(OSRRefT22_6x_0)</f>
        <v>0</v>
      </c>
      <c r="U72" s="1"/>
      <c r="V72" s="5">
        <f t="shared" ref="V72:V84" si="41">IF(T$12=0,0,T72/T$12)</f>
        <v>0</v>
      </c>
      <c r="W72" s="1"/>
      <c r="X72" s="1">
        <f t="shared" ref="X72:X84" si="42">+P72-T72</f>
        <v>49.16</v>
      </c>
      <c r="Y72" s="1"/>
      <c r="Z72" s="5">
        <f t="shared" ref="Z72:Z84" si="43">IF(T72=0,0,X72/T72)</f>
        <v>0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>
        <v>17.260000000000002</v>
      </c>
      <c r="E73" s="2"/>
      <c r="F73" s="7">
        <f t="shared" si="36"/>
        <v>1.2322252841362656E-5</v>
      </c>
      <c r="G73" s="2"/>
      <c r="H73" s="6"/>
      <c r="I73" s="2"/>
      <c r="J73" s="7">
        <f t="shared" si="37"/>
        <v>0</v>
      </c>
      <c r="K73" s="2"/>
      <c r="L73" s="6">
        <f t="shared" si="38"/>
        <v>17.260000000000002</v>
      </c>
      <c r="M73" s="2"/>
      <c r="N73" s="7">
        <f t="shared" si="39"/>
        <v>0</v>
      </c>
      <c r="O73" s="11"/>
      <c r="P73" s="6">
        <v>49.16</v>
      </c>
      <c r="Q73" s="2"/>
      <c r="R73" s="7">
        <f t="shared" si="40"/>
        <v>1.5224146665985275E-5</v>
      </c>
      <c r="S73" s="2"/>
      <c r="T73" s="6"/>
      <c r="U73" s="2"/>
      <c r="V73" s="7">
        <f t="shared" si="41"/>
        <v>0</v>
      </c>
      <c r="W73" s="2"/>
      <c r="X73" s="6">
        <f t="shared" si="42"/>
        <v>49.16</v>
      </c>
      <c r="Y73" s="2"/>
      <c r="Z73" s="7">
        <f t="shared" si="43"/>
        <v>0</v>
      </c>
    </row>
    <row r="74" spans="1:26" s="26" customFormat="1" outlineLevel="1" collapsed="1" x14ac:dyDescent="0.25">
      <c r="A74" s="25"/>
      <c r="B74" s="13" t="str">
        <f>CONCATENATE("     ","Donations                                         ")</f>
        <v xml:space="preserve">     Donations                                         </v>
      </c>
      <c r="C74" s="13"/>
      <c r="D74" s="1">
        <f>SUM(OSRRefD22_7x_0)</f>
        <v>163.68</v>
      </c>
      <c r="E74" s="1"/>
      <c r="F74" s="5">
        <f t="shared" si="36"/>
        <v>1.1685436529978211E-4</v>
      </c>
      <c r="G74" s="1"/>
      <c r="H74" s="1">
        <f>SUM(OSRRefH22_7x_0)</f>
        <v>0</v>
      </c>
      <c r="I74" s="1"/>
      <c r="J74" s="5">
        <f t="shared" si="37"/>
        <v>0</v>
      </c>
      <c r="K74" s="1"/>
      <c r="L74" s="1">
        <f t="shared" si="38"/>
        <v>163.68</v>
      </c>
      <c r="M74" s="1"/>
      <c r="N74" s="5">
        <f t="shared" si="39"/>
        <v>0</v>
      </c>
      <c r="O74" s="13"/>
      <c r="P74" s="1">
        <f>SUM(OSRRefP22_7x_0)</f>
        <v>163.68</v>
      </c>
      <c r="Q74" s="1"/>
      <c r="R74" s="5">
        <f t="shared" si="40"/>
        <v>5.0689347564859037E-5</v>
      </c>
      <c r="S74" s="1"/>
      <c r="T74" s="1">
        <f>SUM(OSRRefT22_7x_0)</f>
        <v>800</v>
      </c>
      <c r="U74" s="1"/>
      <c r="V74" s="5">
        <f t="shared" si="41"/>
        <v>2.2305780916746407E-4</v>
      </c>
      <c r="W74" s="1"/>
      <c r="X74" s="1">
        <f t="shared" si="42"/>
        <v>-636.31999999999994</v>
      </c>
      <c r="Y74" s="1"/>
      <c r="Z74" s="5">
        <f t="shared" si="43"/>
        <v>-0.79539999999999988</v>
      </c>
    </row>
    <row r="75" spans="1:26" s="24" customFormat="1" hidden="1" outlineLevel="2" x14ac:dyDescent="0.25">
      <c r="A75" s="27"/>
      <c r="B75" s="11" t="str">
        <f>CONCATENATE("          ", "6399", " - ", "DONATION-ON CAMPUS")</f>
        <v xml:space="preserve">          6399 - DONATION-ON CAMPUS</v>
      </c>
      <c r="C75" s="11"/>
      <c r="D75" s="6">
        <v>163.68</v>
      </c>
      <c r="E75" s="2"/>
      <c r="F75" s="7">
        <f t="shared" si="36"/>
        <v>1.1685436529978211E-4</v>
      </c>
      <c r="G75" s="2"/>
      <c r="H75" s="6"/>
      <c r="I75" s="2"/>
      <c r="J75" s="7">
        <f t="shared" si="37"/>
        <v>0</v>
      </c>
      <c r="K75" s="2"/>
      <c r="L75" s="6">
        <f t="shared" si="38"/>
        <v>163.68</v>
      </c>
      <c r="M75" s="2"/>
      <c r="N75" s="7">
        <f t="shared" si="39"/>
        <v>0</v>
      </c>
      <c r="O75" s="11"/>
      <c r="P75" s="6">
        <v>163.68</v>
      </c>
      <c r="Q75" s="2"/>
      <c r="R75" s="7">
        <f t="shared" si="40"/>
        <v>5.0689347564859037E-5</v>
      </c>
      <c r="S75" s="2"/>
      <c r="T75" s="6">
        <v>800</v>
      </c>
      <c r="U75" s="2"/>
      <c r="V75" s="7">
        <f t="shared" si="41"/>
        <v>2.2305780916746407E-4</v>
      </c>
      <c r="W75" s="2"/>
      <c r="X75" s="6">
        <f t="shared" si="42"/>
        <v>-636.31999999999994</v>
      </c>
      <c r="Y75" s="2"/>
      <c r="Z75" s="7">
        <f t="shared" si="43"/>
        <v>-0.79539999999999988</v>
      </c>
    </row>
    <row r="76" spans="1:26" s="26" customFormat="1" outlineLevel="1" collapsed="1" x14ac:dyDescent="0.25">
      <c r="A76" s="25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SUM(OSRRefD22_8x_0)</f>
        <v>66.56</v>
      </c>
      <c r="E76" s="1"/>
      <c r="F76" s="5">
        <f t="shared" si="36"/>
        <v>4.7518490679090283E-5</v>
      </c>
      <c r="G76" s="1"/>
      <c r="H76" s="1">
        <f>SUM(OSRRefH22_8x_0)</f>
        <v>250</v>
      </c>
      <c r="I76" s="1"/>
      <c r="J76" s="5">
        <f t="shared" si="37"/>
        <v>1.6571392209059383E-4</v>
      </c>
      <c r="K76" s="1"/>
      <c r="L76" s="1">
        <f t="shared" si="38"/>
        <v>-183.44</v>
      </c>
      <c r="M76" s="1"/>
      <c r="N76" s="5">
        <f t="shared" si="39"/>
        <v>-0.73375999999999997</v>
      </c>
      <c r="O76" s="13"/>
      <c r="P76" s="1">
        <f>SUM(OSRRefP22_8x_0)</f>
        <v>486.12</v>
      </c>
      <c r="Q76" s="1"/>
      <c r="R76" s="5">
        <f t="shared" si="40"/>
        <v>1.5054438928536947E-4</v>
      </c>
      <c r="S76" s="1"/>
      <c r="T76" s="1">
        <f>SUM(OSRRefT22_8x_0)</f>
        <v>1265</v>
      </c>
      <c r="U76" s="1"/>
      <c r="V76" s="5">
        <f t="shared" si="41"/>
        <v>3.5271016074605254E-4</v>
      </c>
      <c r="W76" s="1"/>
      <c r="X76" s="1">
        <f t="shared" si="42"/>
        <v>-778.88</v>
      </c>
      <c r="Y76" s="1"/>
      <c r="Z76" s="5">
        <f t="shared" si="43"/>
        <v>-0.61571541501976279</v>
      </c>
    </row>
    <row r="77" spans="1:26" s="24" customFormat="1" hidden="1" outlineLevel="2" x14ac:dyDescent="0.25">
      <c r="A77" s="27"/>
      <c r="B77" s="11" t="str">
        <f>CONCATENATE("          ", "6277", " - ", "EMPLOYEE APPRECIATION")</f>
        <v xml:space="preserve">          6277 - EMPLOYEE APPRECIATION</v>
      </c>
      <c r="C77" s="11"/>
      <c r="D77" s="6">
        <v>66.56</v>
      </c>
      <c r="E77" s="2"/>
      <c r="F77" s="7">
        <f t="shared" si="36"/>
        <v>4.7518490679090283E-5</v>
      </c>
      <c r="G77" s="2"/>
      <c r="H77" s="6">
        <v>250</v>
      </c>
      <c r="I77" s="2"/>
      <c r="J77" s="7">
        <f t="shared" si="37"/>
        <v>1.6571392209059383E-4</v>
      </c>
      <c r="K77" s="2"/>
      <c r="L77" s="6">
        <f t="shared" si="38"/>
        <v>-183.44</v>
      </c>
      <c r="M77" s="2"/>
      <c r="N77" s="7">
        <f t="shared" si="39"/>
        <v>-0.73375999999999997</v>
      </c>
      <c r="O77" s="11"/>
      <c r="P77" s="6">
        <v>486.12</v>
      </c>
      <c r="Q77" s="2"/>
      <c r="R77" s="7">
        <f t="shared" si="40"/>
        <v>1.5054438928536947E-4</v>
      </c>
      <c r="S77" s="2"/>
      <c r="T77" s="6">
        <v>1265</v>
      </c>
      <c r="U77" s="2"/>
      <c r="V77" s="7">
        <f t="shared" si="41"/>
        <v>3.5271016074605254E-4</v>
      </c>
      <c r="W77" s="2"/>
      <c r="X77" s="6">
        <f t="shared" si="42"/>
        <v>-778.88</v>
      </c>
      <c r="Y77" s="2"/>
      <c r="Z77" s="7">
        <f t="shared" si="43"/>
        <v>-0.61571541501976279</v>
      </c>
    </row>
    <row r="78" spans="1:26" s="26" customFormat="1" outlineLevel="1" collapsed="1" x14ac:dyDescent="0.25">
      <c r="A78" s="25"/>
      <c r="B78" s="13" t="str">
        <f>CONCATENATE("     ","Equipment Rental                                  ")</f>
        <v xml:space="preserve">     Equipment Rental                                  </v>
      </c>
      <c r="C78" s="13"/>
      <c r="D78" s="1">
        <f>SUM(OSRRefD22_9x_0)</f>
        <v>3969.08</v>
      </c>
      <c r="E78" s="1"/>
      <c r="F78" s="5">
        <f t="shared" si="36"/>
        <v>2.8336041313786605E-3</v>
      </c>
      <c r="G78" s="1"/>
      <c r="H78" s="1">
        <f>SUM(OSRRefH22_9x_0)</f>
        <v>1475</v>
      </c>
      <c r="I78" s="1"/>
      <c r="J78" s="5">
        <f t="shared" si="37"/>
        <v>9.7771214033450351E-4</v>
      </c>
      <c r="K78" s="1"/>
      <c r="L78" s="1">
        <f t="shared" si="38"/>
        <v>2494.08</v>
      </c>
      <c r="M78" s="1"/>
      <c r="N78" s="5">
        <f t="shared" si="39"/>
        <v>1.6909016949152542</v>
      </c>
      <c r="O78" s="13"/>
      <c r="P78" s="1">
        <f>SUM(OSRRefP22_9x_0)</f>
        <v>10687.1</v>
      </c>
      <c r="Q78" s="1"/>
      <c r="R78" s="5">
        <f t="shared" si="40"/>
        <v>3.3096415344599523E-3</v>
      </c>
      <c r="S78" s="1"/>
      <c r="T78" s="1">
        <f>SUM(OSRRefT22_9x_0)</f>
        <v>6410</v>
      </c>
      <c r="U78" s="1"/>
      <c r="V78" s="5">
        <f t="shared" si="41"/>
        <v>1.7872506959543059E-3</v>
      </c>
      <c r="W78" s="1"/>
      <c r="X78" s="1">
        <f t="shared" si="42"/>
        <v>4277.1000000000004</v>
      </c>
      <c r="Y78" s="1"/>
      <c r="Z78" s="5">
        <f t="shared" si="43"/>
        <v>0.66725429017160687</v>
      </c>
    </row>
    <row r="79" spans="1:26" s="24" customFormat="1" hidden="1" outlineLevel="2" x14ac:dyDescent="0.25">
      <c r="A79" s="27"/>
      <c r="B79" s="11" t="str">
        <f>CONCATENATE("          ", "6351", " - ", "EQUIPMENT RENTAL")</f>
        <v xml:space="preserve">          6351 - EQUIPMENT RENTAL</v>
      </c>
      <c r="C79" s="11"/>
      <c r="D79" s="6">
        <v>3969.08</v>
      </c>
      <c r="E79" s="2"/>
      <c r="F79" s="7">
        <f t="shared" si="36"/>
        <v>2.8336041313786605E-3</v>
      </c>
      <c r="G79" s="2"/>
      <c r="H79" s="6">
        <v>1475</v>
      </c>
      <c r="I79" s="2"/>
      <c r="J79" s="7">
        <f t="shared" si="37"/>
        <v>9.7771214033450351E-4</v>
      </c>
      <c r="K79" s="2"/>
      <c r="L79" s="6">
        <f t="shared" si="38"/>
        <v>2494.08</v>
      </c>
      <c r="M79" s="2"/>
      <c r="N79" s="7">
        <f t="shared" si="39"/>
        <v>1.6909016949152542</v>
      </c>
      <c r="O79" s="11"/>
      <c r="P79" s="6">
        <v>10687.1</v>
      </c>
      <c r="Q79" s="2"/>
      <c r="R79" s="7">
        <f t="shared" si="40"/>
        <v>3.3096415344599523E-3</v>
      </c>
      <c r="S79" s="2"/>
      <c r="T79" s="6">
        <v>6410</v>
      </c>
      <c r="U79" s="2"/>
      <c r="V79" s="7">
        <f t="shared" si="41"/>
        <v>1.7872506959543059E-3</v>
      </c>
      <c r="W79" s="2"/>
      <c r="X79" s="6">
        <f t="shared" si="42"/>
        <v>4277.1000000000004</v>
      </c>
      <c r="Y79" s="2"/>
      <c r="Z79" s="7">
        <f t="shared" si="43"/>
        <v>0.66725429017160687</v>
      </c>
    </row>
    <row r="80" spans="1:26" s="26" customFormat="1" outlineLevel="1" collapsed="1" x14ac:dyDescent="0.25">
      <c r="A80" s="25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SUM(OSRRefD22_10x_0)</f>
        <v>25.76</v>
      </c>
      <c r="E80" s="1"/>
      <c r="F80" s="5">
        <f t="shared" si="36"/>
        <v>1.8390569709936384E-5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25.76</v>
      </c>
      <c r="M80" s="1"/>
      <c r="N80" s="5">
        <f t="shared" si="39"/>
        <v>0</v>
      </c>
      <c r="O80" s="13"/>
      <c r="P80" s="1">
        <f>SUM(OSRRefP22_10x_0)</f>
        <v>171.28</v>
      </c>
      <c r="Q80" s="1"/>
      <c r="R80" s="5">
        <f t="shared" si="40"/>
        <v>5.3042958522171646E-5</v>
      </c>
      <c r="S80" s="1"/>
      <c r="T80" s="1">
        <f>SUM(OSRRefT22_10x_0)</f>
        <v>0</v>
      </c>
      <c r="U80" s="1"/>
      <c r="V80" s="5">
        <f t="shared" si="41"/>
        <v>0</v>
      </c>
      <c r="W80" s="1"/>
      <c r="X80" s="1">
        <f t="shared" si="42"/>
        <v>171.28</v>
      </c>
      <c r="Y80" s="1"/>
      <c r="Z80" s="5">
        <f t="shared" si="43"/>
        <v>0</v>
      </c>
    </row>
    <row r="81" spans="1:26" s="24" customFormat="1" hidden="1" outlineLevel="2" x14ac:dyDescent="0.25">
      <c r="A81" s="27"/>
      <c r="B81" s="11" t="str">
        <f>CONCATENATE("          ", "6305", " - ", "FREIGHT OUT")</f>
        <v xml:space="preserve">          6305 - FREIGHT OUT</v>
      </c>
      <c r="C81" s="11"/>
      <c r="D81" s="6">
        <v>25.76</v>
      </c>
      <c r="E81" s="2"/>
      <c r="F81" s="7">
        <f t="shared" si="36"/>
        <v>1.8390569709936384E-5</v>
      </c>
      <c r="G81" s="2"/>
      <c r="H81" s="6"/>
      <c r="I81" s="2"/>
      <c r="J81" s="7">
        <f t="shared" si="37"/>
        <v>0</v>
      </c>
      <c r="K81" s="2"/>
      <c r="L81" s="6">
        <f t="shared" si="38"/>
        <v>25.76</v>
      </c>
      <c r="M81" s="2"/>
      <c r="N81" s="7">
        <f t="shared" si="39"/>
        <v>0</v>
      </c>
      <c r="O81" s="11"/>
      <c r="P81" s="6">
        <v>171.28</v>
      </c>
      <c r="Q81" s="2"/>
      <c r="R81" s="7">
        <f t="shared" si="40"/>
        <v>5.3042958522171646E-5</v>
      </c>
      <c r="S81" s="2"/>
      <c r="T81" s="6"/>
      <c r="U81" s="2"/>
      <c r="V81" s="7">
        <f t="shared" si="41"/>
        <v>0</v>
      </c>
      <c r="W81" s="2"/>
      <c r="X81" s="6">
        <f t="shared" si="42"/>
        <v>171.28</v>
      </c>
      <c r="Y81" s="2"/>
      <c r="Z81" s="7">
        <f t="shared" si="43"/>
        <v>0</v>
      </c>
    </row>
    <row r="82" spans="1:26" s="26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SUM(OSRRefD22_11x_0)</f>
        <v>10249.700000000001</v>
      </c>
      <c r="E82" s="1"/>
      <c r="F82" s="5">
        <f t="shared" si="36"/>
        <v>7.3174620479788417E-3</v>
      </c>
      <c r="G82" s="1"/>
      <c r="H82" s="1">
        <f>SUM(OSRRefH22_11x_0)</f>
        <v>5963</v>
      </c>
      <c r="I82" s="1"/>
      <c r="J82" s="5">
        <f t="shared" si="37"/>
        <v>3.9526084697048434E-3</v>
      </c>
      <c r="K82" s="1"/>
      <c r="L82" s="1">
        <f t="shared" si="38"/>
        <v>4286.7000000000007</v>
      </c>
      <c r="M82" s="1"/>
      <c r="N82" s="5">
        <f t="shared" si="39"/>
        <v>0.71888311252725146</v>
      </c>
      <c r="O82" s="13"/>
      <c r="P82" s="1">
        <f>SUM(OSRRefP22_11x_0)</f>
        <v>44532.35</v>
      </c>
      <c r="Q82" s="1"/>
      <c r="R82" s="5">
        <f t="shared" si="40"/>
        <v>1.3791029857221103E-2</v>
      </c>
      <c r="S82" s="1"/>
      <c r="T82" s="1">
        <f>SUM(OSRRefT22_11x_0)</f>
        <v>28429</v>
      </c>
      <c r="U82" s="1"/>
      <c r="V82" s="5">
        <f t="shared" si="41"/>
        <v>7.9266380710272949E-3</v>
      </c>
      <c r="W82" s="1"/>
      <c r="X82" s="1">
        <f t="shared" si="42"/>
        <v>16103.349999999999</v>
      </c>
      <c r="Y82" s="1"/>
      <c r="Z82" s="5">
        <f t="shared" si="43"/>
        <v>0.56644095817650986</v>
      </c>
    </row>
    <row r="83" spans="1:26" s="24" customFormat="1" hidden="1" outlineLevel="2" x14ac:dyDescent="0.25">
      <c r="A83" s="27"/>
      <c r="B83" s="11" t="str">
        <f>CONCATENATE("          ", "6269", " - ", "ENTERTAINMENT")</f>
        <v xml:space="preserve">          6269 - ENTERTAINMENT</v>
      </c>
      <c r="C83" s="11"/>
      <c r="D83" s="6">
        <v>1850</v>
      </c>
      <c r="E83" s="2"/>
      <c r="F83" s="7">
        <f t="shared" si="36"/>
        <v>1.320751318454282E-3</v>
      </c>
      <c r="G83" s="2"/>
      <c r="H83" s="6">
        <v>750</v>
      </c>
      <c r="I83" s="2"/>
      <c r="J83" s="7">
        <f t="shared" si="37"/>
        <v>4.9714176627178148E-4</v>
      </c>
      <c r="K83" s="2"/>
      <c r="L83" s="6">
        <f t="shared" si="38"/>
        <v>1100</v>
      </c>
      <c r="M83" s="2"/>
      <c r="N83" s="7">
        <f t="shared" si="39"/>
        <v>1.4666666666666666</v>
      </c>
      <c r="O83" s="11"/>
      <c r="P83" s="6">
        <v>5500</v>
      </c>
      <c r="Q83" s="2"/>
      <c r="R83" s="7">
        <f t="shared" si="40"/>
        <v>1.7032710875288654E-3</v>
      </c>
      <c r="S83" s="2"/>
      <c r="T83" s="6">
        <v>3150</v>
      </c>
      <c r="U83" s="2"/>
      <c r="V83" s="7">
        <f t="shared" si="41"/>
        <v>8.7829012359688977E-4</v>
      </c>
      <c r="W83" s="2"/>
      <c r="X83" s="6">
        <f t="shared" si="42"/>
        <v>2350</v>
      </c>
      <c r="Y83" s="2"/>
      <c r="Z83" s="7">
        <f t="shared" si="43"/>
        <v>0.74603174603174605</v>
      </c>
    </row>
    <row r="84" spans="1:26" s="24" customFormat="1" hidden="1" outlineLevel="2" x14ac:dyDescent="0.25">
      <c r="A84" s="27"/>
      <c r="B84" s="11" t="str">
        <f>CONCATENATE("          ", "6279", " - ", "GENERAL EXPENSE")</f>
        <v xml:space="preserve">          6279 - GENERAL EXPENSE</v>
      </c>
      <c r="C84" s="11"/>
      <c r="D84" s="6">
        <v>8399.7000000000007</v>
      </c>
      <c r="E84" s="2"/>
      <c r="F84" s="7">
        <f t="shared" si="36"/>
        <v>5.9967107295245594E-3</v>
      </c>
      <c r="G84" s="2"/>
      <c r="H84" s="6">
        <v>5213</v>
      </c>
      <c r="I84" s="2"/>
      <c r="J84" s="7">
        <f t="shared" si="37"/>
        <v>3.4554667034330622E-3</v>
      </c>
      <c r="K84" s="2"/>
      <c r="L84" s="6">
        <f t="shared" si="38"/>
        <v>3186.7000000000007</v>
      </c>
      <c r="M84" s="2"/>
      <c r="N84" s="7">
        <f t="shared" si="39"/>
        <v>0.61129867638595836</v>
      </c>
      <c r="O84" s="11"/>
      <c r="P84" s="6">
        <v>39032.35</v>
      </c>
      <c r="Q84" s="2"/>
      <c r="R84" s="7">
        <f t="shared" si="40"/>
        <v>1.2087758769692238E-2</v>
      </c>
      <c r="S84" s="2"/>
      <c r="T84" s="6">
        <v>25279</v>
      </c>
      <c r="U84" s="2"/>
      <c r="V84" s="7">
        <f t="shared" si="41"/>
        <v>7.0483479474304049E-3</v>
      </c>
      <c r="W84" s="2"/>
      <c r="X84" s="6">
        <f t="shared" si="42"/>
        <v>13753.349999999999</v>
      </c>
      <c r="Y84" s="2"/>
      <c r="Z84" s="7">
        <f t="shared" si="43"/>
        <v>0.54406226512124678</v>
      </c>
    </row>
    <row r="85" spans="1:26" s="26" customFormat="1" outlineLevel="1" collapsed="1" x14ac:dyDescent="0.25">
      <c r="A85" s="25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SUM(OSRRefD22_12x_0)</f>
        <v>4483.67</v>
      </c>
      <c r="E85" s="1"/>
      <c r="F85" s="5">
        <f t="shared" ref="F85:F99" si="44">IF(D$12=0,0,D85/D$12)</f>
        <v>3.2009800346021141E-3</v>
      </c>
      <c r="G85" s="1"/>
      <c r="H85" s="1">
        <f>SUM(OSRRefH22_12x_0)</f>
        <v>4234</v>
      </c>
      <c r="I85" s="1"/>
      <c r="J85" s="5">
        <f t="shared" ref="J85:J99" si="45">IF(H$12=0,0,H85/H$12)</f>
        <v>2.8065309845262966E-3</v>
      </c>
      <c r="K85" s="1"/>
      <c r="L85" s="1">
        <f t="shared" ref="L85:L99" si="46">+D85-H85</f>
        <v>249.67000000000007</v>
      </c>
      <c r="M85" s="1"/>
      <c r="N85" s="5">
        <f t="shared" ref="N85:N99" si="47">IF(H85=0,0,L85/H85)</f>
        <v>5.8967879074161567E-2</v>
      </c>
      <c r="O85" s="13"/>
      <c r="P85" s="1">
        <f>SUM(OSRRefP22_12x_0)</f>
        <v>17934.68</v>
      </c>
      <c r="Q85" s="1"/>
      <c r="R85" s="5">
        <f t="shared" ref="R85:R99" si="48">IF(P$12=0,0,P85/P$12)</f>
        <v>5.5541130741967619E-3</v>
      </c>
      <c r="S85" s="1"/>
      <c r="T85" s="1">
        <f>SUM(OSRRefT22_12x_0)</f>
        <v>16936</v>
      </c>
      <c r="U85" s="1"/>
      <c r="V85" s="5">
        <f t="shared" ref="V85:V99" si="49">IF(T$12=0,0,T85/T$12)</f>
        <v>4.7221338200752142E-3</v>
      </c>
      <c r="W85" s="1"/>
      <c r="X85" s="1">
        <f t="shared" ref="X85:X99" si="50">+P85-T85</f>
        <v>998.68000000000029</v>
      </c>
      <c r="Y85" s="1"/>
      <c r="Z85" s="5">
        <f t="shared" ref="Z85:Z99" si="51">IF(T85=0,0,X85/T85)</f>
        <v>5.8967879074161567E-2</v>
      </c>
    </row>
    <row r="86" spans="1:26" s="24" customFormat="1" hidden="1" outlineLevel="2" x14ac:dyDescent="0.25">
      <c r="A86" s="27"/>
      <c r="B86" s="11" t="str">
        <f>CONCATENATE("          ", "6314", " - ", "LIABILITY INSURANCE")</f>
        <v xml:space="preserve">          6314 - LIABILITY INSURANCE</v>
      </c>
      <c r="C86" s="11"/>
      <c r="D86" s="6">
        <v>4483.67</v>
      </c>
      <c r="E86" s="2"/>
      <c r="F86" s="7">
        <f t="shared" si="44"/>
        <v>3.2009800346021141E-3</v>
      </c>
      <c r="G86" s="2"/>
      <c r="H86" s="6">
        <v>4234</v>
      </c>
      <c r="I86" s="2"/>
      <c r="J86" s="7">
        <f t="shared" si="45"/>
        <v>2.8065309845262966E-3</v>
      </c>
      <c r="K86" s="2"/>
      <c r="L86" s="6">
        <f t="shared" si="46"/>
        <v>249.67000000000007</v>
      </c>
      <c r="M86" s="2"/>
      <c r="N86" s="7">
        <f t="shared" si="47"/>
        <v>5.8967879074161567E-2</v>
      </c>
      <c r="O86" s="11"/>
      <c r="P86" s="6">
        <v>17934.68</v>
      </c>
      <c r="Q86" s="2"/>
      <c r="R86" s="7">
        <f t="shared" si="48"/>
        <v>5.5541130741967619E-3</v>
      </c>
      <c r="S86" s="2"/>
      <c r="T86" s="6">
        <v>16936</v>
      </c>
      <c r="U86" s="2"/>
      <c r="V86" s="7">
        <f t="shared" si="49"/>
        <v>4.7221338200752142E-3</v>
      </c>
      <c r="W86" s="2"/>
      <c r="X86" s="6">
        <f t="shared" si="50"/>
        <v>998.68000000000029</v>
      </c>
      <c r="Y86" s="2"/>
      <c r="Z86" s="7">
        <f t="shared" si="51"/>
        <v>5.8967879074161567E-2</v>
      </c>
    </row>
    <row r="87" spans="1:26" s="26" customFormat="1" outlineLevel="1" collapsed="1" x14ac:dyDescent="0.25">
      <c r="A87" s="25"/>
      <c r="B87" s="13" t="str">
        <f>CONCATENATE("     ","Interest                                          ")</f>
        <v xml:space="preserve">     Interest                                          </v>
      </c>
      <c r="C87" s="13"/>
      <c r="D87" s="1">
        <f>SUM(OSRRefD22_13x_0)</f>
        <v>11897</v>
      </c>
      <c r="E87" s="1"/>
      <c r="F87" s="5">
        <f t="shared" si="44"/>
        <v>8.4935018571084299E-3</v>
      </c>
      <c r="G87" s="1"/>
      <c r="H87" s="1">
        <f>SUM(OSRRefH22_13x_0)</f>
        <v>11929</v>
      </c>
      <c r="I87" s="1"/>
      <c r="J87" s="5">
        <f t="shared" si="45"/>
        <v>7.9072055064747741E-3</v>
      </c>
      <c r="K87" s="1"/>
      <c r="L87" s="1">
        <f t="shared" si="46"/>
        <v>-32</v>
      </c>
      <c r="M87" s="1"/>
      <c r="N87" s="5">
        <f t="shared" si="47"/>
        <v>-2.6825383519155001E-3</v>
      </c>
      <c r="O87" s="13"/>
      <c r="P87" s="1">
        <f>SUM(OSRRefP22_13x_0)</f>
        <v>47117</v>
      </c>
      <c r="Q87" s="1"/>
      <c r="R87" s="5">
        <f t="shared" si="48"/>
        <v>1.4591458878381373E-2</v>
      </c>
      <c r="S87" s="1"/>
      <c r="T87" s="1">
        <f>SUM(OSRRefT22_13x_0)</f>
        <v>47716</v>
      </c>
      <c r="U87" s="1"/>
      <c r="V87" s="5">
        <f t="shared" si="49"/>
        <v>1.3304283027793394E-2</v>
      </c>
      <c r="W87" s="1"/>
      <c r="X87" s="1">
        <f t="shared" si="50"/>
        <v>-599</v>
      </c>
      <c r="Y87" s="1"/>
      <c r="Z87" s="5">
        <f t="shared" si="51"/>
        <v>-1.2553441193729567E-2</v>
      </c>
    </row>
    <row r="88" spans="1:26" s="24" customFormat="1" hidden="1" outlineLevel="2" x14ac:dyDescent="0.25">
      <c r="A88" s="27"/>
      <c r="B88" s="11" t="str">
        <f>CONCATENATE("          ", "6401", " - ", "INTEREST EXPENSE")</f>
        <v xml:space="preserve">          6401 - INTEREST EXPENSE</v>
      </c>
      <c r="C88" s="11"/>
      <c r="D88" s="6">
        <v>11897</v>
      </c>
      <c r="E88" s="2"/>
      <c r="F88" s="7">
        <f t="shared" si="44"/>
        <v>8.4935018571084299E-3</v>
      </c>
      <c r="G88" s="2"/>
      <c r="H88" s="6">
        <v>11929</v>
      </c>
      <c r="I88" s="2"/>
      <c r="J88" s="7">
        <f t="shared" si="45"/>
        <v>7.9072055064747741E-3</v>
      </c>
      <c r="K88" s="2"/>
      <c r="L88" s="6">
        <f t="shared" si="46"/>
        <v>-32</v>
      </c>
      <c r="M88" s="2"/>
      <c r="N88" s="7">
        <f t="shared" si="47"/>
        <v>-2.6825383519155001E-3</v>
      </c>
      <c r="O88" s="11"/>
      <c r="P88" s="6">
        <v>47117</v>
      </c>
      <c r="Q88" s="2"/>
      <c r="R88" s="7">
        <f t="shared" si="48"/>
        <v>1.4591458878381373E-2</v>
      </c>
      <c r="S88" s="2"/>
      <c r="T88" s="6">
        <v>47716</v>
      </c>
      <c r="U88" s="2"/>
      <c r="V88" s="7">
        <f t="shared" si="49"/>
        <v>1.3304283027793394E-2</v>
      </c>
      <c r="W88" s="2"/>
      <c r="X88" s="6">
        <f t="shared" si="50"/>
        <v>-599</v>
      </c>
      <c r="Y88" s="2"/>
      <c r="Z88" s="7">
        <f t="shared" si="51"/>
        <v>-1.2553441193729567E-2</v>
      </c>
    </row>
    <row r="89" spans="1:26" s="26" customFormat="1" outlineLevel="1" collapsed="1" x14ac:dyDescent="0.25">
      <c r="A89" s="25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SUM(OSRRefD22_14x_0)</f>
        <v>0</v>
      </c>
      <c r="E89" s="1"/>
      <c r="F89" s="5">
        <f t="shared" si="44"/>
        <v>0</v>
      </c>
      <c r="G89" s="1"/>
      <c r="H89" s="1">
        <f>SUM(OSRRefH22_14x_0)</f>
        <v>0</v>
      </c>
      <c r="I89" s="1"/>
      <c r="J89" s="5">
        <f t="shared" si="45"/>
        <v>0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SUM(OSRRefP22_14x_0)</f>
        <v>125</v>
      </c>
      <c r="Q89" s="1"/>
      <c r="R89" s="5">
        <f t="shared" si="48"/>
        <v>3.8710706534746941E-5</v>
      </c>
      <c r="S89" s="1"/>
      <c r="T89" s="1">
        <f>SUM(OSRRefT22_14x_0)</f>
        <v>0</v>
      </c>
      <c r="U89" s="1"/>
      <c r="V89" s="5">
        <f t="shared" si="49"/>
        <v>0</v>
      </c>
      <c r="W89" s="1"/>
      <c r="X89" s="1">
        <f t="shared" si="50"/>
        <v>125</v>
      </c>
      <c r="Y89" s="1"/>
      <c r="Z89" s="5">
        <f t="shared" si="51"/>
        <v>0</v>
      </c>
    </row>
    <row r="90" spans="1:26" s="24" customFormat="1" hidden="1" outlineLevel="2" x14ac:dyDescent="0.25">
      <c r="A90" s="27"/>
      <c r="B90" s="11" t="str">
        <f>CONCATENATE("          ", "6336", " - ", "PROFESSIONAL SERVICES")</f>
        <v xml:space="preserve">          6336 - PROFESSIONAL SERVICES</v>
      </c>
      <c r="C90" s="11"/>
      <c r="D90" s="6"/>
      <c r="E90" s="2"/>
      <c r="F90" s="7">
        <f t="shared" si="44"/>
        <v>0</v>
      </c>
      <c r="G90" s="2"/>
      <c r="H90" s="6"/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125</v>
      </c>
      <c r="Q90" s="2"/>
      <c r="R90" s="7">
        <f t="shared" si="48"/>
        <v>3.8710706534746941E-5</v>
      </c>
      <c r="S90" s="2"/>
      <c r="T90" s="6"/>
      <c r="U90" s="2"/>
      <c r="V90" s="7">
        <f t="shared" si="49"/>
        <v>0</v>
      </c>
      <c r="W90" s="2"/>
      <c r="X90" s="6">
        <f t="shared" si="50"/>
        <v>125</v>
      </c>
      <c r="Y90" s="2"/>
      <c r="Z90" s="7">
        <f t="shared" si="51"/>
        <v>0</v>
      </c>
    </row>
    <row r="91" spans="1:26" s="26" customFormat="1" outlineLevel="1" collapsed="1" x14ac:dyDescent="0.25">
      <c r="A91" s="25"/>
      <c r="B91" s="13" t="str">
        <f>CONCATENATE("     ","R/H Commissions                                   ")</f>
        <v xml:space="preserve">     R/H Commissions                                   </v>
      </c>
      <c r="C91" s="13"/>
      <c r="D91" s="1">
        <f>SUM(OSRRefD22_15x_0)</f>
        <v>0</v>
      </c>
      <c r="E91" s="1"/>
      <c r="F91" s="5">
        <f t="shared" si="44"/>
        <v>0</v>
      </c>
      <c r="G91" s="1"/>
      <c r="H91" s="1">
        <f>SUM(OSRRefH22_15x_0)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SUM(OSRRefP22_15x_0)</f>
        <v>0</v>
      </c>
      <c r="Q91" s="1"/>
      <c r="R91" s="5">
        <f t="shared" si="48"/>
        <v>0</v>
      </c>
      <c r="S91" s="1"/>
      <c r="T91" s="1">
        <f>SUM(OSRRefT22_15x_0)</f>
        <v>0</v>
      </c>
      <c r="U91" s="1"/>
      <c r="V91" s="5">
        <f t="shared" si="49"/>
        <v>0</v>
      </c>
      <c r="W91" s="1"/>
      <c r="X91" s="1">
        <f t="shared" si="50"/>
        <v>0</v>
      </c>
      <c r="Y91" s="1"/>
      <c r="Z91" s="5">
        <f t="shared" si="51"/>
        <v>0</v>
      </c>
    </row>
    <row r="92" spans="1:26" s="24" customFormat="1" hidden="1" outlineLevel="2" x14ac:dyDescent="0.25">
      <c r="A92" s="27"/>
      <c r="B92" s="11" t="str">
        <f>CONCATENATE("          ", "6387", " - ", "COMMISSION DUE HOUSING")</f>
        <v xml:space="preserve">          6387 - COMMISSION DUE HOUSING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0</v>
      </c>
      <c r="U92" s="2"/>
      <c r="V92" s="7">
        <f t="shared" si="49"/>
        <v>0</v>
      </c>
      <c r="W92" s="2"/>
      <c r="X92" s="6">
        <f t="shared" si="50"/>
        <v>0</v>
      </c>
      <c r="Y92" s="2"/>
      <c r="Z92" s="7">
        <f t="shared" si="51"/>
        <v>0</v>
      </c>
    </row>
    <row r="93" spans="1:26" s="26" customFormat="1" outlineLevel="1" collapsed="1" x14ac:dyDescent="0.25">
      <c r="A93" s="25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SUM(OSRRefD22_16x_0)</f>
        <v>3000</v>
      </c>
      <c r="E93" s="1"/>
      <c r="F93" s="5">
        <f t="shared" si="44"/>
        <v>2.1417588947907277E-3</v>
      </c>
      <c r="G93" s="1"/>
      <c r="H93" s="1">
        <f>SUM(OSRRefH22_16x_0)</f>
        <v>3000</v>
      </c>
      <c r="I93" s="1"/>
      <c r="J93" s="5">
        <f t="shared" si="45"/>
        <v>1.9885670650871259E-3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SUM(OSRRefP22_16x_0)</f>
        <v>12000</v>
      </c>
      <c r="Q93" s="1"/>
      <c r="R93" s="5">
        <f t="shared" si="48"/>
        <v>3.7162278273357064E-3</v>
      </c>
      <c r="S93" s="1"/>
      <c r="T93" s="1">
        <f>SUM(OSRRefT22_16x_0)</f>
        <v>12000</v>
      </c>
      <c r="U93" s="1"/>
      <c r="V93" s="5">
        <f t="shared" si="49"/>
        <v>3.3458671375119612E-3</v>
      </c>
      <c r="W93" s="1"/>
      <c r="X93" s="1">
        <f t="shared" si="50"/>
        <v>0</v>
      </c>
      <c r="Y93" s="1"/>
      <c r="Z93" s="5">
        <f t="shared" si="51"/>
        <v>0</v>
      </c>
    </row>
    <row r="94" spans="1:26" s="24" customFormat="1" hidden="1" outlineLevel="2" x14ac:dyDescent="0.25">
      <c r="A94" s="27"/>
      <c r="B94" s="11" t="str">
        <f>CONCATENATE("          ", "6273", " - ", "RENT")</f>
        <v xml:space="preserve">          6273 - RENT</v>
      </c>
      <c r="C94" s="11"/>
      <c r="D94" s="6">
        <v>3000</v>
      </c>
      <c r="E94" s="2"/>
      <c r="F94" s="7">
        <f t="shared" si="44"/>
        <v>2.1417588947907277E-3</v>
      </c>
      <c r="G94" s="2"/>
      <c r="H94" s="6">
        <v>3000</v>
      </c>
      <c r="I94" s="2"/>
      <c r="J94" s="7">
        <f t="shared" si="45"/>
        <v>1.9885670650871259E-3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12000</v>
      </c>
      <c r="Q94" s="2"/>
      <c r="R94" s="7">
        <f t="shared" si="48"/>
        <v>3.7162278273357064E-3</v>
      </c>
      <c r="S94" s="2"/>
      <c r="T94" s="6">
        <v>12000</v>
      </c>
      <c r="U94" s="2"/>
      <c r="V94" s="7">
        <f t="shared" si="49"/>
        <v>3.3458671375119612E-3</v>
      </c>
      <c r="W94" s="2"/>
      <c r="X94" s="6">
        <f t="shared" si="50"/>
        <v>0</v>
      </c>
      <c r="Y94" s="2"/>
      <c r="Z94" s="7">
        <f t="shared" si="51"/>
        <v>0</v>
      </c>
    </row>
    <row r="95" spans="1:26" s="26" customFormat="1" outlineLevel="1" collapsed="1" x14ac:dyDescent="0.25">
      <c r="A95" s="25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SUM(OSRRefD22_17x_0)</f>
        <v>27342.55</v>
      </c>
      <c r="E95" s="1"/>
      <c r="F95" s="5">
        <f t="shared" si="44"/>
        <v>1.952038322292007E-2</v>
      </c>
      <c r="G95" s="1"/>
      <c r="H95" s="1">
        <f>SUM(OSRRefH22_17x_0)</f>
        <v>29267</v>
      </c>
      <c r="I95" s="1"/>
      <c r="J95" s="5">
        <f t="shared" si="45"/>
        <v>1.9399797431301637E-2</v>
      </c>
      <c r="K95" s="1"/>
      <c r="L95" s="1">
        <f t="shared" si="46"/>
        <v>-1924.4500000000007</v>
      </c>
      <c r="M95" s="1"/>
      <c r="N95" s="5">
        <f t="shared" si="47"/>
        <v>-6.5754945843441437E-2</v>
      </c>
      <c r="O95" s="13"/>
      <c r="P95" s="1">
        <f>SUM(OSRRefP22_17x_0)</f>
        <v>115905.96</v>
      </c>
      <c r="Q95" s="1"/>
      <c r="R95" s="5">
        <f t="shared" si="48"/>
        <v>3.5894412825504943E-2</v>
      </c>
      <c r="S95" s="1"/>
      <c r="T95" s="1">
        <f>SUM(OSRRefT22_17x_0)</f>
        <v>99997</v>
      </c>
      <c r="U95" s="1"/>
      <c r="V95" s="5">
        <f t="shared" si="49"/>
        <v>2.7881389679148629E-2</v>
      </c>
      <c r="W95" s="1"/>
      <c r="X95" s="1">
        <f t="shared" si="50"/>
        <v>15908.960000000006</v>
      </c>
      <c r="Y95" s="1"/>
      <c r="Z95" s="5">
        <f t="shared" si="51"/>
        <v>0.15909437283118499</v>
      </c>
    </row>
    <row r="96" spans="1:26" s="24" customFormat="1" hidden="1" outlineLevel="2" x14ac:dyDescent="0.25">
      <c r="A96" s="27"/>
      <c r="B96" s="11" t="str">
        <f>CONCATENATE("          ", "6371", " - ", "COMPUTER SOFTWARE MAINTENANCE")</f>
        <v xml:space="preserve">          6371 - COMPUTER SOFTWARE MAINTENANCE</v>
      </c>
      <c r="C96" s="11"/>
      <c r="D96" s="6"/>
      <c r="E96" s="2"/>
      <c r="F96" s="7">
        <f t="shared" si="44"/>
        <v>0</v>
      </c>
      <c r="G96" s="2"/>
      <c r="H96" s="6">
        <v>550</v>
      </c>
      <c r="I96" s="2"/>
      <c r="J96" s="7">
        <f t="shared" si="45"/>
        <v>3.6457062859930638E-4</v>
      </c>
      <c r="K96" s="2"/>
      <c r="L96" s="6">
        <f t="shared" si="46"/>
        <v>-550</v>
      </c>
      <c r="M96" s="2"/>
      <c r="N96" s="7">
        <f t="shared" si="47"/>
        <v>-1</v>
      </c>
      <c r="O96" s="11"/>
      <c r="P96" s="6">
        <v>12244.62</v>
      </c>
      <c r="Q96" s="2"/>
      <c r="R96" s="7">
        <f t="shared" si="48"/>
        <v>3.7919831315959447E-3</v>
      </c>
      <c r="S96" s="2"/>
      <c r="T96" s="6">
        <v>1200</v>
      </c>
      <c r="U96" s="2"/>
      <c r="V96" s="7">
        <f t="shared" si="49"/>
        <v>3.3458671375119611E-4</v>
      </c>
      <c r="W96" s="2"/>
      <c r="X96" s="6">
        <f t="shared" si="50"/>
        <v>11044.62</v>
      </c>
      <c r="Y96" s="2"/>
      <c r="Z96" s="7">
        <f t="shared" si="51"/>
        <v>9.203850000000001</v>
      </c>
    </row>
    <row r="97" spans="1:26" s="24" customFormat="1" hidden="1" outlineLevel="2" x14ac:dyDescent="0.25">
      <c r="A97" s="27"/>
      <c r="B97" s="11" t="str">
        <f>CONCATENATE("          ", "6372", " - ", "COMPUTER HARDWARE MAINTENANCE")</f>
        <v xml:space="preserve">          6372 - COMPUTER HARDWARE MAINTENANCE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/>
      <c r="Q97" s="2"/>
      <c r="R97" s="7">
        <f t="shared" si="48"/>
        <v>0</v>
      </c>
      <c r="S97" s="2"/>
      <c r="T97" s="6">
        <v>200</v>
      </c>
      <c r="U97" s="2"/>
      <c r="V97" s="7">
        <f t="shared" si="49"/>
        <v>5.5764452291866018E-5</v>
      </c>
      <c r="W97" s="2"/>
      <c r="X97" s="6">
        <f t="shared" si="50"/>
        <v>-200</v>
      </c>
      <c r="Y97" s="2"/>
      <c r="Z97" s="7">
        <f t="shared" si="51"/>
        <v>-1</v>
      </c>
    </row>
    <row r="98" spans="1:26" s="24" customFormat="1" hidden="1" outlineLevel="2" x14ac:dyDescent="0.25">
      <c r="A98" s="27"/>
      <c r="B98" s="11" t="str">
        <f>CONCATENATE("          ", "6373", " - ", "MAINTENANCE CONTRACTS")</f>
        <v xml:space="preserve">          6373 - MAINTENANCE CONTRACTS</v>
      </c>
      <c r="C98" s="11"/>
      <c r="D98" s="6">
        <v>7922.19</v>
      </c>
      <c r="E98" s="2"/>
      <c r="F98" s="7">
        <f t="shared" si="44"/>
        <v>5.6558069662407187E-3</v>
      </c>
      <c r="G98" s="2"/>
      <c r="H98" s="6">
        <v>2200</v>
      </c>
      <c r="I98" s="2"/>
      <c r="J98" s="7">
        <f t="shared" si="45"/>
        <v>1.4582825143972255E-3</v>
      </c>
      <c r="K98" s="2"/>
      <c r="L98" s="6">
        <f t="shared" si="46"/>
        <v>5722.19</v>
      </c>
      <c r="M98" s="2"/>
      <c r="N98" s="7">
        <f t="shared" si="47"/>
        <v>2.6009954545454543</v>
      </c>
      <c r="O98" s="11"/>
      <c r="P98" s="6">
        <v>32730.700000000004</v>
      </c>
      <c r="Q98" s="2"/>
      <c r="R98" s="7">
        <f t="shared" si="48"/>
        <v>1.0136228179014734E-2</v>
      </c>
      <c r="S98" s="2"/>
      <c r="T98" s="6">
        <v>9173</v>
      </c>
      <c r="U98" s="2"/>
      <c r="V98" s="7">
        <f t="shared" si="49"/>
        <v>2.5576366043664348E-3</v>
      </c>
      <c r="W98" s="2"/>
      <c r="X98" s="6">
        <f t="shared" si="50"/>
        <v>23557.700000000004</v>
      </c>
      <c r="Y98" s="2"/>
      <c r="Z98" s="7">
        <f t="shared" si="51"/>
        <v>2.5681565463861338</v>
      </c>
    </row>
    <row r="99" spans="1:26" s="24" customFormat="1" hidden="1" outlineLevel="2" x14ac:dyDescent="0.2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6">
        <v>19420.36</v>
      </c>
      <c r="E99" s="2"/>
      <c r="F99" s="7">
        <f t="shared" si="44"/>
        <v>1.3864576256679353E-2</v>
      </c>
      <c r="G99" s="2"/>
      <c r="H99" s="6">
        <v>26517</v>
      </c>
      <c r="I99" s="2"/>
      <c r="J99" s="7">
        <f t="shared" si="45"/>
        <v>1.7576944288305106E-2</v>
      </c>
      <c r="K99" s="2"/>
      <c r="L99" s="6">
        <f t="shared" si="46"/>
        <v>-7096.6399999999994</v>
      </c>
      <c r="M99" s="2"/>
      <c r="N99" s="7">
        <f t="shared" si="47"/>
        <v>-0.26762605121242972</v>
      </c>
      <c r="O99" s="11"/>
      <c r="P99" s="6">
        <v>70930.64</v>
      </c>
      <c r="Q99" s="2"/>
      <c r="R99" s="7">
        <f t="shared" si="48"/>
        <v>2.196620151489426E-2</v>
      </c>
      <c r="S99" s="2"/>
      <c r="T99" s="6">
        <v>89424</v>
      </c>
      <c r="U99" s="2"/>
      <c r="V99" s="7">
        <f t="shared" si="49"/>
        <v>2.4933401908739133E-2</v>
      </c>
      <c r="W99" s="2"/>
      <c r="X99" s="6">
        <f t="shared" si="50"/>
        <v>-18493.36</v>
      </c>
      <c r="Y99" s="2"/>
      <c r="Z99" s="7">
        <f t="shared" si="51"/>
        <v>-0.20680533190195027</v>
      </c>
    </row>
    <row r="100" spans="1:26" s="26" customFormat="1" outlineLevel="1" collapsed="1" x14ac:dyDescent="0.25">
      <c r="A100" s="25"/>
      <c r="B100" s="13" t="str">
        <f>CONCATENATE("     ","Royalty &amp; Commissions                             ")</f>
        <v xml:space="preserve">     Royalty &amp; Commissions                             </v>
      </c>
      <c r="C100" s="13"/>
      <c r="D100" s="1">
        <f>SUM(OSRRefD22_18x_0)</f>
        <v>32085.1</v>
      </c>
      <c r="E100" s="1"/>
      <c r="F100" s="5">
        <f t="shared" ref="F100:F103" si="52">IF(D$12=0,0,D100/D$12)</f>
        <v>2.2906182771749991E-2</v>
      </c>
      <c r="G100" s="1"/>
      <c r="H100" s="1">
        <f>SUM(OSRRefH22_18x_0)</f>
        <v>36565</v>
      </c>
      <c r="I100" s="1"/>
      <c r="J100" s="5">
        <f t="shared" ref="J100:J103" si="53">IF(H$12=0,0,H100/H$12)</f>
        <v>2.423731824497025E-2</v>
      </c>
      <c r="K100" s="1"/>
      <c r="L100" s="1">
        <f t="shared" ref="L100:L103" si="54">+D100-H100</f>
        <v>-4479.9000000000015</v>
      </c>
      <c r="M100" s="1"/>
      <c r="N100" s="5">
        <f t="shared" ref="N100:N103" si="55">IF(H100=0,0,L100/H100)</f>
        <v>-0.12251880213318751</v>
      </c>
      <c r="O100" s="13"/>
      <c r="P100" s="1">
        <f>SUM(OSRRefP22_18x_0)</f>
        <v>98022.32</v>
      </c>
      <c r="Q100" s="1"/>
      <c r="R100" s="5">
        <f t="shared" ref="R100:R103" si="56">IF(P$12=0,0,P100/P$12)</f>
        <v>3.0356106107000447E-2</v>
      </c>
      <c r="S100" s="1"/>
      <c r="T100" s="1">
        <f>SUM(OSRRefT22_18x_0)</f>
        <v>92186</v>
      </c>
      <c r="U100" s="1"/>
      <c r="V100" s="5">
        <f t="shared" ref="V100:V103" si="57">IF(T$12=0,0,T100/T$12)</f>
        <v>2.5703508994889802E-2</v>
      </c>
      <c r="W100" s="1"/>
      <c r="X100" s="1">
        <f t="shared" ref="X100:X103" si="58">+P100-T100</f>
        <v>5836.320000000007</v>
      </c>
      <c r="Y100" s="1"/>
      <c r="Z100" s="5">
        <f t="shared" ref="Z100:Z103" si="59">IF(T100=0,0,X100/T100)</f>
        <v>6.331026403141482E-2</v>
      </c>
    </row>
    <row r="101" spans="1:26" s="24" customFormat="1" hidden="1" outlineLevel="2" x14ac:dyDescent="0.25">
      <c r="A101" s="27"/>
      <c r="B101" s="11" t="str">
        <f>CONCATENATE("          ", "6253", " - ", "ROYALTY DUE ATHLETICS-LRG")</f>
        <v xml:space="preserve">          6253 - ROYALTY DUE ATHLETICS-LRG</v>
      </c>
      <c r="C101" s="11"/>
      <c r="D101" s="6"/>
      <c r="E101" s="2"/>
      <c r="F101" s="7">
        <f t="shared" si="52"/>
        <v>0</v>
      </c>
      <c r="G101" s="2"/>
      <c r="H101" s="6">
        <v>8000</v>
      </c>
      <c r="I101" s="2"/>
      <c r="J101" s="7">
        <f t="shared" si="53"/>
        <v>5.3028455068990024E-3</v>
      </c>
      <c r="K101" s="2"/>
      <c r="L101" s="6">
        <f t="shared" si="54"/>
        <v>-8000</v>
      </c>
      <c r="M101" s="2"/>
      <c r="N101" s="7">
        <f t="shared" si="55"/>
        <v>-1</v>
      </c>
      <c r="O101" s="11"/>
      <c r="P101" s="6"/>
      <c r="Q101" s="2"/>
      <c r="R101" s="7">
        <f t="shared" si="56"/>
        <v>0</v>
      </c>
      <c r="S101" s="2"/>
      <c r="T101" s="6">
        <v>17000</v>
      </c>
      <c r="U101" s="2"/>
      <c r="V101" s="7">
        <f t="shared" si="57"/>
        <v>4.7399784448086115E-3</v>
      </c>
      <c r="W101" s="2"/>
      <c r="X101" s="6">
        <f t="shared" si="58"/>
        <v>-17000</v>
      </c>
      <c r="Y101" s="2"/>
      <c r="Z101" s="7">
        <f t="shared" si="59"/>
        <v>-1</v>
      </c>
    </row>
    <row r="102" spans="1:26" s="24" customFormat="1" hidden="1" outlineLevel="2" x14ac:dyDescent="0.25">
      <c r="A102" s="27"/>
      <c r="B102" s="11" t="str">
        <f>CONCATENATE("          ", "6254", " - ", "ROYALTY &amp; COMMISSIONS")</f>
        <v xml:space="preserve">          6254 - ROYALTY &amp; COMMISSIONS</v>
      </c>
      <c r="C102" s="11"/>
      <c r="D102" s="6">
        <v>10321.9</v>
      </c>
      <c r="E102" s="2"/>
      <c r="F102" s="7">
        <f t="shared" si="52"/>
        <v>7.3690070453801375E-3</v>
      </c>
      <c r="G102" s="2"/>
      <c r="H102" s="6"/>
      <c r="I102" s="2"/>
      <c r="J102" s="7">
        <f t="shared" si="53"/>
        <v>0</v>
      </c>
      <c r="K102" s="2"/>
      <c r="L102" s="6">
        <f t="shared" si="54"/>
        <v>10321.9</v>
      </c>
      <c r="M102" s="2"/>
      <c r="N102" s="7">
        <f t="shared" si="55"/>
        <v>0</v>
      </c>
      <c r="O102" s="11"/>
      <c r="P102" s="6">
        <v>50652.959999999999</v>
      </c>
      <c r="Q102" s="2"/>
      <c r="R102" s="7">
        <f t="shared" si="56"/>
        <v>1.5686494957410202E-2</v>
      </c>
      <c r="S102" s="2"/>
      <c r="T102" s="6">
        <v>4117</v>
      </c>
      <c r="U102" s="2"/>
      <c r="V102" s="7">
        <f t="shared" si="57"/>
        <v>1.1479112504280619E-3</v>
      </c>
      <c r="W102" s="2"/>
      <c r="X102" s="6">
        <f t="shared" si="58"/>
        <v>46535.96</v>
      </c>
      <c r="Y102" s="2"/>
      <c r="Z102" s="7">
        <f t="shared" si="59"/>
        <v>11.30336652902599</v>
      </c>
    </row>
    <row r="103" spans="1:26" s="24" customFormat="1" hidden="1" outlineLevel="2" x14ac:dyDescent="0.25">
      <c r="A103" s="27"/>
      <c r="B103" s="11" t="str">
        <f>CONCATENATE("          ", "6259", " - ", "ROYALTY &amp; COMMISSIONS")</f>
        <v xml:space="preserve">          6259 - ROYALTY &amp; COMMISSIONS</v>
      </c>
      <c r="C103" s="11"/>
      <c r="D103" s="6">
        <v>21763.200000000001</v>
      </c>
      <c r="E103" s="2"/>
      <c r="F103" s="7">
        <f t="shared" si="52"/>
        <v>1.5537175726369857E-2</v>
      </c>
      <c r="G103" s="2"/>
      <c r="H103" s="6">
        <v>28565</v>
      </c>
      <c r="I103" s="2"/>
      <c r="J103" s="7">
        <f t="shared" si="53"/>
        <v>1.8934472738071251E-2</v>
      </c>
      <c r="K103" s="2"/>
      <c r="L103" s="6">
        <f t="shared" si="54"/>
        <v>-6801.7999999999993</v>
      </c>
      <c r="M103" s="2"/>
      <c r="N103" s="7">
        <f t="shared" si="55"/>
        <v>-0.23811657622965166</v>
      </c>
      <c r="O103" s="11"/>
      <c r="P103" s="6">
        <v>47369.36</v>
      </c>
      <c r="Q103" s="2"/>
      <c r="R103" s="7">
        <f t="shared" si="56"/>
        <v>1.4669611149590242E-2</v>
      </c>
      <c r="S103" s="2"/>
      <c r="T103" s="6">
        <v>71069</v>
      </c>
      <c r="U103" s="2"/>
      <c r="V103" s="7">
        <f t="shared" si="57"/>
        <v>1.9815619299653128E-2</v>
      </c>
      <c r="W103" s="2"/>
      <c r="X103" s="6">
        <f t="shared" si="58"/>
        <v>-23699.64</v>
      </c>
      <c r="Y103" s="2"/>
      <c r="Z103" s="7">
        <f t="shared" si="59"/>
        <v>-0.33347366643684306</v>
      </c>
    </row>
    <row r="104" spans="1:26" s="26" customFormat="1" outlineLevel="1" collapsed="1" x14ac:dyDescent="0.25">
      <c r="A104" s="25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SUM(OSRRefD22_19x_0)</f>
        <v>25126.11</v>
      </c>
      <c r="E104" s="1"/>
      <c r="F104" s="5">
        <f t="shared" ref="F104:F110" si="60">IF(D$12=0,0,D104/D$12)</f>
        <v>1.7938023194663418E-2</v>
      </c>
      <c r="G104" s="1"/>
      <c r="H104" s="1">
        <f>SUM(OSRRefH22_19x_0)</f>
        <v>24251</v>
      </c>
      <c r="I104" s="1"/>
      <c r="J104" s="5">
        <f t="shared" ref="J104:J110" si="61">IF(H$12=0,0,H104/H$12)</f>
        <v>1.6074913298475962E-2</v>
      </c>
      <c r="K104" s="1"/>
      <c r="L104" s="1">
        <f t="shared" ref="L104:L110" si="62">+D104-H104</f>
        <v>875.11000000000058</v>
      </c>
      <c r="M104" s="1"/>
      <c r="N104" s="5">
        <f t="shared" ref="N104:N110" si="63">IF(H104=0,0,L104/H104)</f>
        <v>3.6085522246505325E-2</v>
      </c>
      <c r="O104" s="13"/>
      <c r="P104" s="1">
        <f>SUM(OSRRefP22_19x_0)</f>
        <v>88615.42</v>
      </c>
      <c r="Q104" s="1"/>
      <c r="R104" s="5">
        <f t="shared" ref="R104:R110" si="64">IF(P$12=0,0,P104/P$12)</f>
        <v>2.7442924144586756E-2</v>
      </c>
      <c r="S104" s="1"/>
      <c r="T104" s="1">
        <f>SUM(OSRRefT22_19x_0)</f>
        <v>92649</v>
      </c>
      <c r="U104" s="1"/>
      <c r="V104" s="5">
        <f t="shared" ref="V104:V110" si="65">IF(T$12=0,0,T104/T$12)</f>
        <v>2.5832603701945473E-2</v>
      </c>
      <c r="W104" s="1"/>
      <c r="X104" s="1">
        <f t="shared" ref="X104:X110" si="66">+P104-T104</f>
        <v>-4033.5800000000017</v>
      </c>
      <c r="Y104" s="1"/>
      <c r="Z104" s="5">
        <f t="shared" ref="Z104:Z110" si="67">IF(T104=0,0,X104/T104)</f>
        <v>-4.3536141782426166E-2</v>
      </c>
    </row>
    <row r="105" spans="1:26" s="24" customFormat="1" hidden="1" outlineLevel="2" x14ac:dyDescent="0.25">
      <c r="A105" s="27"/>
      <c r="B105" s="11" t="str">
        <f>CONCATENATE("          ", "6281", " - ", "STORAGE FEE")</f>
        <v xml:space="preserve">          6281 - STORAGE FEE</v>
      </c>
      <c r="C105" s="11"/>
      <c r="D105" s="6"/>
      <c r="E105" s="2"/>
      <c r="F105" s="7">
        <f t="shared" si="60"/>
        <v>0</v>
      </c>
      <c r="G105" s="2"/>
      <c r="H105" s="6"/>
      <c r="I105" s="2"/>
      <c r="J105" s="7">
        <f t="shared" si="61"/>
        <v>0</v>
      </c>
      <c r="K105" s="2"/>
      <c r="L105" s="6">
        <f t="shared" si="62"/>
        <v>0</v>
      </c>
      <c r="M105" s="2"/>
      <c r="N105" s="7">
        <f t="shared" si="63"/>
        <v>0</v>
      </c>
      <c r="O105" s="11"/>
      <c r="P105" s="6"/>
      <c r="Q105" s="2"/>
      <c r="R105" s="7">
        <f t="shared" si="64"/>
        <v>0</v>
      </c>
      <c r="S105" s="2"/>
      <c r="T105" s="6">
        <v>0</v>
      </c>
      <c r="U105" s="2"/>
      <c r="V105" s="7">
        <f t="shared" si="65"/>
        <v>0</v>
      </c>
      <c r="W105" s="2"/>
      <c r="X105" s="6">
        <f t="shared" si="66"/>
        <v>0</v>
      </c>
      <c r="Y105" s="2"/>
      <c r="Z105" s="7">
        <f t="shared" si="67"/>
        <v>0</v>
      </c>
    </row>
    <row r="106" spans="1:26" s="24" customFormat="1" hidden="1" outlineLevel="2" x14ac:dyDescent="0.25">
      <c r="A106" s="27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1722.31</v>
      </c>
      <c r="E106" s="2"/>
      <c r="F106" s="7">
        <f t="shared" si="60"/>
        <v>1.2295909206956727E-3</v>
      </c>
      <c r="G106" s="2"/>
      <c r="H106" s="6">
        <v>2143</v>
      </c>
      <c r="I106" s="2"/>
      <c r="J106" s="7">
        <f t="shared" si="61"/>
        <v>1.4204997401605702E-3</v>
      </c>
      <c r="K106" s="2"/>
      <c r="L106" s="6">
        <f t="shared" si="62"/>
        <v>-420.69000000000005</v>
      </c>
      <c r="M106" s="2"/>
      <c r="N106" s="7">
        <f t="shared" si="63"/>
        <v>-0.19630891273915074</v>
      </c>
      <c r="O106" s="11"/>
      <c r="P106" s="6">
        <v>7689.68</v>
      </c>
      <c r="Q106" s="2"/>
      <c r="R106" s="7">
        <f t="shared" si="64"/>
        <v>2.381383566608903E-3</v>
      </c>
      <c r="S106" s="2"/>
      <c r="T106" s="6">
        <v>7157</v>
      </c>
      <c r="U106" s="2"/>
      <c r="V106" s="7">
        <f t="shared" si="65"/>
        <v>1.9955309252644255E-3</v>
      </c>
      <c r="W106" s="2"/>
      <c r="X106" s="6">
        <f t="shared" si="66"/>
        <v>532.68000000000029</v>
      </c>
      <c r="Y106" s="2"/>
      <c r="Z106" s="7">
        <f t="shared" si="67"/>
        <v>7.4427832890876108E-2</v>
      </c>
    </row>
    <row r="107" spans="1:26" s="24" customFormat="1" hidden="1" outlineLevel="2" x14ac:dyDescent="0.25">
      <c r="A107" s="27"/>
      <c r="B107" s="11" t="str">
        <f>CONCATENATE("          ", "6283", " - ", "PLANT SERVICE")</f>
        <v xml:space="preserve">          6283 - PLANT SERVICE</v>
      </c>
      <c r="C107" s="11"/>
      <c r="D107" s="6"/>
      <c r="E107" s="2"/>
      <c r="F107" s="7">
        <f t="shared" si="60"/>
        <v>0</v>
      </c>
      <c r="G107" s="2"/>
      <c r="H107" s="6">
        <v>185</v>
      </c>
      <c r="I107" s="2"/>
      <c r="J107" s="7">
        <f t="shared" si="61"/>
        <v>1.2262830234703942E-4</v>
      </c>
      <c r="K107" s="2"/>
      <c r="L107" s="6">
        <f t="shared" si="62"/>
        <v>-185</v>
      </c>
      <c r="M107" s="2"/>
      <c r="N107" s="7">
        <f t="shared" si="63"/>
        <v>-1</v>
      </c>
      <c r="O107" s="11"/>
      <c r="P107" s="6">
        <v>599.34</v>
      </c>
      <c r="Q107" s="2"/>
      <c r="R107" s="7">
        <f t="shared" si="64"/>
        <v>1.8560699883628186E-4</v>
      </c>
      <c r="S107" s="2"/>
      <c r="T107" s="6">
        <v>705</v>
      </c>
      <c r="U107" s="2"/>
      <c r="V107" s="7">
        <f t="shared" si="65"/>
        <v>1.965696943288277E-4</v>
      </c>
      <c r="W107" s="2"/>
      <c r="X107" s="6">
        <f t="shared" si="66"/>
        <v>-105.65999999999997</v>
      </c>
      <c r="Y107" s="2"/>
      <c r="Z107" s="7">
        <f t="shared" si="67"/>
        <v>-0.14987234042553188</v>
      </c>
    </row>
    <row r="108" spans="1:26" s="24" customFormat="1" hidden="1" outlineLevel="2" x14ac:dyDescent="0.25">
      <c r="A108" s="27"/>
      <c r="B108" s="11" t="str">
        <f>CONCATENATE("          ", "6284", " - ", "TRASH REMOVAL EXPENSE")</f>
        <v xml:space="preserve">          6284 - TRASH REMOVAL EXPENSE</v>
      </c>
      <c r="C108" s="11"/>
      <c r="D108" s="6">
        <v>4436</v>
      </c>
      <c r="E108" s="2"/>
      <c r="F108" s="7">
        <f t="shared" si="60"/>
        <v>3.1669474857638894E-3</v>
      </c>
      <c r="G108" s="2"/>
      <c r="H108" s="6">
        <v>3665</v>
      </c>
      <c r="I108" s="2"/>
      <c r="J108" s="7">
        <f t="shared" si="61"/>
        <v>2.4293660978481051E-3</v>
      </c>
      <c r="K108" s="2"/>
      <c r="L108" s="6">
        <f t="shared" si="62"/>
        <v>771</v>
      </c>
      <c r="M108" s="2"/>
      <c r="N108" s="7">
        <f t="shared" si="63"/>
        <v>0.21036834924965894</v>
      </c>
      <c r="O108" s="11"/>
      <c r="P108" s="6">
        <v>9732</v>
      </c>
      <c r="Q108" s="2"/>
      <c r="R108" s="7">
        <f t="shared" si="64"/>
        <v>3.0138607679692578E-3</v>
      </c>
      <c r="S108" s="2"/>
      <c r="T108" s="6">
        <v>14660</v>
      </c>
      <c r="U108" s="2"/>
      <c r="V108" s="7">
        <f t="shared" si="65"/>
        <v>4.0875343529937795E-3</v>
      </c>
      <c r="W108" s="2"/>
      <c r="X108" s="6">
        <f t="shared" si="66"/>
        <v>-4928</v>
      </c>
      <c r="Y108" s="2"/>
      <c r="Z108" s="7">
        <f t="shared" si="67"/>
        <v>-0.33615279672578446</v>
      </c>
    </row>
    <row r="109" spans="1:26" s="24" customFormat="1" hidden="1" outlineLevel="2" x14ac:dyDescent="0.25">
      <c r="A109" s="27"/>
      <c r="B109" s="11" t="str">
        <f>CONCATENATE("          ", "6285", " - ", "JANITORIAL SERVICES")</f>
        <v xml:space="preserve">          6285 - JANITORIAL SERVICES</v>
      </c>
      <c r="C109" s="11"/>
      <c r="D109" s="6">
        <v>13319.69</v>
      </c>
      <c r="E109" s="2"/>
      <c r="F109" s="7">
        <f t="shared" si="60"/>
        <v>9.5091881777850367E-3</v>
      </c>
      <c r="G109" s="2"/>
      <c r="H109" s="6">
        <v>13568</v>
      </c>
      <c r="I109" s="2"/>
      <c r="J109" s="7">
        <f t="shared" si="61"/>
        <v>8.9936259797007076E-3</v>
      </c>
      <c r="K109" s="2"/>
      <c r="L109" s="6">
        <f t="shared" si="62"/>
        <v>-248.30999999999949</v>
      </c>
      <c r="M109" s="2"/>
      <c r="N109" s="7">
        <f t="shared" si="63"/>
        <v>-1.8301149764150905E-2</v>
      </c>
      <c r="O109" s="11"/>
      <c r="P109" s="6">
        <v>53306.15</v>
      </c>
      <c r="Q109" s="2"/>
      <c r="R109" s="7">
        <f t="shared" si="64"/>
        <v>1.6508149833177607E-2</v>
      </c>
      <c r="S109" s="2"/>
      <c r="T109" s="6">
        <v>53856</v>
      </c>
      <c r="U109" s="2"/>
      <c r="V109" s="7">
        <f t="shared" si="65"/>
        <v>1.5016251713153681E-2</v>
      </c>
      <c r="W109" s="2"/>
      <c r="X109" s="6">
        <f t="shared" si="66"/>
        <v>-549.84999999999854</v>
      </c>
      <c r="Y109" s="2"/>
      <c r="Z109" s="7">
        <f t="shared" si="67"/>
        <v>-1.0209633095662481E-2</v>
      </c>
    </row>
    <row r="110" spans="1:26" s="24" customFormat="1" hidden="1" outlineLevel="2" x14ac:dyDescent="0.25">
      <c r="A110" s="27"/>
      <c r="B110" s="11" t="str">
        <f>CONCATENATE("          ", "6286", " - ", "LAUNDRY EXPENSE")</f>
        <v xml:space="preserve">          6286 - LAUNDRY EXPENSE</v>
      </c>
      <c r="C110" s="11"/>
      <c r="D110" s="6">
        <v>5648.11</v>
      </c>
      <c r="E110" s="2"/>
      <c r="F110" s="7">
        <f t="shared" si="60"/>
        <v>4.0322966104188191E-3</v>
      </c>
      <c r="G110" s="2"/>
      <c r="H110" s="6">
        <v>4690</v>
      </c>
      <c r="I110" s="2"/>
      <c r="J110" s="7">
        <f t="shared" si="61"/>
        <v>3.1087931784195399E-3</v>
      </c>
      <c r="K110" s="2"/>
      <c r="L110" s="6">
        <f t="shared" si="62"/>
        <v>958.10999999999967</v>
      </c>
      <c r="M110" s="2"/>
      <c r="N110" s="7">
        <f t="shared" si="63"/>
        <v>0.20428784648187626</v>
      </c>
      <c r="O110" s="11"/>
      <c r="P110" s="6">
        <v>17288.25</v>
      </c>
      <c r="Q110" s="2"/>
      <c r="R110" s="7">
        <f t="shared" si="64"/>
        <v>5.3539229779947101E-3</v>
      </c>
      <c r="S110" s="2"/>
      <c r="T110" s="6">
        <v>16271</v>
      </c>
      <c r="U110" s="2"/>
      <c r="V110" s="7">
        <f t="shared" si="65"/>
        <v>4.5367170162047598E-3</v>
      </c>
      <c r="W110" s="2"/>
      <c r="X110" s="6">
        <f t="shared" si="66"/>
        <v>1017.25</v>
      </c>
      <c r="Y110" s="2"/>
      <c r="Z110" s="7">
        <f t="shared" si="67"/>
        <v>6.2519205949234838E-2</v>
      </c>
    </row>
    <row r="111" spans="1:26" s="26" customFormat="1" outlineLevel="1" collapsed="1" x14ac:dyDescent="0.25">
      <c r="A111" s="25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SUM(OSRRefD22_20x_0)</f>
        <v>569.82000000000005</v>
      </c>
      <c r="E111" s="1"/>
      <c r="F111" s="5">
        <f t="shared" ref="F111:F123" si="68">IF(D$12=0,0,D111/D$12)</f>
        <v>4.068056844765509E-4</v>
      </c>
      <c r="G111" s="1"/>
      <c r="H111" s="1">
        <f>SUM(OSRRefH22_20x_0)</f>
        <v>574</v>
      </c>
      <c r="I111" s="1"/>
      <c r="J111" s="5">
        <f t="shared" ref="J111:J123" si="69">IF(H$12=0,0,H111/H$12)</f>
        <v>3.8047916512000342E-4</v>
      </c>
      <c r="K111" s="1"/>
      <c r="L111" s="1">
        <f t="shared" ref="L111:L123" si="70">+D111-H111</f>
        <v>-4.17999999999995</v>
      </c>
      <c r="M111" s="1"/>
      <c r="N111" s="5">
        <f t="shared" ref="N111:N123" si="71">IF(H111=0,0,L111/H111)</f>
        <v>-7.2822299651567075E-3</v>
      </c>
      <c r="O111" s="13"/>
      <c r="P111" s="1">
        <f>SUM(OSRRefP22_20x_0)</f>
        <v>2402</v>
      </c>
      <c r="Q111" s="1"/>
      <c r="R111" s="5">
        <f t="shared" ref="R111:R123" si="72">IF(P$12=0,0,P111/P$12)</f>
        <v>7.4386493677169722E-4</v>
      </c>
      <c r="S111" s="1"/>
      <c r="T111" s="1">
        <f>SUM(OSRRefT22_20x_0)</f>
        <v>2296</v>
      </c>
      <c r="U111" s="1"/>
      <c r="V111" s="5">
        <f t="shared" ref="V111:V123" si="73">IF(T$12=0,0,T111/T$12)</f>
        <v>6.4017591231062189E-4</v>
      </c>
      <c r="W111" s="1"/>
      <c r="X111" s="1">
        <f t="shared" ref="X111:X123" si="74">+P111-T111</f>
        <v>106</v>
      </c>
      <c r="Y111" s="1"/>
      <c r="Z111" s="5">
        <f t="shared" ref="Z111:Z123" si="75">IF(T111=0,0,X111/T111)</f>
        <v>4.6167247386759584E-2</v>
      </c>
    </row>
    <row r="112" spans="1:26" s="24" customFormat="1" hidden="1" outlineLevel="2" x14ac:dyDescent="0.25">
      <c r="A112" s="27"/>
      <c r="B112" s="11" t="str">
        <f>CONCATENATE("          ", "6275", " - ", "SUBSCRIPTIONS")</f>
        <v xml:space="preserve">          6275 - SUBSCRIPTIONS</v>
      </c>
      <c r="C112" s="11"/>
      <c r="D112" s="6">
        <v>569.82000000000005</v>
      </c>
      <c r="E112" s="2"/>
      <c r="F112" s="7">
        <f t="shared" si="68"/>
        <v>4.068056844765509E-4</v>
      </c>
      <c r="G112" s="2"/>
      <c r="H112" s="6">
        <v>574</v>
      </c>
      <c r="I112" s="2"/>
      <c r="J112" s="7">
        <f t="shared" si="69"/>
        <v>3.8047916512000342E-4</v>
      </c>
      <c r="K112" s="2"/>
      <c r="L112" s="6">
        <f t="shared" si="70"/>
        <v>-4.17999999999995</v>
      </c>
      <c r="M112" s="2"/>
      <c r="N112" s="7">
        <f t="shared" si="71"/>
        <v>-7.2822299651567075E-3</v>
      </c>
      <c r="O112" s="11"/>
      <c r="P112" s="6">
        <v>2402</v>
      </c>
      <c r="Q112" s="2"/>
      <c r="R112" s="7">
        <f t="shared" si="72"/>
        <v>7.4386493677169722E-4</v>
      </c>
      <c r="S112" s="2"/>
      <c r="T112" s="6">
        <v>2296</v>
      </c>
      <c r="U112" s="2"/>
      <c r="V112" s="7">
        <f t="shared" si="73"/>
        <v>6.4017591231062189E-4</v>
      </c>
      <c r="W112" s="2"/>
      <c r="X112" s="6">
        <f t="shared" si="74"/>
        <v>106</v>
      </c>
      <c r="Y112" s="2"/>
      <c r="Z112" s="7">
        <f t="shared" si="75"/>
        <v>4.6167247386759584E-2</v>
      </c>
    </row>
    <row r="113" spans="1:26" s="26" customFormat="1" outlineLevel="1" collapsed="1" x14ac:dyDescent="0.25">
      <c r="A113" s="25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SUM(OSRRefD22_21x_0)</f>
        <v>34503.22</v>
      </c>
      <c r="E113" s="1"/>
      <c r="F113" s="5">
        <f t="shared" si="68"/>
        <v>2.4632526111307111E-2</v>
      </c>
      <c r="G113" s="1"/>
      <c r="H113" s="1">
        <f>SUM(OSRRefH22_21x_0)</f>
        <v>18233.77</v>
      </c>
      <c r="I113" s="1"/>
      <c r="J113" s="5">
        <f t="shared" si="69"/>
        <v>1.2086358164791228E-2</v>
      </c>
      <c r="K113" s="1"/>
      <c r="L113" s="1">
        <f t="shared" si="70"/>
        <v>16269.45</v>
      </c>
      <c r="M113" s="1"/>
      <c r="N113" s="5">
        <f t="shared" si="71"/>
        <v>0.8922702216820767</v>
      </c>
      <c r="O113" s="13"/>
      <c r="P113" s="1">
        <f>SUM(OSRRefP22_21x_0)</f>
        <v>121181.94000000002</v>
      </c>
      <c r="Q113" s="1"/>
      <c r="R113" s="5">
        <f t="shared" si="72"/>
        <v>3.7528308133210495E-2</v>
      </c>
      <c r="S113" s="1"/>
      <c r="T113" s="1">
        <f>SUM(OSRRefT22_21x_0)</f>
        <v>85455.1</v>
      </c>
      <c r="U113" s="1"/>
      <c r="V113" s="5">
        <f t="shared" si="73"/>
        <v>2.3826784235233201E-2</v>
      </c>
      <c r="W113" s="1"/>
      <c r="X113" s="1">
        <f t="shared" si="74"/>
        <v>35726.840000000011</v>
      </c>
      <c r="Y113" s="1"/>
      <c r="Z113" s="5">
        <f t="shared" si="75"/>
        <v>0.41807732949818099</v>
      </c>
    </row>
    <row r="114" spans="1:26" s="24" customFormat="1" hidden="1" outlineLevel="2" x14ac:dyDescent="0.25">
      <c r="A114" s="27"/>
      <c r="B114" s="11" t="str">
        <f>CONCATENATE("          ", "6234", " - ", "EXPENDABLE SUPPLIES &amp; EQUIPMEN")</f>
        <v xml:space="preserve">          6234 - EXPENDABLE SUPPLIES &amp; EQUIPMEN</v>
      </c>
      <c r="C114" s="11"/>
      <c r="D114" s="6">
        <v>3976.8</v>
      </c>
      <c r="E114" s="2"/>
      <c r="F114" s="7">
        <f t="shared" si="68"/>
        <v>2.8391155909345887E-3</v>
      </c>
      <c r="G114" s="2"/>
      <c r="H114" s="6">
        <v>700</v>
      </c>
      <c r="I114" s="2"/>
      <c r="J114" s="7">
        <f t="shared" si="69"/>
        <v>4.6399898185366269E-4</v>
      </c>
      <c r="K114" s="2"/>
      <c r="L114" s="6">
        <f t="shared" si="70"/>
        <v>3276.8</v>
      </c>
      <c r="M114" s="2"/>
      <c r="N114" s="7">
        <f t="shared" si="71"/>
        <v>4.6811428571428575</v>
      </c>
      <c r="O114" s="11"/>
      <c r="P114" s="6">
        <v>12711.13</v>
      </c>
      <c r="Q114" s="2"/>
      <c r="R114" s="7">
        <f t="shared" si="72"/>
        <v>3.9364545852401426E-3</v>
      </c>
      <c r="S114" s="2"/>
      <c r="T114" s="6">
        <v>5950</v>
      </c>
      <c r="U114" s="2"/>
      <c r="V114" s="7">
        <f t="shared" si="73"/>
        <v>1.6589924556830141E-3</v>
      </c>
      <c r="W114" s="2"/>
      <c r="X114" s="6">
        <f t="shared" si="74"/>
        <v>6761.1299999999992</v>
      </c>
      <c r="Y114" s="2"/>
      <c r="Z114" s="7">
        <f t="shared" si="75"/>
        <v>1.1363243697478991</v>
      </c>
    </row>
    <row r="115" spans="1:26" s="24" customFormat="1" hidden="1" outlineLevel="2" x14ac:dyDescent="0.25">
      <c r="A115" s="27"/>
      <c r="B115" s="11" t="str">
        <f>CONCATENATE("          ", "6237", " - ", "JANITORIAL SUPPLIES")</f>
        <v xml:space="preserve">          6237 - JANITORIAL SUPPLIES</v>
      </c>
      <c r="C115" s="11"/>
      <c r="D115" s="6">
        <v>8656.9699999999993</v>
      </c>
      <c r="E115" s="2"/>
      <c r="F115" s="7">
        <f t="shared" si="68"/>
        <v>6.1803808331454954E-3</v>
      </c>
      <c r="G115" s="2"/>
      <c r="H115" s="6">
        <v>3691</v>
      </c>
      <c r="I115" s="2"/>
      <c r="J115" s="7">
        <f t="shared" si="69"/>
        <v>2.446600345745527E-3</v>
      </c>
      <c r="K115" s="2"/>
      <c r="L115" s="6">
        <f t="shared" si="70"/>
        <v>4965.9699999999993</v>
      </c>
      <c r="M115" s="2"/>
      <c r="N115" s="7">
        <f t="shared" si="71"/>
        <v>1.3454267136277429</v>
      </c>
      <c r="O115" s="11"/>
      <c r="P115" s="6">
        <v>21205.74</v>
      </c>
      <c r="Q115" s="2"/>
      <c r="R115" s="7">
        <f t="shared" si="72"/>
        <v>6.5671134239371574E-3</v>
      </c>
      <c r="S115" s="2"/>
      <c r="T115" s="6">
        <v>18474</v>
      </c>
      <c r="U115" s="2"/>
      <c r="V115" s="7">
        <f t="shared" si="73"/>
        <v>5.1509624581996642E-3</v>
      </c>
      <c r="W115" s="2"/>
      <c r="X115" s="6">
        <f t="shared" si="74"/>
        <v>2731.7400000000016</v>
      </c>
      <c r="Y115" s="2"/>
      <c r="Z115" s="7">
        <f t="shared" si="75"/>
        <v>0.14786943812926284</v>
      </c>
    </row>
    <row r="116" spans="1:26" s="24" customFormat="1" hidden="1" outlineLevel="2" x14ac:dyDescent="0.25">
      <c r="A116" s="27"/>
      <c r="B116" s="11" t="str">
        <f>CONCATENATE("          ", "6239", " - ", "KITCHEN SUPPLIES")</f>
        <v xml:space="preserve">          6239 - KITCHEN SUPPLIES</v>
      </c>
      <c r="C116" s="11"/>
      <c r="D116" s="6">
        <v>9909.17</v>
      </c>
      <c r="E116" s="2"/>
      <c r="F116" s="7">
        <f t="shared" si="68"/>
        <v>7.0743509958311451E-3</v>
      </c>
      <c r="G116" s="2"/>
      <c r="H116" s="6">
        <v>1918.76</v>
      </c>
      <c r="I116" s="2"/>
      <c r="J116" s="7">
        <f t="shared" si="69"/>
        <v>1.2718609806021911E-3</v>
      </c>
      <c r="K116" s="2"/>
      <c r="L116" s="6">
        <f t="shared" si="70"/>
        <v>7990.41</v>
      </c>
      <c r="M116" s="2"/>
      <c r="N116" s="7">
        <f t="shared" si="71"/>
        <v>4.1643613583772856</v>
      </c>
      <c r="O116" s="11"/>
      <c r="P116" s="6">
        <v>27903.53</v>
      </c>
      <c r="Q116" s="2"/>
      <c r="R116" s="7">
        <f t="shared" si="72"/>
        <v>8.6413228889080582E-3</v>
      </c>
      <c r="S116" s="2"/>
      <c r="T116" s="6">
        <v>16184.76</v>
      </c>
      <c r="U116" s="2"/>
      <c r="V116" s="7">
        <f t="shared" si="73"/>
        <v>4.5126713843765074E-3</v>
      </c>
      <c r="W116" s="2"/>
      <c r="X116" s="6">
        <f t="shared" si="74"/>
        <v>11718.769999999999</v>
      </c>
      <c r="Y116" s="2"/>
      <c r="Z116" s="7">
        <f t="shared" si="75"/>
        <v>0.72406201883747412</v>
      </c>
    </row>
    <row r="117" spans="1:26" s="24" customFormat="1" hidden="1" outlineLevel="2" x14ac:dyDescent="0.25">
      <c r="A117" s="27"/>
      <c r="B117" s="11" t="str">
        <f>CONCATENATE("          ", "6241", " - ", "OFFICE EXPENSE")</f>
        <v xml:space="preserve">          6241 - OFFICE EXPENSE</v>
      </c>
      <c r="C117" s="11"/>
      <c r="D117" s="6">
        <v>2759.59</v>
      </c>
      <c r="E117" s="2"/>
      <c r="F117" s="7">
        <f t="shared" si="68"/>
        <v>1.970125476158515E-3</v>
      </c>
      <c r="G117" s="2"/>
      <c r="H117" s="6">
        <v>720</v>
      </c>
      <c r="I117" s="2"/>
      <c r="J117" s="7">
        <f t="shared" si="69"/>
        <v>4.7725609562091018E-4</v>
      </c>
      <c r="K117" s="2"/>
      <c r="L117" s="6">
        <f t="shared" si="70"/>
        <v>2039.5900000000001</v>
      </c>
      <c r="M117" s="2"/>
      <c r="N117" s="7">
        <f t="shared" si="71"/>
        <v>2.8327638888888891</v>
      </c>
      <c r="O117" s="11"/>
      <c r="P117" s="6">
        <v>12483.54</v>
      </c>
      <c r="Q117" s="2"/>
      <c r="R117" s="7">
        <f t="shared" si="72"/>
        <v>3.8659732276381986E-3</v>
      </c>
      <c r="S117" s="2"/>
      <c r="T117" s="6">
        <v>4271.25</v>
      </c>
      <c r="U117" s="2"/>
      <c r="V117" s="7">
        <f t="shared" si="73"/>
        <v>1.1909195842581637E-3</v>
      </c>
      <c r="W117" s="2"/>
      <c r="X117" s="6">
        <f t="shared" si="74"/>
        <v>8212.2900000000009</v>
      </c>
      <c r="Y117" s="2"/>
      <c r="Z117" s="7">
        <f t="shared" si="75"/>
        <v>1.9226900790166814</v>
      </c>
    </row>
    <row r="118" spans="1:26" s="24" customFormat="1" hidden="1" outlineLevel="2" x14ac:dyDescent="0.25">
      <c r="A118" s="27"/>
      <c r="B118" s="11" t="str">
        <f>CONCATENATE("          ", "6243", " - ", "PAPER SUPPLIES")</f>
        <v xml:space="preserve">          6243 - PAPER SUPPLIES</v>
      </c>
      <c r="C118" s="11"/>
      <c r="D118" s="6">
        <v>5797.64</v>
      </c>
      <c r="E118" s="2"/>
      <c r="F118" s="7">
        <f t="shared" si="68"/>
        <v>4.1390490129315054E-3</v>
      </c>
      <c r="G118" s="2"/>
      <c r="H118" s="6">
        <v>5120</v>
      </c>
      <c r="I118" s="2"/>
      <c r="J118" s="7">
        <f t="shared" si="69"/>
        <v>3.3938211244153613E-3</v>
      </c>
      <c r="K118" s="2"/>
      <c r="L118" s="6">
        <f t="shared" si="70"/>
        <v>677.64000000000033</v>
      </c>
      <c r="M118" s="2"/>
      <c r="N118" s="7">
        <f t="shared" si="71"/>
        <v>0.13235156250000008</v>
      </c>
      <c r="O118" s="11"/>
      <c r="P118" s="6">
        <v>16937.439999999999</v>
      </c>
      <c r="Q118" s="2"/>
      <c r="R118" s="7">
        <f t="shared" si="72"/>
        <v>5.2452821543190736E-3</v>
      </c>
      <c r="S118" s="2"/>
      <c r="T118" s="6">
        <v>16560</v>
      </c>
      <c r="U118" s="2"/>
      <c r="V118" s="7">
        <f t="shared" si="73"/>
        <v>4.6172966497665061E-3</v>
      </c>
      <c r="W118" s="2"/>
      <c r="X118" s="6">
        <f t="shared" si="74"/>
        <v>377.43999999999869</v>
      </c>
      <c r="Y118" s="2"/>
      <c r="Z118" s="7">
        <f t="shared" si="75"/>
        <v>2.2792270531400888E-2</v>
      </c>
    </row>
    <row r="119" spans="1:26" s="24" customFormat="1" hidden="1" outlineLevel="2" x14ac:dyDescent="0.25">
      <c r="A119" s="27"/>
      <c r="B119" s="11" t="str">
        <f>CONCATENATE("          ", "6244", " - ", "SAFETY SUPPLY EXPENSE")</f>
        <v xml:space="preserve">          6244 - SAFETY SUPPLY EXPENSE</v>
      </c>
      <c r="C119" s="11"/>
      <c r="D119" s="6"/>
      <c r="E119" s="2"/>
      <c r="F119" s="7">
        <f t="shared" si="68"/>
        <v>0</v>
      </c>
      <c r="G119" s="2"/>
      <c r="H119" s="6">
        <v>110</v>
      </c>
      <c r="I119" s="2"/>
      <c r="J119" s="7">
        <f t="shared" si="69"/>
        <v>7.2914125719861279E-5</v>
      </c>
      <c r="K119" s="2"/>
      <c r="L119" s="6">
        <f t="shared" si="70"/>
        <v>-110</v>
      </c>
      <c r="M119" s="2"/>
      <c r="N119" s="7">
        <f t="shared" si="71"/>
        <v>-1</v>
      </c>
      <c r="O119" s="11"/>
      <c r="P119" s="6"/>
      <c r="Q119" s="2"/>
      <c r="R119" s="7">
        <f t="shared" si="72"/>
        <v>0</v>
      </c>
      <c r="S119" s="2"/>
      <c r="T119" s="6">
        <v>470</v>
      </c>
      <c r="U119" s="2"/>
      <c r="V119" s="7">
        <f t="shared" si="73"/>
        <v>1.3104646288588514E-4</v>
      </c>
      <c r="W119" s="2"/>
      <c r="X119" s="6">
        <f t="shared" si="74"/>
        <v>-470</v>
      </c>
      <c r="Y119" s="2"/>
      <c r="Z119" s="7">
        <f t="shared" si="75"/>
        <v>-1</v>
      </c>
    </row>
    <row r="120" spans="1:26" s="24" customFormat="1" hidden="1" outlineLevel="2" x14ac:dyDescent="0.25">
      <c r="A120" s="27"/>
      <c r="B120" s="11" t="str">
        <f>CONCATENATE("          ", "6245", " - ", "PRINTING")</f>
        <v xml:space="preserve">          6245 - PRINTING</v>
      </c>
      <c r="C120" s="11"/>
      <c r="D120" s="6">
        <v>64.48</v>
      </c>
      <c r="E120" s="2"/>
      <c r="F120" s="7">
        <f t="shared" si="68"/>
        <v>4.6033537845368711E-5</v>
      </c>
      <c r="G120" s="2"/>
      <c r="H120" s="6">
        <v>50</v>
      </c>
      <c r="I120" s="2"/>
      <c r="J120" s="7">
        <f t="shared" si="69"/>
        <v>3.314278441811876E-5</v>
      </c>
      <c r="K120" s="2"/>
      <c r="L120" s="6">
        <f t="shared" si="70"/>
        <v>14.480000000000004</v>
      </c>
      <c r="M120" s="2"/>
      <c r="N120" s="7">
        <f t="shared" si="71"/>
        <v>0.28960000000000008</v>
      </c>
      <c r="O120" s="11"/>
      <c r="P120" s="6">
        <v>299.20999999999998</v>
      </c>
      <c r="Q120" s="2"/>
      <c r="R120" s="7">
        <f t="shared" si="72"/>
        <v>9.2661044018093044E-5</v>
      </c>
      <c r="S120" s="2"/>
      <c r="T120" s="6">
        <v>750</v>
      </c>
      <c r="U120" s="2"/>
      <c r="V120" s="7">
        <f t="shared" si="73"/>
        <v>2.0911669609449758E-4</v>
      </c>
      <c r="W120" s="2"/>
      <c r="X120" s="6">
        <f t="shared" si="74"/>
        <v>-450.79</v>
      </c>
      <c r="Y120" s="2"/>
      <c r="Z120" s="7">
        <f t="shared" si="75"/>
        <v>-0.60105333333333333</v>
      </c>
    </row>
    <row r="121" spans="1:26" s="24" customFormat="1" hidden="1" outlineLevel="2" x14ac:dyDescent="0.25">
      <c r="A121" s="27"/>
      <c r="B121" s="11" t="str">
        <f>CONCATENATE("          ", "6246", " - ", "REPLACEMENTS")</f>
        <v xml:space="preserve">          6246 - REPLACEMENTS</v>
      </c>
      <c r="C121" s="11"/>
      <c r="D121" s="6"/>
      <c r="E121" s="2"/>
      <c r="F121" s="7">
        <f t="shared" si="68"/>
        <v>0</v>
      </c>
      <c r="G121" s="2"/>
      <c r="H121" s="6"/>
      <c r="I121" s="2"/>
      <c r="J121" s="7">
        <f t="shared" si="69"/>
        <v>0</v>
      </c>
      <c r="K121" s="2"/>
      <c r="L121" s="6">
        <f t="shared" si="70"/>
        <v>0</v>
      </c>
      <c r="M121" s="2"/>
      <c r="N121" s="7">
        <f t="shared" si="71"/>
        <v>0</v>
      </c>
      <c r="O121" s="11"/>
      <c r="P121" s="6"/>
      <c r="Q121" s="2"/>
      <c r="R121" s="7">
        <f t="shared" si="72"/>
        <v>0</v>
      </c>
      <c r="S121" s="2"/>
      <c r="T121" s="6">
        <v>2400</v>
      </c>
      <c r="U121" s="2"/>
      <c r="V121" s="7">
        <f t="shared" si="73"/>
        <v>6.6917342750239222E-4</v>
      </c>
      <c r="W121" s="2"/>
      <c r="X121" s="6">
        <f t="shared" si="74"/>
        <v>-2400</v>
      </c>
      <c r="Y121" s="2"/>
      <c r="Z121" s="7">
        <f t="shared" si="75"/>
        <v>-1</v>
      </c>
    </row>
    <row r="122" spans="1:26" s="24" customFormat="1" hidden="1" outlineLevel="2" x14ac:dyDescent="0.25">
      <c r="A122" s="27"/>
      <c r="B122" s="11" t="str">
        <f>CONCATENATE("          ", "6247", " - ", "STORE SUPPLIES")</f>
        <v xml:space="preserve">          6247 - STORE SUPPLIES</v>
      </c>
      <c r="C122" s="11"/>
      <c r="D122" s="6">
        <v>3199.16</v>
      </c>
      <c r="E122" s="2"/>
      <c r="F122" s="7">
        <f t="shared" si="68"/>
        <v>2.2839431286195682E-3</v>
      </c>
      <c r="G122" s="2"/>
      <c r="H122" s="6">
        <v>5924.01</v>
      </c>
      <c r="I122" s="2"/>
      <c r="J122" s="7">
        <f t="shared" si="69"/>
        <v>3.926763726415595E-3</v>
      </c>
      <c r="K122" s="2"/>
      <c r="L122" s="6">
        <f t="shared" si="70"/>
        <v>-2724.8500000000004</v>
      </c>
      <c r="M122" s="2"/>
      <c r="N122" s="7">
        <f t="shared" si="71"/>
        <v>-0.45996715062938792</v>
      </c>
      <c r="O122" s="11"/>
      <c r="P122" s="6">
        <v>26158.11</v>
      </c>
      <c r="Q122" s="2"/>
      <c r="R122" s="7">
        <f t="shared" si="72"/>
        <v>8.1007913577090338E-3</v>
      </c>
      <c r="S122" s="2"/>
      <c r="T122" s="6">
        <v>14995.089999999998</v>
      </c>
      <c r="U122" s="2"/>
      <c r="V122" s="7">
        <f t="shared" si="73"/>
        <v>4.1809649045861852E-3</v>
      </c>
      <c r="W122" s="2"/>
      <c r="X122" s="6">
        <f t="shared" si="74"/>
        <v>11163.020000000002</v>
      </c>
      <c r="Y122" s="2"/>
      <c r="Z122" s="7">
        <f t="shared" si="75"/>
        <v>0.74444501500157745</v>
      </c>
    </row>
    <row r="123" spans="1:26" s="24" customFormat="1" hidden="1" outlineLevel="2" x14ac:dyDescent="0.25">
      <c r="A123" s="27"/>
      <c r="B123" s="11" t="str">
        <f>CONCATENATE("          ", "6248", " - ", "UNIFORMS")</f>
        <v xml:space="preserve">          6248 - UNIFORMS</v>
      </c>
      <c r="C123" s="11"/>
      <c r="D123" s="6">
        <v>139.41</v>
      </c>
      <c r="E123" s="2"/>
      <c r="F123" s="7">
        <f t="shared" si="68"/>
        <v>9.9527535840925123E-5</v>
      </c>
      <c r="G123" s="2"/>
      <c r="H123" s="6"/>
      <c r="I123" s="2"/>
      <c r="J123" s="7">
        <f t="shared" si="69"/>
        <v>0</v>
      </c>
      <c r="K123" s="2"/>
      <c r="L123" s="6">
        <f t="shared" si="70"/>
        <v>139.41</v>
      </c>
      <c r="M123" s="2"/>
      <c r="N123" s="7">
        <f t="shared" si="71"/>
        <v>0</v>
      </c>
      <c r="O123" s="11"/>
      <c r="P123" s="6">
        <v>3483.24</v>
      </c>
      <c r="Q123" s="2"/>
      <c r="R123" s="7">
        <f t="shared" si="72"/>
        <v>1.0787094514407354E-3</v>
      </c>
      <c r="S123" s="2"/>
      <c r="T123" s="6">
        <v>5400</v>
      </c>
      <c r="U123" s="2"/>
      <c r="V123" s="7">
        <f t="shared" si="73"/>
        <v>1.5056402118803825E-3</v>
      </c>
      <c r="W123" s="2"/>
      <c r="X123" s="6">
        <f t="shared" si="74"/>
        <v>-1916.7600000000002</v>
      </c>
      <c r="Y123" s="2"/>
      <c r="Z123" s="7">
        <f t="shared" si="75"/>
        <v>-0.35495555555555558</v>
      </c>
    </row>
    <row r="124" spans="1:26" s="26" customFormat="1" outlineLevel="1" collapsed="1" x14ac:dyDescent="0.25">
      <c r="A124" s="25"/>
      <c r="B124" s="13" t="str">
        <f>CONCATENATE("     ","Telephone/Data Lines                              ")</f>
        <v xml:space="preserve">     Telephone/Data Lines                              </v>
      </c>
      <c r="C124" s="13"/>
      <c r="D124" s="1">
        <f>SUM(OSRRefD22_22x_0)</f>
        <v>2748.98</v>
      </c>
      <c r="E124" s="1"/>
      <c r="F124" s="5">
        <f t="shared" ref="F124:F126" si="76">IF(D$12=0,0,D124/D$12)</f>
        <v>1.9625507888672718E-3</v>
      </c>
      <c r="G124" s="1"/>
      <c r="H124" s="1">
        <f>SUM(OSRRefH22_22x_0)</f>
        <v>2501</v>
      </c>
      <c r="I124" s="1"/>
      <c r="J124" s="5">
        <f t="shared" ref="J124:J126" si="77">IF(H$12=0,0,H124/H$12)</f>
        <v>1.6578020765943005E-3</v>
      </c>
      <c r="K124" s="1"/>
      <c r="L124" s="1">
        <f t="shared" ref="L124:L126" si="78">+D124-H124</f>
        <v>247.98000000000002</v>
      </c>
      <c r="M124" s="1"/>
      <c r="N124" s="5">
        <f t="shared" ref="N124:N126" si="79">IF(H124=0,0,L124/H124)</f>
        <v>9.9152339064374262E-2</v>
      </c>
      <c r="O124" s="13"/>
      <c r="P124" s="1">
        <f>SUM(OSRRefP22_22x_0)</f>
        <v>8492.4500000000007</v>
      </c>
      <c r="Q124" s="1"/>
      <c r="R124" s="5">
        <f t="shared" ref="R124:R126" si="80">IF(P$12=0,0,P124/P$12)</f>
        <v>2.6299899176880936E-3</v>
      </c>
      <c r="S124" s="1"/>
      <c r="T124" s="1">
        <f>SUM(OSRRefT22_22x_0)</f>
        <v>8385</v>
      </c>
      <c r="U124" s="1"/>
      <c r="V124" s="5">
        <f t="shared" ref="V124:V126" si="81">IF(T$12=0,0,T124/T$12)</f>
        <v>2.3379246623364829E-3</v>
      </c>
      <c r="W124" s="1"/>
      <c r="X124" s="1">
        <f t="shared" ref="X124:X126" si="82">+P124-T124</f>
        <v>107.45000000000073</v>
      </c>
      <c r="Y124" s="1"/>
      <c r="Z124" s="5">
        <f t="shared" ref="Z124:Z126" si="83">IF(T124=0,0,X124/T124)</f>
        <v>1.2814549791294065E-2</v>
      </c>
    </row>
    <row r="125" spans="1:26" s="24" customFormat="1" hidden="1" outlineLevel="2" x14ac:dyDescent="0.25">
      <c r="A125" s="27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76"/>
        <v>0</v>
      </c>
      <c r="G125" s="2"/>
      <c r="H125" s="6">
        <v>696</v>
      </c>
      <c r="I125" s="2"/>
      <c r="J125" s="7">
        <f t="shared" si="77"/>
        <v>4.6134755910021315E-4</v>
      </c>
      <c r="K125" s="2"/>
      <c r="L125" s="6">
        <f t="shared" si="78"/>
        <v>-696</v>
      </c>
      <c r="M125" s="2"/>
      <c r="N125" s="7">
        <f t="shared" si="79"/>
        <v>-1</v>
      </c>
      <c r="O125" s="11"/>
      <c r="P125" s="6"/>
      <c r="Q125" s="2"/>
      <c r="R125" s="7">
        <f t="shared" si="80"/>
        <v>0</v>
      </c>
      <c r="S125" s="2"/>
      <c r="T125" s="6">
        <v>1990</v>
      </c>
      <c r="U125" s="2"/>
      <c r="V125" s="7">
        <f t="shared" si="81"/>
        <v>5.5485630030406683E-4</v>
      </c>
      <c r="W125" s="2"/>
      <c r="X125" s="6">
        <f t="shared" si="82"/>
        <v>-1990</v>
      </c>
      <c r="Y125" s="2"/>
      <c r="Z125" s="7">
        <f t="shared" si="83"/>
        <v>-1</v>
      </c>
    </row>
    <row r="126" spans="1:26" s="24" customFormat="1" hidden="1" outlineLevel="2" x14ac:dyDescent="0.25">
      <c r="A126" s="27"/>
      <c r="B126" s="11" t="str">
        <f>CONCATENATE("          ", "6309", " - ", "TELEPHONE")</f>
        <v xml:space="preserve">          6309 - TELEPHONE</v>
      </c>
      <c r="C126" s="11"/>
      <c r="D126" s="6">
        <v>2748.98</v>
      </c>
      <c r="E126" s="2"/>
      <c r="F126" s="7">
        <f t="shared" si="76"/>
        <v>1.9625507888672718E-3</v>
      </c>
      <c r="G126" s="2"/>
      <c r="H126" s="6">
        <v>1805</v>
      </c>
      <c r="I126" s="2"/>
      <c r="J126" s="7">
        <f t="shared" si="77"/>
        <v>1.1964545174940873E-3</v>
      </c>
      <c r="K126" s="2"/>
      <c r="L126" s="6">
        <f t="shared" si="78"/>
        <v>943.98</v>
      </c>
      <c r="M126" s="2"/>
      <c r="N126" s="7">
        <f t="shared" si="79"/>
        <v>0.5229806094182825</v>
      </c>
      <c r="O126" s="11"/>
      <c r="P126" s="6">
        <v>8492.4500000000007</v>
      </c>
      <c r="Q126" s="2"/>
      <c r="R126" s="7">
        <f t="shared" si="80"/>
        <v>2.6299899176880936E-3</v>
      </c>
      <c r="S126" s="2"/>
      <c r="T126" s="6">
        <v>6395</v>
      </c>
      <c r="U126" s="2"/>
      <c r="V126" s="7">
        <f t="shared" si="81"/>
        <v>1.7830683620324158E-3</v>
      </c>
      <c r="W126" s="2"/>
      <c r="X126" s="6">
        <f t="shared" si="82"/>
        <v>2097.4500000000007</v>
      </c>
      <c r="Y126" s="2"/>
      <c r="Z126" s="7">
        <f t="shared" si="83"/>
        <v>0.32798279906176714</v>
      </c>
    </row>
    <row r="127" spans="1:26" s="26" customFormat="1" outlineLevel="1" collapsed="1" x14ac:dyDescent="0.25">
      <c r="A127" s="25"/>
      <c r="B127" s="13" t="str">
        <f>CONCATENATE("     ","Training                                          ")</f>
        <v xml:space="preserve">     Training                                          </v>
      </c>
      <c r="C127" s="13"/>
      <c r="D127" s="1">
        <f>SUM(OSRRefD22_23x_0)</f>
        <v>188.95</v>
      </c>
      <c r="E127" s="1"/>
      <c r="F127" s="5">
        <f t="shared" ref="F127:F132" si="84">IF(D$12=0,0,D127/D$12)</f>
        <v>1.34895114390236E-4</v>
      </c>
      <c r="G127" s="1"/>
      <c r="H127" s="1">
        <f>SUM(OSRRefH22_23x_0)</f>
        <v>0</v>
      </c>
      <c r="I127" s="1"/>
      <c r="J127" s="5">
        <f t="shared" ref="J127:J132" si="85">IF(H$12=0,0,H127/H$12)</f>
        <v>0</v>
      </c>
      <c r="K127" s="1"/>
      <c r="L127" s="1">
        <f t="shared" ref="L127:L132" si="86">+D127-H127</f>
        <v>188.95</v>
      </c>
      <c r="M127" s="1"/>
      <c r="N127" s="5">
        <f t="shared" ref="N127:N132" si="87">IF(H127=0,0,L127/H127)</f>
        <v>0</v>
      </c>
      <c r="O127" s="13"/>
      <c r="P127" s="1">
        <f>SUM(OSRRefP22_23x_0)</f>
        <v>1663.5</v>
      </c>
      <c r="Q127" s="1"/>
      <c r="R127" s="5">
        <f t="shared" ref="R127:R132" si="88">IF(P$12=0,0,P127/P$12)</f>
        <v>5.1516208256441223E-4</v>
      </c>
      <c r="S127" s="1"/>
      <c r="T127" s="1">
        <f>SUM(OSRRefT22_23x_0)</f>
        <v>6180</v>
      </c>
      <c r="U127" s="1"/>
      <c r="V127" s="5">
        <f t="shared" ref="V127:V132" si="89">IF(T$12=0,0,T127/T$12)</f>
        <v>1.7231215758186599E-3</v>
      </c>
      <c r="W127" s="1"/>
      <c r="X127" s="1">
        <f t="shared" ref="X127:X132" si="90">+P127-T127</f>
        <v>-4516.5</v>
      </c>
      <c r="Y127" s="1"/>
      <c r="Z127" s="5">
        <f t="shared" ref="Z127:Z132" si="91">IF(T127=0,0,X127/T127)</f>
        <v>-0.73082524271844662</v>
      </c>
    </row>
    <row r="128" spans="1:26" s="24" customFormat="1" hidden="1" outlineLevel="2" x14ac:dyDescent="0.25">
      <c r="A128" s="27"/>
      <c r="B128" s="11" t="str">
        <f>CONCATENATE("          ", "6376", " - ", "TRAINING")</f>
        <v xml:space="preserve">          6376 - TRAINING</v>
      </c>
      <c r="C128" s="11"/>
      <c r="D128" s="6">
        <v>188.95</v>
      </c>
      <c r="E128" s="2"/>
      <c r="F128" s="7">
        <f t="shared" si="84"/>
        <v>1.34895114390236E-4</v>
      </c>
      <c r="G128" s="2"/>
      <c r="H128" s="6"/>
      <c r="I128" s="2"/>
      <c r="J128" s="7">
        <f t="shared" si="85"/>
        <v>0</v>
      </c>
      <c r="K128" s="2"/>
      <c r="L128" s="6">
        <f t="shared" si="86"/>
        <v>188.95</v>
      </c>
      <c r="M128" s="2"/>
      <c r="N128" s="7">
        <f t="shared" si="87"/>
        <v>0</v>
      </c>
      <c r="O128" s="11"/>
      <c r="P128" s="6">
        <v>1663.5</v>
      </c>
      <c r="Q128" s="2"/>
      <c r="R128" s="7">
        <f t="shared" si="88"/>
        <v>5.1516208256441223E-4</v>
      </c>
      <c r="S128" s="2"/>
      <c r="T128" s="6">
        <v>6180</v>
      </c>
      <c r="U128" s="2"/>
      <c r="V128" s="7">
        <f t="shared" si="89"/>
        <v>1.7231215758186599E-3</v>
      </c>
      <c r="W128" s="2"/>
      <c r="X128" s="6">
        <f t="shared" si="90"/>
        <v>-4516.5</v>
      </c>
      <c r="Y128" s="2"/>
      <c r="Z128" s="7">
        <f t="shared" si="91"/>
        <v>-0.73082524271844662</v>
      </c>
    </row>
    <row r="129" spans="1:26" s="26" customFormat="1" outlineLevel="1" collapsed="1" x14ac:dyDescent="0.25">
      <c r="A129" s="25"/>
      <c r="B129" s="13" t="str">
        <f>CONCATENATE("     ","Travel                                            ")</f>
        <v xml:space="preserve">     Travel                                            </v>
      </c>
      <c r="C129" s="13"/>
      <c r="D129" s="1">
        <f>SUM(OSRRefD22_24x_0)</f>
        <v>0</v>
      </c>
      <c r="E129" s="1"/>
      <c r="F129" s="5">
        <f t="shared" si="84"/>
        <v>0</v>
      </c>
      <c r="G129" s="1"/>
      <c r="H129" s="1">
        <f>SUM(OSRRefH22_24x_0)</f>
        <v>3000</v>
      </c>
      <c r="I129" s="1"/>
      <c r="J129" s="5">
        <f t="shared" si="85"/>
        <v>1.9885670650871259E-3</v>
      </c>
      <c r="K129" s="1"/>
      <c r="L129" s="1">
        <f t="shared" si="86"/>
        <v>-3000</v>
      </c>
      <c r="M129" s="1"/>
      <c r="N129" s="5">
        <f t="shared" si="87"/>
        <v>-1</v>
      </c>
      <c r="O129" s="13"/>
      <c r="P129" s="1">
        <f>SUM(OSRRefP22_24x_0)</f>
        <v>1101.18</v>
      </c>
      <c r="Q129" s="1"/>
      <c r="R129" s="5">
        <f t="shared" si="88"/>
        <v>3.4101964657546111E-4</v>
      </c>
      <c r="S129" s="1"/>
      <c r="T129" s="1">
        <f>SUM(OSRRefT22_24x_0)</f>
        <v>8700</v>
      </c>
      <c r="U129" s="1"/>
      <c r="V129" s="5">
        <f t="shared" si="89"/>
        <v>2.4257536746961719E-3</v>
      </c>
      <c r="W129" s="1"/>
      <c r="X129" s="1">
        <f t="shared" si="90"/>
        <v>-7598.82</v>
      </c>
      <c r="Y129" s="1"/>
      <c r="Z129" s="5">
        <f t="shared" si="91"/>
        <v>-0.87342758620689653</v>
      </c>
    </row>
    <row r="130" spans="1:26" s="24" customFormat="1" hidden="1" outlineLevel="2" x14ac:dyDescent="0.25">
      <c r="A130" s="27"/>
      <c r="B130" s="11" t="str">
        <f>CONCATENATE("          ", "6292", " - ", "TRAVEL/CONFERENCE")</f>
        <v xml:space="preserve">          6292 - TRAVEL/CONFERENCE</v>
      </c>
      <c r="C130" s="11"/>
      <c r="D130" s="6"/>
      <c r="E130" s="2"/>
      <c r="F130" s="7">
        <f t="shared" si="84"/>
        <v>0</v>
      </c>
      <c r="G130" s="2"/>
      <c r="H130" s="6">
        <v>3000</v>
      </c>
      <c r="I130" s="2"/>
      <c r="J130" s="7">
        <f t="shared" si="85"/>
        <v>1.9885670650871259E-3</v>
      </c>
      <c r="K130" s="2"/>
      <c r="L130" s="6">
        <f t="shared" si="86"/>
        <v>-3000</v>
      </c>
      <c r="M130" s="2"/>
      <c r="N130" s="7">
        <f t="shared" si="87"/>
        <v>-1</v>
      </c>
      <c r="O130" s="11"/>
      <c r="P130" s="6">
        <v>545.69000000000005</v>
      </c>
      <c r="Q130" s="2"/>
      <c r="R130" s="7">
        <f t="shared" si="88"/>
        <v>1.6899236359156847E-4</v>
      </c>
      <c r="S130" s="2"/>
      <c r="T130" s="6">
        <v>8700</v>
      </c>
      <c r="U130" s="2"/>
      <c r="V130" s="7">
        <f t="shared" si="89"/>
        <v>2.4257536746961719E-3</v>
      </c>
      <c r="W130" s="2"/>
      <c r="X130" s="6">
        <f t="shared" si="90"/>
        <v>-8154.3099999999995</v>
      </c>
      <c r="Y130" s="2"/>
      <c r="Z130" s="7">
        <f t="shared" si="91"/>
        <v>-0.9372770114942528</v>
      </c>
    </row>
    <row r="131" spans="1:26" s="24" customFormat="1" hidden="1" outlineLevel="2" x14ac:dyDescent="0.25">
      <c r="A131" s="27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84"/>
        <v>0</v>
      </c>
      <c r="G131" s="2"/>
      <c r="H131" s="6"/>
      <c r="I131" s="2"/>
      <c r="J131" s="7">
        <f t="shared" si="85"/>
        <v>0</v>
      </c>
      <c r="K131" s="2"/>
      <c r="L131" s="6">
        <f t="shared" si="86"/>
        <v>0</v>
      </c>
      <c r="M131" s="2"/>
      <c r="N131" s="7">
        <f t="shared" si="87"/>
        <v>0</v>
      </c>
      <c r="O131" s="11"/>
      <c r="P131" s="6">
        <v>45.49</v>
      </c>
      <c r="Q131" s="2"/>
      <c r="R131" s="7">
        <f t="shared" si="88"/>
        <v>1.4087600322125107E-5</v>
      </c>
      <c r="S131" s="2"/>
      <c r="T131" s="6"/>
      <c r="U131" s="2"/>
      <c r="V131" s="7">
        <f t="shared" si="89"/>
        <v>0</v>
      </c>
      <c r="W131" s="2"/>
      <c r="X131" s="6">
        <f t="shared" si="90"/>
        <v>45.49</v>
      </c>
      <c r="Y131" s="2"/>
      <c r="Z131" s="7">
        <f t="shared" si="91"/>
        <v>0</v>
      </c>
    </row>
    <row r="132" spans="1:26" s="24" customFormat="1" hidden="1" outlineLevel="2" x14ac:dyDescent="0.25">
      <c r="A132" s="27"/>
      <c r="B132" s="11" t="str">
        <f>CONCATENATE("          ", "6298", " - ", "VEHICLE MILEAGE")</f>
        <v xml:space="preserve">          6298 - VEHICLE MILEAGE</v>
      </c>
      <c r="C132" s="11"/>
      <c r="D132" s="6"/>
      <c r="E132" s="2"/>
      <c r="F132" s="7">
        <f t="shared" si="84"/>
        <v>0</v>
      </c>
      <c r="G132" s="2"/>
      <c r="H132" s="6"/>
      <c r="I132" s="2"/>
      <c r="J132" s="7">
        <f t="shared" si="85"/>
        <v>0</v>
      </c>
      <c r="K132" s="2"/>
      <c r="L132" s="6">
        <f t="shared" si="86"/>
        <v>0</v>
      </c>
      <c r="M132" s="2"/>
      <c r="N132" s="7">
        <f t="shared" si="87"/>
        <v>0</v>
      </c>
      <c r="O132" s="11"/>
      <c r="P132" s="6">
        <v>510</v>
      </c>
      <c r="Q132" s="2"/>
      <c r="R132" s="7">
        <f t="shared" si="88"/>
        <v>1.5793968266176751E-4</v>
      </c>
      <c r="S132" s="2"/>
      <c r="T132" s="6">
        <v>0</v>
      </c>
      <c r="U132" s="2"/>
      <c r="V132" s="7">
        <f t="shared" si="89"/>
        <v>0</v>
      </c>
      <c r="W132" s="2"/>
      <c r="X132" s="6">
        <f t="shared" si="90"/>
        <v>510</v>
      </c>
      <c r="Y132" s="2"/>
      <c r="Z132" s="7">
        <f t="shared" si="91"/>
        <v>0</v>
      </c>
    </row>
    <row r="133" spans="1:26" s="26" customFormat="1" outlineLevel="1" collapsed="1" x14ac:dyDescent="0.25">
      <c r="A133" s="25"/>
      <c r="B133" s="13" t="str">
        <f>CONCATENATE("     ","Utilities                                         ")</f>
        <v xml:space="preserve">     Utilities                                         </v>
      </c>
      <c r="C133" s="13"/>
      <c r="D133" s="1">
        <f>SUM(OSRRefD22_25x_0)</f>
        <v>14696</v>
      </c>
      <c r="E133" s="1"/>
      <c r="F133" s="5">
        <f t="shared" ref="F133:F134" si="92">IF(D$12=0,0,D133/D$12)</f>
        <v>1.0491762905948179E-2</v>
      </c>
      <c r="G133" s="1"/>
      <c r="H133" s="1">
        <f>SUM(OSRRefH22_25x_0)</f>
        <v>23602</v>
      </c>
      <c r="I133" s="1"/>
      <c r="J133" s="5">
        <f t="shared" ref="J133:J134" si="93">IF(H$12=0,0,H133/H$12)</f>
        <v>1.5644719956728781E-2</v>
      </c>
      <c r="K133" s="1"/>
      <c r="L133" s="1">
        <f t="shared" ref="L133:L134" si="94">+D133-H133</f>
        <v>-8906</v>
      </c>
      <c r="M133" s="1"/>
      <c r="N133" s="5">
        <f t="shared" ref="N133:N134" si="95">IF(H133=0,0,L133/H133)</f>
        <v>-0.37734090331327852</v>
      </c>
      <c r="O133" s="13"/>
      <c r="P133" s="1">
        <f>SUM(OSRRefP22_25x_0)</f>
        <v>46709.120000000003</v>
      </c>
      <c r="Q133" s="1"/>
      <c r="R133" s="5">
        <f t="shared" ref="R133:R134" si="96">IF(P$12=0,0,P133/P$12)</f>
        <v>1.4465144294530233E-2</v>
      </c>
      <c r="S133" s="1"/>
      <c r="T133" s="1">
        <f>SUM(OSRRefT22_25x_0)</f>
        <v>84321</v>
      </c>
      <c r="U133" s="1"/>
      <c r="V133" s="5">
        <f t="shared" ref="V133:V134" si="97">IF(T$12=0,0,T133/T$12)</f>
        <v>2.3510571908512173E-2</v>
      </c>
      <c r="W133" s="1"/>
      <c r="X133" s="1">
        <f t="shared" ref="X133:X134" si="98">+P133-T133</f>
        <v>-37611.879999999997</v>
      </c>
      <c r="Y133" s="1"/>
      <c r="Z133" s="5">
        <f t="shared" ref="Z133:Z134" si="99">IF(T133=0,0,X133/T133)</f>
        <v>-0.4460559054090914</v>
      </c>
    </row>
    <row r="134" spans="1:26" s="24" customFormat="1" hidden="1" outlineLevel="2" x14ac:dyDescent="0.25">
      <c r="A134" s="27"/>
      <c r="B134" s="11" t="str">
        <f>CONCATENATE("          ", "6274", " - ", "UTILITIES")</f>
        <v xml:space="preserve">          6274 - UTILITIES</v>
      </c>
      <c r="C134" s="11"/>
      <c r="D134" s="6">
        <v>14696</v>
      </c>
      <c r="E134" s="2"/>
      <c r="F134" s="7">
        <f t="shared" si="92"/>
        <v>1.0491762905948179E-2</v>
      </c>
      <c r="G134" s="2"/>
      <c r="H134" s="6">
        <v>23602</v>
      </c>
      <c r="I134" s="2"/>
      <c r="J134" s="7">
        <f t="shared" si="93"/>
        <v>1.5644719956728781E-2</v>
      </c>
      <c r="K134" s="2"/>
      <c r="L134" s="6">
        <f t="shared" si="94"/>
        <v>-8906</v>
      </c>
      <c r="M134" s="2"/>
      <c r="N134" s="7">
        <f t="shared" si="95"/>
        <v>-0.37734090331327852</v>
      </c>
      <c r="O134" s="11"/>
      <c r="P134" s="6">
        <v>46709.120000000003</v>
      </c>
      <c r="Q134" s="2"/>
      <c r="R134" s="7">
        <f t="shared" si="96"/>
        <v>1.4465144294530233E-2</v>
      </c>
      <c r="S134" s="2"/>
      <c r="T134" s="6">
        <v>84321</v>
      </c>
      <c r="U134" s="2"/>
      <c r="V134" s="7">
        <f t="shared" si="97"/>
        <v>2.3510571908512173E-2</v>
      </c>
      <c r="W134" s="2"/>
      <c r="X134" s="6">
        <f t="shared" si="98"/>
        <v>-37611.879999999997</v>
      </c>
      <c r="Y134" s="2"/>
      <c r="Z134" s="7">
        <f t="shared" si="99"/>
        <v>-0.4460559054090914</v>
      </c>
    </row>
    <row r="135" spans="1:26" s="61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9" t="s">
        <v>0</v>
      </c>
      <c r="C136" s="10"/>
      <c r="D136" s="4">
        <f>SUM(OSRRefD25x_0)</f>
        <v>123863.64</v>
      </c>
      <c r="E136" s="4"/>
      <c r="F136" s="12">
        <f t="shared" ref="F136:F140" si="100">IF(D$12=0,0,D136/D$12)</f>
        <v>8.8428684237052191E-2</v>
      </c>
      <c r="G136" s="4"/>
      <c r="H136" s="4">
        <f>SUM(OSRRefH25x_0)</f>
        <v>58244</v>
      </c>
      <c r="I136" s="4"/>
      <c r="J136" s="12">
        <f t="shared" ref="J136:J140" si="101">IF(H$12=0,0,H136/H$12)</f>
        <v>3.8607366712978188E-2</v>
      </c>
      <c r="K136" s="4"/>
      <c r="L136" s="4">
        <f t="shared" ref="L136:L140" si="102">+D136-H136</f>
        <v>65619.64</v>
      </c>
      <c r="M136" s="4"/>
      <c r="N136" s="12">
        <f t="shared" ref="N136:N140" si="103">IF(H136=0,0,L136/H136)</f>
        <v>1.1266334729757572</v>
      </c>
      <c r="O136" s="10"/>
      <c r="P136" s="4">
        <f>SUM(OSRRefP25x_0)</f>
        <v>426524.63</v>
      </c>
      <c r="Q136" s="4"/>
      <c r="R136" s="12">
        <f t="shared" ref="R136:R140" si="104">IF(P$12=0,0,P136/P$12)</f>
        <v>0.13208855825417218</v>
      </c>
      <c r="S136" s="4"/>
      <c r="T136" s="4">
        <f>SUM(OSRRefT25x_0)</f>
        <v>317736</v>
      </c>
      <c r="U136" s="4"/>
      <c r="V136" s="12">
        <f t="shared" ref="V136:V140" si="105">IF(T$12=0,0,T136/T$12)</f>
        <v>8.8591870067041709E-2</v>
      </c>
      <c r="W136" s="4"/>
      <c r="X136" s="4">
        <f t="shared" ref="X136:X140" si="106">+P136-T136</f>
        <v>108788.63</v>
      </c>
      <c r="Y136" s="4"/>
      <c r="Z136" s="12">
        <f t="shared" ref="Z136:Z140" si="107">IF(T136=0,0,X136/T136)</f>
        <v>0.34238685575446282</v>
      </c>
    </row>
    <row r="137" spans="1:26" s="24" customFormat="1" hidden="1" outlineLevel="1" x14ac:dyDescent="0.25">
      <c r="A137" s="44"/>
      <c r="B137" s="11" t="str">
        <f>CONCATENATE("          ", "9150", " - ", "MISC. INCOME")</f>
        <v xml:space="preserve">          9150 - MISC. INCOME</v>
      </c>
      <c r="C137" s="11"/>
      <c r="D137" s="2">
        <f>--50769.74</f>
        <v>50769.74</v>
      </c>
      <c r="E137" s="2"/>
      <c r="F137" s="19">
        <f t="shared" si="100"/>
        <v>3.624551407707087E-2</v>
      </c>
      <c r="G137" s="2"/>
      <c r="H137" s="2">
        <v>40325</v>
      </c>
      <c r="I137" s="2"/>
      <c r="J137" s="19">
        <f t="shared" si="101"/>
        <v>2.6729655633212782E-2</v>
      </c>
      <c r="K137" s="2"/>
      <c r="L137" s="2">
        <f t="shared" si="102"/>
        <v>10444.739999999998</v>
      </c>
      <c r="M137" s="2"/>
      <c r="N137" s="19">
        <f t="shared" si="103"/>
        <v>0.25901401115933037</v>
      </c>
      <c r="O137" s="11"/>
      <c r="P137" s="2">
        <f>--117296.68</f>
        <v>117296.68</v>
      </c>
      <c r="Q137" s="2"/>
      <c r="R137" s="19">
        <f t="shared" si="104"/>
        <v>3.6325098855840961E-2</v>
      </c>
      <c r="S137" s="2"/>
      <c r="T137" s="2">
        <v>81619</v>
      </c>
      <c r="U137" s="2"/>
      <c r="V137" s="19">
        <f t="shared" si="105"/>
        <v>2.2757194158049061E-2</v>
      </c>
      <c r="W137" s="2"/>
      <c r="X137" s="2">
        <f t="shared" si="106"/>
        <v>35677.679999999993</v>
      </c>
      <c r="Y137" s="2"/>
      <c r="Z137" s="19">
        <f t="shared" si="107"/>
        <v>0.43712468910425262</v>
      </c>
    </row>
    <row r="138" spans="1:26" s="24" customFormat="1" hidden="1" outlineLevel="1" x14ac:dyDescent="0.25">
      <c r="A138" s="44"/>
      <c r="B138" s="11" t="str">
        <f>CONCATENATE("          ", "9151", " - ", "MISC. INCOME")</f>
        <v xml:space="preserve">          9151 - MISC. INCOME</v>
      </c>
      <c r="C138" s="11"/>
      <c r="D138" s="2">
        <f>0</f>
        <v>0</v>
      </c>
      <c r="E138" s="2"/>
      <c r="F138" s="19">
        <f t="shared" si="100"/>
        <v>0</v>
      </c>
      <c r="G138" s="2"/>
      <c r="H138" s="2">
        <v>17919</v>
      </c>
      <c r="I138" s="2"/>
      <c r="J138" s="19">
        <f t="shared" si="101"/>
        <v>1.1877711079765402E-2</v>
      </c>
      <c r="K138" s="2"/>
      <c r="L138" s="2">
        <f t="shared" si="102"/>
        <v>-17919</v>
      </c>
      <c r="M138" s="2"/>
      <c r="N138" s="19">
        <f t="shared" si="103"/>
        <v>-1</v>
      </c>
      <c r="O138" s="11"/>
      <c r="P138" s="2">
        <f>0</f>
        <v>0</v>
      </c>
      <c r="Q138" s="2"/>
      <c r="R138" s="19">
        <f t="shared" si="104"/>
        <v>0</v>
      </c>
      <c r="S138" s="2"/>
      <c r="T138" s="2">
        <v>236117</v>
      </c>
      <c r="U138" s="2"/>
      <c r="V138" s="19">
        <f t="shared" si="105"/>
        <v>6.583467590899264E-2</v>
      </c>
      <c r="W138" s="2"/>
      <c r="X138" s="2">
        <f t="shared" si="106"/>
        <v>-236117</v>
      </c>
      <c r="Y138" s="2"/>
      <c r="Z138" s="19">
        <f t="shared" si="107"/>
        <v>-1</v>
      </c>
    </row>
    <row r="139" spans="1:26" s="24" customFormat="1" hidden="1" outlineLevel="1" x14ac:dyDescent="0.25">
      <c r="A139" s="44"/>
      <c r="B139" s="11" t="str">
        <f>CONCATENATE("          ", "9160", " - ", "MISC. INCOME")</f>
        <v xml:space="preserve">          9160 - MISC. INCOME</v>
      </c>
      <c r="C139" s="11"/>
      <c r="D139" s="2">
        <f>--65384.61</f>
        <v>65384.61</v>
      </c>
      <c r="E139" s="2"/>
      <c r="F139" s="19">
        <f t="shared" si="100"/>
        <v>4.6679356683307589E-2</v>
      </c>
      <c r="G139" s="2"/>
      <c r="H139" s="2"/>
      <c r="I139" s="2"/>
      <c r="J139" s="19">
        <f t="shared" si="101"/>
        <v>0</v>
      </c>
      <c r="K139" s="2"/>
      <c r="L139" s="2">
        <f t="shared" si="102"/>
        <v>65384.61</v>
      </c>
      <c r="M139" s="2"/>
      <c r="N139" s="19">
        <f t="shared" si="103"/>
        <v>0</v>
      </c>
      <c r="O139" s="11"/>
      <c r="P139" s="2">
        <f>--96357.88</f>
        <v>96357.88</v>
      </c>
      <c r="Q139" s="2"/>
      <c r="R139" s="19">
        <f t="shared" si="104"/>
        <v>2.9840652919922894E-2</v>
      </c>
      <c r="S139" s="2"/>
      <c r="T139" s="2"/>
      <c r="U139" s="2"/>
      <c r="V139" s="19">
        <f t="shared" si="105"/>
        <v>0</v>
      </c>
      <c r="W139" s="2"/>
      <c r="X139" s="2">
        <f t="shared" si="106"/>
        <v>96357.88</v>
      </c>
      <c r="Y139" s="2"/>
      <c r="Z139" s="19">
        <f t="shared" si="107"/>
        <v>0</v>
      </c>
    </row>
    <row r="140" spans="1:26" s="24" customFormat="1" hidden="1" outlineLevel="1" x14ac:dyDescent="0.25">
      <c r="A140" s="44"/>
      <c r="B140" s="11" t="str">
        <f>CONCATENATE("          ", "9165", " - ", "OTHER INCOME")</f>
        <v xml:space="preserve">          9165 - OTHER INCOME</v>
      </c>
      <c r="C140" s="11"/>
      <c r="D140" s="2">
        <f>--7709.29</f>
        <v>7709.29</v>
      </c>
      <c r="E140" s="2"/>
      <c r="F140" s="19">
        <f t="shared" si="100"/>
        <v>5.5038134766737367E-3</v>
      </c>
      <c r="G140" s="2"/>
      <c r="H140" s="2"/>
      <c r="I140" s="2"/>
      <c r="J140" s="19">
        <f t="shared" si="101"/>
        <v>0</v>
      </c>
      <c r="K140" s="2"/>
      <c r="L140" s="2">
        <f t="shared" si="102"/>
        <v>7709.29</v>
      </c>
      <c r="M140" s="2"/>
      <c r="N140" s="19">
        <f t="shared" si="103"/>
        <v>0</v>
      </c>
      <c r="O140" s="11"/>
      <c r="P140" s="2">
        <f>--212870.07</f>
        <v>212870.07</v>
      </c>
      <c r="Q140" s="2"/>
      <c r="R140" s="19">
        <f t="shared" si="104"/>
        <v>6.5922806478408313E-2</v>
      </c>
      <c r="S140" s="2"/>
      <c r="T140" s="2"/>
      <c r="U140" s="2"/>
      <c r="V140" s="19">
        <f t="shared" si="105"/>
        <v>0</v>
      </c>
      <c r="W140" s="2"/>
      <c r="X140" s="2">
        <f t="shared" si="106"/>
        <v>212870.07</v>
      </c>
      <c r="Y140" s="2"/>
      <c r="Z140" s="19">
        <f t="shared" si="107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8" t="s">
        <v>3</v>
      </c>
      <c r="C142" s="28"/>
      <c r="D142" s="22">
        <f>+D36-D38+D136</f>
        <v>278387.7300000001</v>
      </c>
      <c r="E142" s="14"/>
      <c r="F142" s="20">
        <f>IF(D$12=0,0,D142/D$12)</f>
        <v>0.1987464656426999</v>
      </c>
      <c r="G142" s="14"/>
      <c r="H142" s="22">
        <f>+H36-H38+H136</f>
        <v>302787.7281518227</v>
      </c>
      <c r="I142" s="14"/>
      <c r="J142" s="20">
        <f>IF(H$12=0,0,H142/H$12)</f>
        <v>0.20070456797175618</v>
      </c>
      <c r="K142" s="16"/>
      <c r="L142" s="22">
        <f>+D142-H142</f>
        <v>-24399.998151822598</v>
      </c>
      <c r="M142" s="16"/>
      <c r="N142" s="20">
        <f>IF(H142=0,0,L142/H142)</f>
        <v>-8.0584501560737098E-2</v>
      </c>
      <c r="O142" s="29"/>
      <c r="P142" s="22">
        <f>+P36-P38+P136</f>
        <v>69646.709999999148</v>
      </c>
      <c r="Q142" s="14"/>
      <c r="R142" s="20">
        <f>IF(P$12=0,0,P142/P$12)</f>
        <v>2.1568586815364735E-2</v>
      </c>
      <c r="S142" s="14"/>
      <c r="T142" s="22">
        <f>+T36-T38+T136</f>
        <v>284734.28506729146</v>
      </c>
      <c r="U142" s="14"/>
      <c r="V142" s="20">
        <f>IF(T$12=0,0,T142/T$12)</f>
        <v>7.9390257277467763E-2</v>
      </c>
      <c r="W142" s="16"/>
      <c r="X142" s="22">
        <f>+P142-T142</f>
        <v>-215087.57506729232</v>
      </c>
      <c r="Y142" s="16"/>
      <c r="Z142" s="20">
        <f>IF(T142=0,0,X142/T142)</f>
        <v>-0.75539752796703252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128657.12</v>
      </c>
      <c r="E144" s="4"/>
      <c r="F144" s="12">
        <f>IF(D$12=0,0,D144/D$12)</f>
        <v>9.1850843712719343E-2</v>
      </c>
      <c r="G144" s="4"/>
      <c r="H144" s="4">
        <v>169080</v>
      </c>
      <c r="I144" s="4"/>
      <c r="J144" s="12">
        <f>IF(H$12=0,0,H144/H$12)</f>
        <v>0.11207563978831041</v>
      </c>
      <c r="K144" s="4"/>
      <c r="L144" s="4">
        <f>+D144-H144</f>
        <v>-40422.880000000005</v>
      </c>
      <c r="M144" s="4"/>
      <c r="N144" s="12">
        <f>IF(H144=0,0,L144/H144)</f>
        <v>-0.23907546723444525</v>
      </c>
      <c r="O144" s="10"/>
      <c r="P144" s="4">
        <v>325047.52</v>
      </c>
      <c r="Q144" s="4"/>
      <c r="R144" s="12">
        <f>IF(P$12=0,0,P144/P$12)</f>
        <v>0.1006625532525383</v>
      </c>
      <c r="S144" s="4"/>
      <c r="T144" s="4">
        <v>431901</v>
      </c>
      <c r="U144" s="4"/>
      <c r="V144" s="12">
        <f>IF(T$12=0,0,T144/T$12)</f>
        <v>0.12042361354654613</v>
      </c>
      <c r="W144" s="4"/>
      <c r="X144" s="4">
        <f>+P144-T144</f>
        <v>-106853.47999999998</v>
      </c>
      <c r="Y144" s="4"/>
      <c r="Z144" s="12">
        <f>IF(T144=0,0,X144/T144)</f>
        <v>-0.24740271497403335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8" t="s">
        <v>4</v>
      </c>
      <c r="C146" s="28"/>
      <c r="D146" s="31">
        <f>+D142-D144</f>
        <v>149730.6100000001</v>
      </c>
      <c r="E146" s="14"/>
      <c r="F146" s="33">
        <f>IF(D$12=0,0,D146/D$12)</f>
        <v>0.10689562192998057</v>
      </c>
      <c r="G146" s="14"/>
      <c r="H146" s="31">
        <f>+H142-H144</f>
        <v>133707.7281518227</v>
      </c>
      <c r="I146" s="14"/>
      <c r="J146" s="33">
        <f>IF(H$12=0,0,H146/H$12)</f>
        <v>8.8628928183445768E-2</v>
      </c>
      <c r="K146" s="16"/>
      <c r="L146" s="31">
        <f>D146-H146</f>
        <v>16022.881848177407</v>
      </c>
      <c r="M146" s="16"/>
      <c r="N146" s="33">
        <f>IF(H146=0,0,L146/H146)</f>
        <v>0.11983512149711882</v>
      </c>
      <c r="O146" s="29"/>
      <c r="P146" s="31">
        <f>+P142-P144</f>
        <v>-255400.81000000087</v>
      </c>
      <c r="Q146" s="14"/>
      <c r="R146" s="33">
        <f>IF(P$12=0,0,P146/P$12)</f>
        <v>-7.9093966437173563E-2</v>
      </c>
      <c r="S146" s="14"/>
      <c r="T146" s="31">
        <f>+T142-T144</f>
        <v>-147166.71493270854</v>
      </c>
      <c r="U146" s="14"/>
      <c r="V146" s="33">
        <f>IF(T$12=0,0,T146/T$12)</f>
        <v>-4.1033356269078357E-2</v>
      </c>
      <c r="W146" s="16"/>
      <c r="X146" s="31">
        <f>P146-T146</f>
        <v>-108234.09506729234</v>
      </c>
      <c r="Y146" s="16"/>
      <c r="Z146" s="33">
        <f>IF(T146=0,0,X146/T146)</f>
        <v>0.73545227340830432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8" t="s">
        <v>5</v>
      </c>
      <c r="C149" s="28"/>
      <c r="D149" s="32">
        <f>SUM(D146:D148)</f>
        <v>149730.6100000001</v>
      </c>
      <c r="E149" s="14"/>
      <c r="F149" s="34">
        <f>IF(D$12=0,0,D149/D$12)</f>
        <v>0.10689562192998057</v>
      </c>
      <c r="G149" s="14"/>
      <c r="H149" s="32">
        <f>SUM(H146:H148)</f>
        <v>133707.7281518227</v>
      </c>
      <c r="I149" s="14"/>
      <c r="J149" s="34">
        <f>IF(H$12=0,0,H149/H$12)</f>
        <v>8.8628928183445768E-2</v>
      </c>
      <c r="K149" s="16"/>
      <c r="L149" s="32">
        <f>+D149-H149</f>
        <v>16022.881848177407</v>
      </c>
      <c r="M149" s="16"/>
      <c r="N149" s="34">
        <f>IF(H149=0,0,L149/H149)</f>
        <v>0.11983512149711882</v>
      </c>
      <c r="O149" s="29"/>
      <c r="P149" s="32">
        <f>SUM(P146:P148)</f>
        <v>-255400.81000000087</v>
      </c>
      <c r="Q149" s="14"/>
      <c r="R149" s="34">
        <f>IF(P$12=0,0,P149/P$12)</f>
        <v>-7.9093966437173563E-2</v>
      </c>
      <c r="S149" s="14"/>
      <c r="T149" s="32">
        <f>SUM(T146:T148)</f>
        <v>-147166.71493270854</v>
      </c>
      <c r="U149" s="14"/>
      <c r="V149" s="34">
        <f>IF(T$12=0,0,T149/T$12)</f>
        <v>-4.1033356269078357E-2</v>
      </c>
      <c r="W149" s="16"/>
      <c r="X149" s="32">
        <f>+P149-T149</f>
        <v>-108234.09506729234</v>
      </c>
      <c r="Y149" s="16"/>
      <c r="Z149" s="34">
        <f>IF(T149=0,0,X149/T149)</f>
        <v>0.73545227340830432</v>
      </c>
    </row>
    <row r="150" spans="1:26" ht="15.75" thickTop="1" x14ac:dyDescent="0.25">
      <c r="A150" s="9"/>
      <c r="C150" s="9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A151" s="9"/>
      <c r="B151" s="60">
        <v>43791.34780246528</v>
      </c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54" t="s">
        <v>314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55"/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301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871131.28999999992</v>
      </c>
      <c r="E12" s="4"/>
      <c r="F12" s="12"/>
      <c r="G12" s="4"/>
      <c r="H12" s="4">
        <f>SUM(OSRRefH13x_0)</f>
        <v>993590</v>
      </c>
      <c r="I12" s="4"/>
      <c r="J12" s="12"/>
      <c r="K12" s="4"/>
      <c r="L12" s="4">
        <f t="shared" ref="L12:L23" si="0">+D12-H12</f>
        <v>-122458.71000000008</v>
      </c>
      <c r="M12" s="4"/>
      <c r="N12" s="12">
        <f t="shared" ref="N12:N23" si="1">IF(H12=0,0,L12/H12)</f>
        <v>-0.12324873438742347</v>
      </c>
      <c r="O12" s="10"/>
      <c r="P12" s="4">
        <f>SUM(OSRRefP13x_0)</f>
        <v>2111008.38</v>
      </c>
      <c r="Q12" s="4"/>
      <c r="R12" s="12"/>
      <c r="S12" s="4"/>
      <c r="T12" s="4">
        <f>SUM(OSRRefT13x_0)</f>
        <v>2467749</v>
      </c>
      <c r="U12" s="4"/>
      <c r="V12" s="12"/>
      <c r="W12" s="4"/>
      <c r="X12" s="4">
        <f t="shared" ref="X12:X23" si="2">+P12-T12</f>
        <v>-356740.62000000011</v>
      </c>
      <c r="Y12" s="4"/>
      <c r="Z12" s="12">
        <f t="shared" ref="Z12:Z23" si="3">IF(T12=0,0,X12/T12)</f>
        <v>-0.14456114458966454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481470</v>
      </c>
      <c r="I13" s="2"/>
      <c r="J13" s="19"/>
      <c r="K13" s="2"/>
      <c r="L13" s="2">
        <f t="shared" si="0"/>
        <v>-481470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1238549</v>
      </c>
      <c r="U13" s="2"/>
      <c r="V13" s="19"/>
      <c r="W13" s="2"/>
      <c r="X13" s="2">
        <f t="shared" si="2"/>
        <v>-1238549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--89845.91</f>
        <v>89845.91</v>
      </c>
      <c r="E14" s="2"/>
      <c r="F14" s="19"/>
      <c r="G14" s="2"/>
      <c r="H14" s="2"/>
      <c r="I14" s="2"/>
      <c r="J14" s="19"/>
      <c r="K14" s="2"/>
      <c r="L14" s="2">
        <f t="shared" si="0"/>
        <v>89845.91</v>
      </c>
      <c r="M14" s="2"/>
      <c r="N14" s="19">
        <f t="shared" si="1"/>
        <v>0</v>
      </c>
      <c r="O14" s="11"/>
      <c r="P14" s="2">
        <f>--225616.67</f>
        <v>225616.67</v>
      </c>
      <c r="Q14" s="2"/>
      <c r="R14" s="19"/>
      <c r="S14" s="2"/>
      <c r="T14" s="2"/>
      <c r="U14" s="2"/>
      <c r="V14" s="19"/>
      <c r="W14" s="2"/>
      <c r="X14" s="2">
        <f t="shared" si="2"/>
        <v>225616.67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--115316.39</f>
        <v>115316.39</v>
      </c>
      <c r="E15" s="2"/>
      <c r="F15" s="19"/>
      <c r="G15" s="2"/>
      <c r="H15" s="2"/>
      <c r="I15" s="2"/>
      <c r="J15" s="19"/>
      <c r="K15" s="2"/>
      <c r="L15" s="2">
        <f t="shared" si="0"/>
        <v>115316.39</v>
      </c>
      <c r="M15" s="2"/>
      <c r="N15" s="19">
        <f t="shared" si="1"/>
        <v>0</v>
      </c>
      <c r="O15" s="11"/>
      <c r="P15" s="2">
        <f>--368822.4</f>
        <v>368822.4</v>
      </c>
      <c r="Q15" s="2"/>
      <c r="R15" s="19"/>
      <c r="S15" s="2"/>
      <c r="T15" s="2"/>
      <c r="U15" s="2"/>
      <c r="V15" s="19"/>
      <c r="W15" s="2"/>
      <c r="X15" s="2">
        <f t="shared" si="2"/>
        <v>368822.4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--13668.19</f>
        <v>13668.19</v>
      </c>
      <c r="E16" s="2"/>
      <c r="F16" s="19"/>
      <c r="G16" s="2"/>
      <c r="H16" s="2"/>
      <c r="I16" s="2"/>
      <c r="J16" s="19"/>
      <c r="K16" s="2"/>
      <c r="L16" s="2">
        <f t="shared" si="0"/>
        <v>13668.19</v>
      </c>
      <c r="M16" s="2"/>
      <c r="N16" s="19">
        <f t="shared" si="1"/>
        <v>0</v>
      </c>
      <c r="O16" s="11"/>
      <c r="P16" s="2">
        <f>--60500.61</f>
        <v>60500.61</v>
      </c>
      <c r="Q16" s="2"/>
      <c r="R16" s="19"/>
      <c r="S16" s="2"/>
      <c r="T16" s="2"/>
      <c r="U16" s="2"/>
      <c r="V16" s="19"/>
      <c r="W16" s="2"/>
      <c r="X16" s="2">
        <f t="shared" si="2"/>
        <v>60500.61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--75155.92</f>
        <v>75155.92</v>
      </c>
      <c r="E17" s="2"/>
      <c r="F17" s="19"/>
      <c r="G17" s="2"/>
      <c r="H17" s="2"/>
      <c r="I17" s="2"/>
      <c r="J17" s="19"/>
      <c r="K17" s="2"/>
      <c r="L17" s="2">
        <f t="shared" si="0"/>
        <v>75155.92</v>
      </c>
      <c r="M17" s="2"/>
      <c r="N17" s="19">
        <f t="shared" si="1"/>
        <v>0</v>
      </c>
      <c r="O17" s="11"/>
      <c r="P17" s="2">
        <f>--185991.6</f>
        <v>185991.6</v>
      </c>
      <c r="Q17" s="2"/>
      <c r="R17" s="19"/>
      <c r="S17" s="2"/>
      <c r="T17" s="2"/>
      <c r="U17" s="2"/>
      <c r="V17" s="19"/>
      <c r="W17" s="2"/>
      <c r="X17" s="2">
        <f t="shared" si="2"/>
        <v>185991.6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--21855.03</f>
        <v>21855.03</v>
      </c>
      <c r="E18" s="2"/>
      <c r="F18" s="19"/>
      <c r="G18" s="2"/>
      <c r="H18" s="2"/>
      <c r="I18" s="2"/>
      <c r="J18" s="19"/>
      <c r="K18" s="2"/>
      <c r="L18" s="2">
        <f t="shared" si="0"/>
        <v>21855.03</v>
      </c>
      <c r="M18" s="2"/>
      <c r="N18" s="19">
        <f t="shared" si="1"/>
        <v>0</v>
      </c>
      <c r="O18" s="11"/>
      <c r="P18" s="2">
        <f>--64145.93</f>
        <v>64145.93</v>
      </c>
      <c r="Q18" s="2"/>
      <c r="R18" s="19"/>
      <c r="S18" s="2"/>
      <c r="T18" s="2"/>
      <c r="U18" s="2"/>
      <c r="V18" s="19"/>
      <c r="W18" s="2"/>
      <c r="X18" s="2">
        <f t="shared" si="2"/>
        <v>64145.93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512120.00000000006</v>
      </c>
      <c r="I19" s="2"/>
      <c r="J19" s="19"/>
      <c r="K19" s="2"/>
      <c r="L19" s="2">
        <f t="shared" si="0"/>
        <v>-512120.00000000006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1229200</v>
      </c>
      <c r="U19" s="2"/>
      <c r="V19" s="19"/>
      <c r="W19" s="2"/>
      <c r="X19" s="2">
        <f t="shared" si="2"/>
        <v>-1229200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--301473.99</f>
        <v>301473.99</v>
      </c>
      <c r="E20" s="2"/>
      <c r="F20" s="19"/>
      <c r="G20" s="2"/>
      <c r="H20" s="2"/>
      <c r="I20" s="2"/>
      <c r="J20" s="19"/>
      <c r="K20" s="2"/>
      <c r="L20" s="2">
        <f t="shared" si="0"/>
        <v>301473.99</v>
      </c>
      <c r="M20" s="2"/>
      <c r="N20" s="19">
        <f t="shared" si="1"/>
        <v>0</v>
      </c>
      <c r="O20" s="11"/>
      <c r="P20" s="2">
        <f>--641025.08</f>
        <v>641025.07999999996</v>
      </c>
      <c r="Q20" s="2"/>
      <c r="R20" s="19"/>
      <c r="S20" s="2"/>
      <c r="T20" s="2"/>
      <c r="U20" s="2"/>
      <c r="V20" s="19"/>
      <c r="W20" s="2"/>
      <c r="X20" s="2">
        <f t="shared" si="2"/>
        <v>641025.07999999996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--9149.73</f>
        <v>9149.73</v>
      </c>
      <c r="E21" s="2"/>
      <c r="F21" s="19"/>
      <c r="G21" s="2"/>
      <c r="H21" s="2"/>
      <c r="I21" s="2"/>
      <c r="J21" s="19"/>
      <c r="K21" s="2"/>
      <c r="L21" s="2">
        <f t="shared" si="0"/>
        <v>9149.73</v>
      </c>
      <c r="M21" s="2"/>
      <c r="N21" s="19">
        <f t="shared" si="1"/>
        <v>0</v>
      </c>
      <c r="O21" s="11"/>
      <c r="P21" s="2">
        <f>--24938.79</f>
        <v>24938.79</v>
      </c>
      <c r="Q21" s="2"/>
      <c r="R21" s="19"/>
      <c r="S21" s="2"/>
      <c r="T21" s="2"/>
      <c r="U21" s="2"/>
      <c r="V21" s="19"/>
      <c r="W21" s="2"/>
      <c r="X21" s="2">
        <f t="shared" si="2"/>
        <v>24938.79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--149192.49</f>
        <v>149192.49</v>
      </c>
      <c r="E22" s="2"/>
      <c r="F22" s="19"/>
      <c r="G22" s="2"/>
      <c r="H22" s="2"/>
      <c r="I22" s="2"/>
      <c r="J22" s="19"/>
      <c r="K22" s="2"/>
      <c r="L22" s="2">
        <f t="shared" si="0"/>
        <v>149192.49</v>
      </c>
      <c r="M22" s="2"/>
      <c r="N22" s="19">
        <f t="shared" si="1"/>
        <v>0</v>
      </c>
      <c r="O22" s="11"/>
      <c r="P22" s="2">
        <f>--332247.03</f>
        <v>332247.03000000003</v>
      </c>
      <c r="Q22" s="2"/>
      <c r="R22" s="19"/>
      <c r="S22" s="2"/>
      <c r="T22" s="2"/>
      <c r="U22" s="2"/>
      <c r="V22" s="19"/>
      <c r="W22" s="2"/>
      <c r="X22" s="2">
        <f t="shared" si="2"/>
        <v>332247.03000000003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--95473.64</f>
        <v>95473.64</v>
      </c>
      <c r="E23" s="2"/>
      <c r="F23" s="19"/>
      <c r="G23" s="2"/>
      <c r="H23" s="2"/>
      <c r="I23" s="2"/>
      <c r="J23" s="19"/>
      <c r="K23" s="2"/>
      <c r="L23" s="2">
        <f t="shared" si="0"/>
        <v>95473.64</v>
      </c>
      <c r="M23" s="2"/>
      <c r="N23" s="19">
        <f t="shared" si="1"/>
        <v>0</v>
      </c>
      <c r="O23" s="11"/>
      <c r="P23" s="2">
        <f>--207720.27</f>
        <v>207720.27</v>
      </c>
      <c r="Q23" s="2"/>
      <c r="R23" s="19"/>
      <c r="S23" s="2"/>
      <c r="T23" s="2"/>
      <c r="U23" s="2"/>
      <c r="V23" s="19"/>
      <c r="W23" s="2"/>
      <c r="X23" s="2">
        <f t="shared" si="2"/>
        <v>207720.27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243493.85999999996</v>
      </c>
      <c r="E25" s="4"/>
      <c r="F25" s="12">
        <f t="shared" ref="F25:F28" si="4">IF(D$12=0,0,D25/D$12)</f>
        <v>0.27951453792917941</v>
      </c>
      <c r="G25" s="4"/>
      <c r="H25" s="4">
        <f>SUM(OSRRefH16x_0)</f>
        <v>305880</v>
      </c>
      <c r="I25" s="4"/>
      <c r="J25" s="12">
        <f t="shared" ref="J25:J28" si="5">IF(H$12=0,0,H25/H$12)</f>
        <v>0.30785333990881553</v>
      </c>
      <c r="K25" s="4"/>
      <c r="L25" s="4">
        <f t="shared" ref="L25:L28" si="6">+D25-H25</f>
        <v>-62386.140000000043</v>
      </c>
      <c r="M25" s="4"/>
      <c r="N25" s="12">
        <f t="shared" ref="N25:N28" si="7">IF(H25=0,0,L25/H25)</f>
        <v>-0.20395625735582595</v>
      </c>
      <c r="O25" s="10"/>
      <c r="P25" s="4">
        <f>SUM(OSRRefP16x_0)</f>
        <v>685404.78999999992</v>
      </c>
      <c r="Q25" s="4"/>
      <c r="R25" s="12">
        <f t="shared" ref="R25:R28" si="8">IF(P$12=0,0,P25/P$12)</f>
        <v>0.32468122651412684</v>
      </c>
      <c r="S25" s="4"/>
      <c r="T25" s="4">
        <f>SUM(OSRRefT16x_0)</f>
        <v>766340</v>
      </c>
      <c r="U25" s="4"/>
      <c r="V25" s="12">
        <f t="shared" ref="V25:V28" si="9">IF(T$12=0,0,T25/T$12)</f>
        <v>0.31054211753302302</v>
      </c>
      <c r="W25" s="4"/>
      <c r="X25" s="4">
        <f t="shared" ref="X25:X28" si="10">+P25-T25</f>
        <v>-80935.210000000079</v>
      </c>
      <c r="Y25" s="4"/>
      <c r="Z25" s="12">
        <f t="shared" ref="Z25:Z28" si="11">IF(T25=0,0,X25/T25)</f>
        <v>-0.10561266539656038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305880</v>
      </c>
      <c r="I26" s="2"/>
      <c r="J26" s="19">
        <f t="shared" si="5"/>
        <v>0.30785333990881553</v>
      </c>
      <c r="K26" s="2"/>
      <c r="L26" s="2">
        <f t="shared" si="6"/>
        <v>-305880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766340</v>
      </c>
      <c r="U26" s="2"/>
      <c r="V26" s="19">
        <f t="shared" si="9"/>
        <v>0.31054211753302302</v>
      </c>
      <c r="W26" s="2"/>
      <c r="X26" s="2">
        <f t="shared" si="10"/>
        <v>-766340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275289.89999999997</v>
      </c>
      <c r="E27" s="2"/>
      <c r="F27" s="19">
        <f t="shared" si="4"/>
        <v>0.31601424855259186</v>
      </c>
      <c r="G27" s="2"/>
      <c r="H27" s="2"/>
      <c r="I27" s="2"/>
      <c r="J27" s="19">
        <f t="shared" si="5"/>
        <v>0</v>
      </c>
      <c r="K27" s="2"/>
      <c r="L27" s="2">
        <f t="shared" si="6"/>
        <v>275289.89999999997</v>
      </c>
      <c r="M27" s="2"/>
      <c r="N27" s="19">
        <f t="shared" si="7"/>
        <v>0</v>
      </c>
      <c r="O27" s="11"/>
      <c r="P27" s="2">
        <v>725056.94</v>
      </c>
      <c r="Q27" s="2"/>
      <c r="R27" s="19">
        <f t="shared" si="8"/>
        <v>0.34346473792775756</v>
      </c>
      <c r="S27" s="2"/>
      <c r="T27" s="2"/>
      <c r="U27" s="2"/>
      <c r="V27" s="19">
        <f t="shared" si="9"/>
        <v>0</v>
      </c>
      <c r="W27" s="2"/>
      <c r="X27" s="2">
        <f t="shared" si="10"/>
        <v>725056.94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-31796.04</v>
      </c>
      <c r="E28" s="2"/>
      <c r="F28" s="19">
        <f t="shared" si="4"/>
        <v>-3.6499710623412465E-2</v>
      </c>
      <c r="G28" s="2"/>
      <c r="H28" s="2"/>
      <c r="I28" s="2"/>
      <c r="J28" s="19">
        <f t="shared" si="5"/>
        <v>0</v>
      </c>
      <c r="K28" s="2"/>
      <c r="L28" s="2">
        <f t="shared" si="6"/>
        <v>-31796.04</v>
      </c>
      <c r="M28" s="2"/>
      <c r="N28" s="19">
        <f t="shared" si="7"/>
        <v>0</v>
      </c>
      <c r="O28" s="11"/>
      <c r="P28" s="2">
        <v>-39652.15</v>
      </c>
      <c r="Q28" s="2"/>
      <c r="R28" s="19">
        <f t="shared" si="8"/>
        <v>-1.8783511413630678E-2</v>
      </c>
      <c r="S28" s="2"/>
      <c r="T28" s="2"/>
      <c r="U28" s="2"/>
      <c r="V28" s="19">
        <f t="shared" si="9"/>
        <v>0</v>
      </c>
      <c r="W28" s="2"/>
      <c r="X28" s="2">
        <f t="shared" si="10"/>
        <v>-39652.15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2">
        <f>D12-D25</f>
        <v>627637.42999999993</v>
      </c>
      <c r="E30" s="14"/>
      <c r="F30" s="20">
        <f>IF(D$12=0,0,D30/D$12)</f>
        <v>0.72048546207082054</v>
      </c>
      <c r="G30" s="14"/>
      <c r="H30" s="22">
        <f>H12-H25</f>
        <v>687710</v>
      </c>
      <c r="I30" s="14"/>
      <c r="J30" s="20">
        <f>IF(H$12=0,0,H30/H$12)</f>
        <v>0.69214666009118453</v>
      </c>
      <c r="K30" s="16"/>
      <c r="L30" s="22">
        <f>+D30-H30</f>
        <v>-60072.570000000065</v>
      </c>
      <c r="M30" s="16"/>
      <c r="N30" s="20">
        <f>IF(H30=0,0,L30/H30)</f>
        <v>-8.7351601692573999E-2</v>
      </c>
      <c r="O30" s="29"/>
      <c r="P30" s="22">
        <f>P12-P25</f>
        <v>1425603.5899999999</v>
      </c>
      <c r="Q30" s="14"/>
      <c r="R30" s="20">
        <f>IF(P$12=0,0,P30/P$12)</f>
        <v>0.6753187734858731</v>
      </c>
      <c r="S30" s="14"/>
      <c r="T30" s="22">
        <f>T12-T25</f>
        <v>1701409</v>
      </c>
      <c r="U30" s="14"/>
      <c r="V30" s="20">
        <f>IF(T$12=0,0,T30/T$12)</f>
        <v>0.68945788246697703</v>
      </c>
      <c r="W30" s="16"/>
      <c r="X30" s="22">
        <f>+P30-T30</f>
        <v>-275805.41000000015</v>
      </c>
      <c r="Y30" s="16"/>
      <c r="Z30" s="20">
        <f>IF(T30=0,0,X30/T30)</f>
        <v>-0.16210412076108693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603646.81999999995</v>
      </c>
      <c r="E32" s="21"/>
      <c r="F32" s="35">
        <f t="shared" ref="F32:F43" si="12">IF(D$12=0,0,D32/D$12)</f>
        <v>0.69294585894165273</v>
      </c>
      <c r="G32" s="21"/>
      <c r="H32" s="21">
        <f>SUM(OSRRefH22x_0)</f>
        <v>563701.78637425427</v>
      </c>
      <c r="I32" s="21"/>
      <c r="J32" s="35">
        <f t="shared" ref="J32:J43" si="13">IF(H$12=0,0,H32/H$12)</f>
        <v>0.56733842568288151</v>
      </c>
      <c r="K32" s="4"/>
      <c r="L32" s="21">
        <f t="shared" ref="L32:L43" si="14">+D32-H32</f>
        <v>39945.03362574568</v>
      </c>
      <c r="M32" s="4"/>
      <c r="N32" s="35">
        <f t="shared" ref="N32:N43" si="15">IF(H32=0,0,L32/H32)</f>
        <v>7.0861995812845052E-2</v>
      </c>
      <c r="O32" s="10"/>
      <c r="P32" s="21">
        <f>SUM(OSRRefP22x_0)</f>
        <v>1929839.2100000004</v>
      </c>
      <c r="Q32" s="21"/>
      <c r="R32" s="35">
        <f t="shared" ref="R32:R43" si="16">IF(P$12=0,0,P32/P$12)</f>
        <v>0.91417884849893416</v>
      </c>
      <c r="S32" s="21"/>
      <c r="T32" s="21">
        <f>SUM(OSRRefT22x_0)</f>
        <v>1894929.8018198356</v>
      </c>
      <c r="U32" s="21"/>
      <c r="V32" s="35">
        <f t="shared" ref="V32:V43" si="17">IF(T$12=0,0,T32/T$12)</f>
        <v>0.76787785217209514</v>
      </c>
      <c r="W32" s="4"/>
      <c r="X32" s="21">
        <f t="shared" ref="X32:X43" si="18">+P32-T32</f>
        <v>34909.408180164872</v>
      </c>
      <c r="Y32" s="4"/>
      <c r="Z32" s="35">
        <f t="shared" ref="Z32:Z43" si="19">IF(T32=0,0,X32/T32)</f>
        <v>1.8422533724805474E-2</v>
      </c>
    </row>
    <row r="33" spans="1:26" s="26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73113.73</v>
      </c>
      <c r="E33" s="1"/>
      <c r="F33" s="5">
        <f t="shared" si="12"/>
        <v>8.3929633614698879E-2</v>
      </c>
      <c r="G33" s="1"/>
      <c r="H33" s="1">
        <f>SUM(OSRRefH22_0x_0)</f>
        <v>74965.91472040808</v>
      </c>
      <c r="I33" s="1"/>
      <c r="J33" s="5">
        <f t="shared" si="13"/>
        <v>7.544954631226973E-2</v>
      </c>
      <c r="K33" s="1"/>
      <c r="L33" s="1">
        <f t="shared" si="14"/>
        <v>-1852.1847204080841</v>
      </c>
      <c r="M33" s="1"/>
      <c r="N33" s="5">
        <f t="shared" si="15"/>
        <v>-2.4707024883454949E-2</v>
      </c>
      <c r="O33" s="13"/>
      <c r="P33" s="1">
        <f>SUM(OSRRefP22_0x_0)</f>
        <v>275996.31999999995</v>
      </c>
      <c r="Q33" s="1"/>
      <c r="R33" s="5">
        <f t="shared" si="16"/>
        <v>0.13074146110211082</v>
      </c>
      <c r="S33" s="1"/>
      <c r="T33" s="1">
        <f>SUM(OSRRefT22_0x_0)</f>
        <v>272792.07181598927</v>
      </c>
      <c r="U33" s="1"/>
      <c r="V33" s="5">
        <f t="shared" si="17"/>
        <v>0.11054287604452044</v>
      </c>
      <c r="W33" s="1"/>
      <c r="X33" s="1">
        <f t="shared" si="18"/>
        <v>3204.2481840106775</v>
      </c>
      <c r="Y33" s="1"/>
      <c r="Z33" s="5">
        <f t="shared" si="19"/>
        <v>1.174611916937267E-2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6">
        <v>23590.09</v>
      </c>
      <c r="E34" s="2"/>
      <c r="F34" s="7">
        <f t="shared" si="12"/>
        <v>2.7079833167282973E-2</v>
      </c>
      <c r="G34" s="2"/>
      <c r="H34" s="6">
        <v>12804.512683761926</v>
      </c>
      <c r="I34" s="2"/>
      <c r="J34" s="7">
        <f t="shared" si="13"/>
        <v>1.2887119117303844E-2</v>
      </c>
      <c r="K34" s="2"/>
      <c r="L34" s="6">
        <f t="shared" si="14"/>
        <v>10785.577316238074</v>
      </c>
      <c r="M34" s="2"/>
      <c r="N34" s="7">
        <f t="shared" si="15"/>
        <v>0.84232626282731005</v>
      </c>
      <c r="O34" s="11"/>
      <c r="P34" s="6">
        <v>58001.82</v>
      </c>
      <c r="Q34" s="2"/>
      <c r="R34" s="7">
        <f t="shared" si="16"/>
        <v>2.7475883350117258E-2</v>
      </c>
      <c r="S34" s="2"/>
      <c r="T34" s="6">
        <v>48180.056679696929</v>
      </c>
      <c r="U34" s="2"/>
      <c r="V34" s="7">
        <f t="shared" si="17"/>
        <v>1.9523888644954138E-2</v>
      </c>
      <c r="W34" s="2"/>
      <c r="X34" s="6">
        <f t="shared" si="18"/>
        <v>9821.7633203030709</v>
      </c>
      <c r="Y34" s="2"/>
      <c r="Z34" s="7">
        <f t="shared" si="19"/>
        <v>0.20385537081449639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-1855.04</v>
      </c>
      <c r="E35" s="2"/>
      <c r="F35" s="7">
        <f t="shared" si="12"/>
        <v>-2.1294608760982518E-3</v>
      </c>
      <c r="G35" s="2"/>
      <c r="H35" s="6">
        <v>11149.065897792305</v>
      </c>
      <c r="I35" s="2"/>
      <c r="J35" s="7">
        <f t="shared" si="13"/>
        <v>1.1220992459457428E-2</v>
      </c>
      <c r="K35" s="2"/>
      <c r="L35" s="6">
        <f t="shared" si="14"/>
        <v>-13004.105897792306</v>
      </c>
      <c r="M35" s="2"/>
      <c r="N35" s="7">
        <f t="shared" si="15"/>
        <v>-1.1663852395353882</v>
      </c>
      <c r="O35" s="11"/>
      <c r="P35" s="6">
        <v>18117.550000000003</v>
      </c>
      <c r="Q35" s="2"/>
      <c r="R35" s="7">
        <f t="shared" si="16"/>
        <v>8.5824150068035277E-3</v>
      </c>
      <c r="S35" s="2"/>
      <c r="T35" s="6">
        <v>34472.389425892303</v>
      </c>
      <c r="U35" s="2"/>
      <c r="V35" s="7">
        <f t="shared" si="17"/>
        <v>1.3969163568050195E-2</v>
      </c>
      <c r="W35" s="2"/>
      <c r="X35" s="6">
        <f t="shared" si="18"/>
        <v>-16354.8394258923</v>
      </c>
      <c r="Y35" s="2"/>
      <c r="Z35" s="7">
        <f t="shared" si="19"/>
        <v>-0.47443300851109954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6">
        <v>20713.7</v>
      </c>
      <c r="E36" s="2"/>
      <c r="F36" s="7">
        <f t="shared" si="12"/>
        <v>2.377793133799614E-2</v>
      </c>
      <c r="G36" s="2"/>
      <c r="H36" s="6">
        <v>23871.71153846155</v>
      </c>
      <c r="I36" s="2"/>
      <c r="J36" s="7">
        <f t="shared" si="13"/>
        <v>2.4025716380460301E-2</v>
      </c>
      <c r="K36" s="2"/>
      <c r="L36" s="6">
        <f t="shared" si="14"/>
        <v>-3158.0115384615492</v>
      </c>
      <c r="M36" s="2"/>
      <c r="N36" s="7">
        <f t="shared" si="15"/>
        <v>-0.13229095590290768</v>
      </c>
      <c r="O36" s="11"/>
      <c r="P36" s="6">
        <v>82561.100000000006</v>
      </c>
      <c r="Q36" s="2"/>
      <c r="R36" s="7">
        <f t="shared" si="16"/>
        <v>3.9109792638530413E-2</v>
      </c>
      <c r="S36" s="2"/>
      <c r="T36" s="6">
        <v>88713.157692307723</v>
      </c>
      <c r="U36" s="2"/>
      <c r="V36" s="7">
        <f t="shared" si="17"/>
        <v>3.59490198121072E-2</v>
      </c>
      <c r="W36" s="2"/>
      <c r="X36" s="6">
        <f t="shared" si="18"/>
        <v>-6152.0576923077169</v>
      </c>
      <c r="Y36" s="2"/>
      <c r="Z36" s="7">
        <f t="shared" si="19"/>
        <v>-6.9347747868985607E-2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837.8</v>
      </c>
      <c r="E37" s="2"/>
      <c r="F37" s="7">
        <f t="shared" si="12"/>
        <v>9.6173792586419439E-4</v>
      </c>
      <c r="G37" s="2"/>
      <c r="H37" s="6">
        <v>788.49520769999992</v>
      </c>
      <c r="I37" s="2"/>
      <c r="J37" s="7">
        <f t="shared" si="13"/>
        <v>7.9358206876075634E-4</v>
      </c>
      <c r="K37" s="2"/>
      <c r="L37" s="6">
        <f t="shared" si="14"/>
        <v>49.304792300000031</v>
      </c>
      <c r="M37" s="2"/>
      <c r="N37" s="7">
        <f t="shared" si="15"/>
        <v>6.253023711306957E-2</v>
      </c>
      <c r="O37" s="11"/>
      <c r="P37" s="6">
        <v>2251.42</v>
      </c>
      <c r="Q37" s="2"/>
      <c r="R37" s="7">
        <f t="shared" si="16"/>
        <v>1.0665140040798892E-3</v>
      </c>
      <c r="S37" s="2"/>
      <c r="T37" s="6">
        <v>2475.2372504</v>
      </c>
      <c r="U37" s="2"/>
      <c r="V37" s="7">
        <f t="shared" si="17"/>
        <v>1.0030344457236128E-3</v>
      </c>
      <c r="W37" s="2"/>
      <c r="X37" s="6">
        <f t="shared" si="18"/>
        <v>-223.81725039999992</v>
      </c>
      <c r="Y37" s="2"/>
      <c r="Z37" s="7">
        <f t="shared" si="19"/>
        <v>-9.0422544490969869E-2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6">
        <v>10986.56</v>
      </c>
      <c r="E38" s="2"/>
      <c r="F38" s="7">
        <f t="shared" si="12"/>
        <v>1.26118303017218E-2</v>
      </c>
      <c r="G38" s="2"/>
      <c r="H38" s="6">
        <v>8488.0396596153878</v>
      </c>
      <c r="I38" s="2"/>
      <c r="J38" s="7">
        <f t="shared" si="13"/>
        <v>8.5427990012131635E-3</v>
      </c>
      <c r="K38" s="2"/>
      <c r="L38" s="6">
        <f t="shared" si="14"/>
        <v>2498.5203403846117</v>
      </c>
      <c r="M38" s="2"/>
      <c r="N38" s="7">
        <f t="shared" si="15"/>
        <v>0.29435775992802388</v>
      </c>
      <c r="O38" s="11"/>
      <c r="P38" s="6">
        <v>28783.119999999999</v>
      </c>
      <c r="Q38" s="2"/>
      <c r="R38" s="7">
        <f t="shared" si="16"/>
        <v>1.3634772970441737E-2</v>
      </c>
      <c r="S38" s="2"/>
      <c r="T38" s="6">
        <v>30556.942774615403</v>
      </c>
      <c r="U38" s="2"/>
      <c r="V38" s="7">
        <f t="shared" si="17"/>
        <v>1.2382516526038671E-2</v>
      </c>
      <c r="W38" s="2"/>
      <c r="X38" s="6">
        <f t="shared" si="18"/>
        <v>-1773.8227746154043</v>
      </c>
      <c r="Y38" s="2"/>
      <c r="Z38" s="7">
        <f t="shared" si="19"/>
        <v>-5.8049746262213563E-2</v>
      </c>
    </row>
    <row r="39" spans="1:26" s="24" customFormat="1" hidden="1" outlineLevel="2" x14ac:dyDescent="0.25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8000</v>
      </c>
      <c r="U39" s="2"/>
      <c r="V39" s="7">
        <f t="shared" si="17"/>
        <v>3.2418207848529165E-3</v>
      </c>
      <c r="W39" s="2"/>
      <c r="X39" s="6">
        <f t="shared" si="18"/>
        <v>-8000</v>
      </c>
      <c r="Y39" s="2"/>
      <c r="Z39" s="7">
        <f t="shared" si="19"/>
        <v>-1</v>
      </c>
    </row>
    <row r="40" spans="1:26" s="24" customFormat="1" hidden="1" outlineLevel="2" x14ac:dyDescent="0.25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56</v>
      </c>
      <c r="E40" s="2"/>
      <c r="F40" s="7">
        <f t="shared" si="12"/>
        <v>6.428422517115647E-5</v>
      </c>
      <c r="G40" s="2"/>
      <c r="H40" s="6"/>
      <c r="I40" s="2"/>
      <c r="J40" s="7">
        <f t="shared" si="13"/>
        <v>0</v>
      </c>
      <c r="K40" s="2"/>
      <c r="L40" s="6">
        <f t="shared" si="14"/>
        <v>56</v>
      </c>
      <c r="M40" s="2"/>
      <c r="N40" s="7">
        <f t="shared" si="15"/>
        <v>0</v>
      </c>
      <c r="O40" s="11"/>
      <c r="P40" s="6">
        <v>252</v>
      </c>
      <c r="Q40" s="2"/>
      <c r="R40" s="7">
        <f t="shared" si="16"/>
        <v>1.1937423005398018E-4</v>
      </c>
      <c r="S40" s="2"/>
      <c r="T40" s="6"/>
      <c r="U40" s="2"/>
      <c r="V40" s="7">
        <f t="shared" si="17"/>
        <v>0</v>
      </c>
      <c r="W40" s="2"/>
      <c r="X40" s="6">
        <f t="shared" si="18"/>
        <v>252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"6118", " - ", "VACATION")</f>
        <v xml:space="preserve">          6118 - VACATION</v>
      </c>
      <c r="C41" s="11"/>
      <c r="D41" s="6">
        <v>9256.32</v>
      </c>
      <c r="E41" s="2"/>
      <c r="F41" s="7">
        <f t="shared" si="12"/>
        <v>1.0625631413147841E-2</v>
      </c>
      <c r="G41" s="2"/>
      <c r="H41" s="6">
        <v>6563.8380096153815</v>
      </c>
      <c r="I41" s="2"/>
      <c r="J41" s="7">
        <f t="shared" si="13"/>
        <v>6.6061836467913139E-3</v>
      </c>
      <c r="K41" s="2"/>
      <c r="L41" s="6">
        <f t="shared" si="14"/>
        <v>2692.4819903846183</v>
      </c>
      <c r="M41" s="2"/>
      <c r="N41" s="7">
        <f t="shared" si="15"/>
        <v>0.41019933557781213</v>
      </c>
      <c r="O41" s="11"/>
      <c r="P41" s="6">
        <v>32741.84</v>
      </c>
      <c r="Q41" s="2"/>
      <c r="R41" s="7">
        <f t="shared" si="16"/>
        <v>1.5510047383137344E-2</v>
      </c>
      <c r="S41" s="2"/>
      <c r="T41" s="6">
        <v>23400.092234615371</v>
      </c>
      <c r="U41" s="2"/>
      <c r="V41" s="7">
        <f t="shared" si="17"/>
        <v>9.4823631717064309E-3</v>
      </c>
      <c r="W41" s="2"/>
      <c r="X41" s="6">
        <f t="shared" si="18"/>
        <v>9341.747765384629</v>
      </c>
      <c r="Y41" s="2"/>
      <c r="Z41" s="7">
        <f t="shared" si="19"/>
        <v>0.39921841639433947</v>
      </c>
    </row>
    <row r="42" spans="1:26" s="24" customFormat="1" hidden="1" outlineLevel="2" x14ac:dyDescent="0.25">
      <c r="A42" s="27"/>
      <c r="B42" s="11" t="str">
        <f>CONCATENATE("          ", "6119", " - ", "SICK LEAVE")</f>
        <v xml:space="preserve">          6119 - SICK LEAVE</v>
      </c>
      <c r="C42" s="11"/>
      <c r="D42" s="6">
        <v>7053.18</v>
      </c>
      <c r="E42" s="2"/>
      <c r="F42" s="7">
        <f t="shared" si="12"/>
        <v>8.0965752016553105E-3</v>
      </c>
      <c r="G42" s="2"/>
      <c r="H42" s="6">
        <v>9575.2517234615352</v>
      </c>
      <c r="I42" s="2"/>
      <c r="J42" s="7">
        <f t="shared" si="13"/>
        <v>9.6370250540580467E-3</v>
      </c>
      <c r="K42" s="2"/>
      <c r="L42" s="6">
        <f t="shared" si="14"/>
        <v>-2522.0717234615349</v>
      </c>
      <c r="M42" s="2"/>
      <c r="N42" s="7">
        <f t="shared" si="15"/>
        <v>-0.26339482201620745</v>
      </c>
      <c r="O42" s="11"/>
      <c r="P42" s="6">
        <v>43212</v>
      </c>
      <c r="Q42" s="2"/>
      <c r="R42" s="7">
        <f t="shared" si="16"/>
        <v>2.0469838210684887E-2</v>
      </c>
      <c r="S42" s="2"/>
      <c r="T42" s="6">
        <v>30094.195758461537</v>
      </c>
      <c r="U42" s="2"/>
      <c r="V42" s="7">
        <f t="shared" si="17"/>
        <v>1.2194998664151637E-2</v>
      </c>
      <c r="W42" s="2"/>
      <c r="X42" s="6">
        <f t="shared" si="18"/>
        <v>13117.804241538463</v>
      </c>
      <c r="Y42" s="2"/>
      <c r="Z42" s="7">
        <f t="shared" si="19"/>
        <v>0.43589150369137708</v>
      </c>
    </row>
    <row r="43" spans="1:26" s="24" customFormat="1" hidden="1" outlineLevel="2" x14ac:dyDescent="0.25">
      <c r="A43" s="27"/>
      <c r="B43" s="11" t="str">
        <f>CONCATENATE("          ", "6156", " - ", "EMPLOYEE MEALS")</f>
        <v xml:space="preserve">          6156 - EMPLOYEE MEALS</v>
      </c>
      <c r="C43" s="11"/>
      <c r="D43" s="6">
        <v>2475.12</v>
      </c>
      <c r="E43" s="2"/>
      <c r="F43" s="7">
        <f t="shared" si="12"/>
        <v>2.8412709179577284E-3</v>
      </c>
      <c r="G43" s="2"/>
      <c r="H43" s="6">
        <v>1725</v>
      </c>
      <c r="I43" s="2"/>
      <c r="J43" s="7">
        <f t="shared" si="13"/>
        <v>1.7361285842248816E-3</v>
      </c>
      <c r="K43" s="2"/>
      <c r="L43" s="6">
        <f t="shared" si="14"/>
        <v>750.11999999999989</v>
      </c>
      <c r="M43" s="2"/>
      <c r="N43" s="7">
        <f t="shared" si="15"/>
        <v>0.43485217391304343</v>
      </c>
      <c r="O43" s="11"/>
      <c r="P43" s="6">
        <v>10075.469999999999</v>
      </c>
      <c r="Q43" s="2"/>
      <c r="R43" s="7">
        <f t="shared" si="16"/>
        <v>4.7728233082618083E-3</v>
      </c>
      <c r="S43" s="2"/>
      <c r="T43" s="6">
        <v>6900</v>
      </c>
      <c r="U43" s="2"/>
      <c r="V43" s="7">
        <f t="shared" si="17"/>
        <v>2.7960704269356404E-3</v>
      </c>
      <c r="W43" s="2"/>
      <c r="X43" s="6">
        <f t="shared" si="18"/>
        <v>3175.4699999999993</v>
      </c>
      <c r="Y43" s="2"/>
      <c r="Z43" s="7">
        <f t="shared" si="19"/>
        <v>0.46021304347826075</v>
      </c>
    </row>
    <row r="44" spans="1:26" s="26" customFormat="1" outlineLevel="1" collapsed="1" x14ac:dyDescent="0.25">
      <c r="A44" s="25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302215.24</v>
      </c>
      <c r="E44" s="1"/>
      <c r="F44" s="5">
        <f t="shared" ref="F44:F54" si="20">IF(D$12=0,0,D44/D$12)</f>
        <v>0.34692272389848378</v>
      </c>
      <c r="G44" s="1"/>
      <c r="H44" s="1">
        <f>SUM(OSRRefH22_1x_0)</f>
        <v>283393.10165384616</v>
      </c>
      <c r="I44" s="1"/>
      <c r="J44" s="5">
        <f t="shared" ref="J44:J54" si="21">IF(H$12=0,0,H44/H$12)</f>
        <v>0.28522137063964631</v>
      </c>
      <c r="K44" s="1"/>
      <c r="L44" s="1">
        <f t="shared" ref="L44:L54" si="22">+D44-H44</f>
        <v>18822.138346153835</v>
      </c>
      <c r="M44" s="1"/>
      <c r="N44" s="5">
        <f t="shared" ref="N44:N54" si="23">IF(H44=0,0,L44/H44)</f>
        <v>6.6417066034106784E-2</v>
      </c>
      <c r="O44" s="13"/>
      <c r="P44" s="1">
        <f>SUM(OSRRefP22_1x_0)</f>
        <v>888745.76</v>
      </c>
      <c r="Q44" s="1"/>
      <c r="R44" s="5">
        <f t="shared" ref="R44:R54" si="24">IF(P$12=0,0,P44/P$12)</f>
        <v>0.4210053206894423</v>
      </c>
      <c r="S44" s="1"/>
      <c r="T44" s="1">
        <f>SUM(OSRRefT22_1x_0)</f>
        <v>884570.63000384625</v>
      </c>
      <c r="U44" s="1"/>
      <c r="V44" s="5">
        <f t="shared" ref="V44:V54" si="25">IF(T$12=0,0,T44/T$12)</f>
        <v>0.35845243175211344</v>
      </c>
      <c r="W44" s="1"/>
      <c r="X44" s="1">
        <f t="shared" ref="X44:X54" si="26">+P44-T44</f>
        <v>4175.1299961537588</v>
      </c>
      <c r="Y44" s="1"/>
      <c r="Z44" s="5">
        <f t="shared" ref="Z44:Z54" si="27">IF(T44=0,0,X44/T44)</f>
        <v>4.7199509621245334E-3</v>
      </c>
    </row>
    <row r="45" spans="1:26" s="24" customFormat="1" hidden="1" outlineLevel="2" x14ac:dyDescent="0.25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>
        <v>18561.289999999997</v>
      </c>
      <c r="E45" s="2"/>
      <c r="F45" s="7">
        <f t="shared" si="20"/>
        <v>2.1307109746913119E-2</v>
      </c>
      <c r="G45" s="2"/>
      <c r="H45" s="6">
        <v>25266.276346153853</v>
      </c>
      <c r="I45" s="2"/>
      <c r="J45" s="7">
        <f t="shared" si="21"/>
        <v>2.5429278018250841E-2</v>
      </c>
      <c r="K45" s="2"/>
      <c r="L45" s="6">
        <f t="shared" si="22"/>
        <v>-6704.9863461538553</v>
      </c>
      <c r="M45" s="2"/>
      <c r="N45" s="7">
        <f t="shared" si="23"/>
        <v>-0.2653729522425064</v>
      </c>
      <c r="O45" s="11"/>
      <c r="P45" s="6">
        <v>70256.06</v>
      </c>
      <c r="Q45" s="2"/>
      <c r="R45" s="7">
        <f t="shared" si="24"/>
        <v>3.3280805829866013E-2</v>
      </c>
      <c r="S45" s="2"/>
      <c r="T45" s="6">
        <v>90958.594846153836</v>
      </c>
      <c r="U45" s="2"/>
      <c r="V45" s="7">
        <f t="shared" si="25"/>
        <v>3.6858932916659613E-2</v>
      </c>
      <c r="W45" s="2"/>
      <c r="X45" s="6">
        <f t="shared" si="26"/>
        <v>-20702.534846153838</v>
      </c>
      <c r="Y45" s="2"/>
      <c r="Z45" s="7">
        <f t="shared" si="27"/>
        <v>-0.22760394310367077</v>
      </c>
    </row>
    <row r="46" spans="1:26" s="24" customFormat="1" hidden="1" outlineLevel="2" x14ac:dyDescent="0.25">
      <c r="A46" s="27"/>
      <c r="B46" s="11" t="str">
        <f>CONCATENATE("          ", "6002", " - ", "STAFF SALARIES")</f>
        <v xml:space="preserve">          6002 - STAFF SALARIES</v>
      </c>
      <c r="C46" s="11"/>
      <c r="D46" s="6">
        <v>76976.070000000007</v>
      </c>
      <c r="E46" s="2"/>
      <c r="F46" s="7">
        <f t="shared" si="20"/>
        <v>8.8363339583405406E-2</v>
      </c>
      <c r="G46" s="2"/>
      <c r="H46" s="6">
        <v>64209.752057692305</v>
      </c>
      <c r="I46" s="2"/>
      <c r="J46" s="7">
        <f t="shared" si="21"/>
        <v>6.4623991845421461E-2</v>
      </c>
      <c r="K46" s="2"/>
      <c r="L46" s="6">
        <f t="shared" si="22"/>
        <v>12766.317942307702</v>
      </c>
      <c r="M46" s="2"/>
      <c r="N46" s="7">
        <f t="shared" si="23"/>
        <v>0.19882210307925183</v>
      </c>
      <c r="O46" s="11"/>
      <c r="P46" s="6">
        <v>240490.38</v>
      </c>
      <c r="Q46" s="2"/>
      <c r="R46" s="7">
        <f t="shared" si="24"/>
        <v>0.11392203947575046</v>
      </c>
      <c r="S46" s="2"/>
      <c r="T46" s="6">
        <v>231155.10740769235</v>
      </c>
      <c r="U46" s="2"/>
      <c r="V46" s="7">
        <f t="shared" si="25"/>
        <v>9.3670428964895677E-2</v>
      </c>
      <c r="W46" s="2"/>
      <c r="X46" s="6">
        <f t="shared" si="26"/>
        <v>9335.2725923076505</v>
      </c>
      <c r="Y46" s="2"/>
      <c r="Z46" s="7">
        <f t="shared" si="27"/>
        <v>4.0385318312880128E-2</v>
      </c>
    </row>
    <row r="47" spans="1:26" s="24" customFormat="1" hidden="1" outlineLevel="2" x14ac:dyDescent="0.25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7"/>
      <c r="B48" s="11" t="str">
        <f>CONCATENATE("          ", "6004", " - ", "STAFF HOURLY")</f>
        <v xml:space="preserve">          6004 - STAFF HOURLY</v>
      </c>
      <c r="C48" s="11"/>
      <c r="D48" s="6">
        <v>30306.700000000004</v>
      </c>
      <c r="E48" s="2"/>
      <c r="F48" s="7">
        <f t="shared" si="20"/>
        <v>3.4790048696333717E-2</v>
      </c>
      <c r="G48" s="2"/>
      <c r="H48" s="6">
        <v>66581.170750000005</v>
      </c>
      <c r="I48" s="2"/>
      <c r="J48" s="7">
        <f t="shared" si="21"/>
        <v>6.7010709397236287E-2</v>
      </c>
      <c r="K48" s="2"/>
      <c r="L48" s="6">
        <f t="shared" si="22"/>
        <v>-36274.47075</v>
      </c>
      <c r="M48" s="2"/>
      <c r="N48" s="7">
        <f t="shared" si="23"/>
        <v>-0.54481575408464855</v>
      </c>
      <c r="O48" s="11"/>
      <c r="P48" s="6">
        <v>82835.27</v>
      </c>
      <c r="Q48" s="2"/>
      <c r="R48" s="7">
        <f t="shared" si="24"/>
        <v>3.923966895858557E-2</v>
      </c>
      <c r="S48" s="2"/>
      <c r="T48" s="6">
        <v>215055.29425000001</v>
      </c>
      <c r="U48" s="2"/>
      <c r="V48" s="7">
        <f t="shared" si="25"/>
        <v>8.7146340349038745E-2</v>
      </c>
      <c r="W48" s="2"/>
      <c r="X48" s="6">
        <f t="shared" si="26"/>
        <v>-132220.02425000002</v>
      </c>
      <c r="Y48" s="2"/>
      <c r="Z48" s="7">
        <f t="shared" si="27"/>
        <v>-0.61481873632134498</v>
      </c>
    </row>
    <row r="49" spans="1:26" s="24" customFormat="1" hidden="1" outlineLevel="2" x14ac:dyDescent="0.25">
      <c r="A49" s="27"/>
      <c r="B49" s="11" t="str">
        <f>CONCATENATE("          ", "6005", " - ", "TEMPORARY WAGES-HOURLY")</f>
        <v xml:space="preserve">          6005 - TEMPORARY WAGES-HOURLY</v>
      </c>
      <c r="C49" s="11"/>
      <c r="D49" s="6">
        <v>76586.58</v>
      </c>
      <c r="E49" s="2"/>
      <c r="F49" s="7">
        <f t="shared" si="20"/>
        <v>8.7916231318014085E-2</v>
      </c>
      <c r="G49" s="2"/>
      <c r="H49" s="6">
        <v>40995.39</v>
      </c>
      <c r="I49" s="2"/>
      <c r="J49" s="7">
        <f t="shared" si="21"/>
        <v>4.1259865739389487E-2</v>
      </c>
      <c r="K49" s="2"/>
      <c r="L49" s="6">
        <f t="shared" si="22"/>
        <v>35591.19</v>
      </c>
      <c r="M49" s="2"/>
      <c r="N49" s="7">
        <f t="shared" si="23"/>
        <v>0.86817542167546158</v>
      </c>
      <c r="O49" s="11"/>
      <c r="P49" s="6">
        <v>190484.81</v>
      </c>
      <c r="Q49" s="2"/>
      <c r="R49" s="7">
        <f t="shared" si="24"/>
        <v>9.0234037820351998E-2</v>
      </c>
      <c r="S49" s="2"/>
      <c r="T49" s="6">
        <v>115672.571</v>
      </c>
      <c r="U49" s="2"/>
      <c r="V49" s="7">
        <f t="shared" si="25"/>
        <v>4.6873718113146841E-2</v>
      </c>
      <c r="W49" s="2"/>
      <c r="X49" s="6">
        <f t="shared" si="26"/>
        <v>74812.239000000001</v>
      </c>
      <c r="Y49" s="2"/>
      <c r="Z49" s="7">
        <f t="shared" si="27"/>
        <v>0.64675867712839208</v>
      </c>
    </row>
    <row r="50" spans="1:26" s="24" customFormat="1" hidden="1" outlineLevel="2" x14ac:dyDescent="0.25">
      <c r="A50" s="27"/>
      <c r="B50" s="11" t="str">
        <f>CONCATENATE("          ", "6006", " - ", "TEMPORARY PART TIME")</f>
        <v xml:space="preserve">          6006 - TEMPORARY PART TIME</v>
      </c>
      <c r="C50" s="11"/>
      <c r="D50" s="6">
        <v>2572.38</v>
      </c>
      <c r="E50" s="2"/>
      <c r="F50" s="7">
        <f t="shared" si="20"/>
        <v>2.9529188418889194E-3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2572.38</v>
      </c>
      <c r="M50" s="2"/>
      <c r="N50" s="7">
        <f t="shared" si="23"/>
        <v>0</v>
      </c>
      <c r="O50" s="11"/>
      <c r="P50" s="6">
        <v>9462.9</v>
      </c>
      <c r="Q50" s="2"/>
      <c r="R50" s="7">
        <f t="shared" si="24"/>
        <v>4.4826444507055909E-3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9462.9</v>
      </c>
      <c r="Y50" s="2"/>
      <c r="Z50" s="7">
        <f t="shared" si="27"/>
        <v>0</v>
      </c>
    </row>
    <row r="51" spans="1:26" s="24" customFormat="1" hidden="1" outlineLevel="2" x14ac:dyDescent="0.25">
      <c r="A51" s="27"/>
      <c r="B51" s="11" t="str">
        <f>CONCATENATE("          ", "6007", " - ", "STUDENT HOURLY")</f>
        <v xml:space="preserve">          6007 - STUDENT HOURLY</v>
      </c>
      <c r="C51" s="11"/>
      <c r="D51" s="6">
        <v>90282.72</v>
      </c>
      <c r="E51" s="2"/>
      <c r="F51" s="7">
        <f t="shared" si="20"/>
        <v>0.10363847681329413</v>
      </c>
      <c r="G51" s="2"/>
      <c r="H51" s="6">
        <v>892.5</v>
      </c>
      <c r="I51" s="2"/>
      <c r="J51" s="7">
        <f t="shared" si="21"/>
        <v>8.9825783270765605E-4</v>
      </c>
      <c r="K51" s="2"/>
      <c r="L51" s="6">
        <f t="shared" si="22"/>
        <v>89390.22</v>
      </c>
      <c r="M51" s="2"/>
      <c r="N51" s="7">
        <f t="shared" si="23"/>
        <v>100.15710924369748</v>
      </c>
      <c r="O51" s="11"/>
      <c r="P51" s="6">
        <v>280869.37</v>
      </c>
      <c r="Q51" s="2"/>
      <c r="R51" s="7">
        <f t="shared" si="24"/>
        <v>0.13304986027577967</v>
      </c>
      <c r="S51" s="2"/>
      <c r="T51" s="6">
        <v>46331.299999999996</v>
      </c>
      <c r="U51" s="2"/>
      <c r="V51" s="7">
        <f t="shared" si="25"/>
        <v>1.8774721416156989E-2</v>
      </c>
      <c r="W51" s="2"/>
      <c r="X51" s="6">
        <f t="shared" si="26"/>
        <v>234538.07</v>
      </c>
      <c r="Y51" s="2"/>
      <c r="Z51" s="7">
        <f t="shared" si="27"/>
        <v>5.0621948876893166</v>
      </c>
    </row>
    <row r="52" spans="1:26" s="24" customFormat="1" hidden="1" outlineLevel="2" x14ac:dyDescent="0.25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6929.5</v>
      </c>
      <c r="E52" s="2"/>
      <c r="F52" s="7">
        <f t="shared" si="20"/>
        <v>7.9545988986344414E-3</v>
      </c>
      <c r="G52" s="2"/>
      <c r="H52" s="6">
        <v>85448.012499999997</v>
      </c>
      <c r="I52" s="2"/>
      <c r="J52" s="7">
        <f t="shared" si="21"/>
        <v>8.5999267806640564E-2</v>
      </c>
      <c r="K52" s="2"/>
      <c r="L52" s="6">
        <f t="shared" si="22"/>
        <v>-78518.512499999997</v>
      </c>
      <c r="M52" s="2"/>
      <c r="N52" s="7">
        <f t="shared" si="23"/>
        <v>-0.91890390662977683</v>
      </c>
      <c r="O52" s="11"/>
      <c r="P52" s="6">
        <v>14346.97</v>
      </c>
      <c r="Q52" s="2"/>
      <c r="R52" s="7">
        <f t="shared" si="24"/>
        <v>6.7962638784029843E-3</v>
      </c>
      <c r="S52" s="2"/>
      <c r="T52" s="6">
        <v>185397.76250000001</v>
      </c>
      <c r="U52" s="2"/>
      <c r="V52" s="7">
        <f t="shared" si="25"/>
        <v>7.5128289992215588E-2</v>
      </c>
      <c r="W52" s="2"/>
      <c r="X52" s="6">
        <f t="shared" si="26"/>
        <v>-171050.79250000001</v>
      </c>
      <c r="Y52" s="2"/>
      <c r="Z52" s="7">
        <f t="shared" si="27"/>
        <v>-0.92261519337376041</v>
      </c>
    </row>
    <row r="53" spans="1:26" s="24" customFormat="1" hidden="1" outlineLevel="2" x14ac:dyDescent="0.25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6" customFormat="1" outlineLevel="1" collapsed="1" x14ac:dyDescent="0.25">
      <c r="A55" s="25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6031.99</v>
      </c>
      <c r="E55" s="1"/>
      <c r="F55" s="5">
        <f t="shared" ref="F55:F65" si="28">IF(D$12=0,0,D55/D$12)</f>
        <v>6.9243179176815012E-3</v>
      </c>
      <c r="G55" s="1"/>
      <c r="H55" s="1">
        <f>SUM(OSRRefH22_2x_0)</f>
        <v>3355</v>
      </c>
      <c r="I55" s="1"/>
      <c r="J55" s="5">
        <f t="shared" ref="J55:J65" si="29">IF(H$12=0,0,H55/H$12)</f>
        <v>3.3766442898982476E-3</v>
      </c>
      <c r="K55" s="1"/>
      <c r="L55" s="1">
        <f t="shared" ref="L55:L65" si="30">+D55-H55</f>
        <v>2676.99</v>
      </c>
      <c r="M55" s="1"/>
      <c r="N55" s="5">
        <f t="shared" ref="N55:N65" si="31">IF(H55=0,0,L55/H55)</f>
        <v>0.7979105812220566</v>
      </c>
      <c r="O55" s="13"/>
      <c r="P55" s="1">
        <f>SUM(OSRRefP22_2x_0)</f>
        <v>12669.11</v>
      </c>
      <c r="Q55" s="1"/>
      <c r="R55" s="5">
        <f t="shared" ref="R55:R65" si="32">IF(P$12=0,0,P55/P$12)</f>
        <v>6.0014494115840514E-3</v>
      </c>
      <c r="S55" s="1"/>
      <c r="T55" s="1">
        <f>SUM(OSRRefT22_2x_0)</f>
        <v>10480</v>
      </c>
      <c r="U55" s="1"/>
      <c r="V55" s="5">
        <f t="shared" ref="V55:V65" si="33">IF(T$12=0,0,T55/T$12)</f>
        <v>4.2467852281573206E-3</v>
      </c>
      <c r="W55" s="1"/>
      <c r="X55" s="1">
        <f t="shared" ref="X55:X65" si="34">+P55-T55</f>
        <v>2189.1100000000006</v>
      </c>
      <c r="Y55" s="1"/>
      <c r="Z55" s="5">
        <f t="shared" ref="Z55:Z65" si="35">IF(T55=0,0,X55/T55)</f>
        <v>0.20888454198473289</v>
      </c>
    </row>
    <row r="56" spans="1:26" s="24" customFormat="1" hidden="1" outlineLevel="2" x14ac:dyDescent="0.25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6031.99</v>
      </c>
      <c r="E56" s="2"/>
      <c r="F56" s="7">
        <f t="shared" si="28"/>
        <v>6.9243179176815012E-3</v>
      </c>
      <c r="G56" s="2"/>
      <c r="H56" s="6">
        <v>3355</v>
      </c>
      <c r="I56" s="2"/>
      <c r="J56" s="7">
        <f t="shared" si="29"/>
        <v>3.3766442898982476E-3</v>
      </c>
      <c r="K56" s="2"/>
      <c r="L56" s="6">
        <f t="shared" si="30"/>
        <v>2676.99</v>
      </c>
      <c r="M56" s="2"/>
      <c r="N56" s="7">
        <f t="shared" si="31"/>
        <v>0.7979105812220566</v>
      </c>
      <c r="O56" s="11"/>
      <c r="P56" s="6">
        <v>12669.11</v>
      </c>
      <c r="Q56" s="2"/>
      <c r="R56" s="7">
        <f t="shared" si="32"/>
        <v>6.0014494115840514E-3</v>
      </c>
      <c r="S56" s="2"/>
      <c r="T56" s="6">
        <v>10480</v>
      </c>
      <c r="U56" s="2"/>
      <c r="V56" s="7">
        <f t="shared" si="33"/>
        <v>4.2467852281573206E-3</v>
      </c>
      <c r="W56" s="2"/>
      <c r="X56" s="6">
        <f t="shared" si="34"/>
        <v>2189.1100000000006</v>
      </c>
      <c r="Y56" s="2"/>
      <c r="Z56" s="7">
        <f t="shared" si="35"/>
        <v>0.20888454198473289</v>
      </c>
    </row>
    <row r="57" spans="1:26" s="26" customFormat="1" outlineLevel="1" collapsed="1" x14ac:dyDescent="0.25">
      <c r="A57" s="25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21.31</v>
      </c>
      <c r="E57" s="1"/>
      <c r="F57" s="5">
        <f t="shared" si="28"/>
        <v>2.446244354280972E-5</v>
      </c>
      <c r="G57" s="1"/>
      <c r="H57" s="1">
        <f>SUM(OSRRefH22_3x_0)</f>
        <v>144</v>
      </c>
      <c r="I57" s="1"/>
      <c r="J57" s="5">
        <f t="shared" si="29"/>
        <v>1.4492899485703359E-4</v>
      </c>
      <c r="K57" s="1"/>
      <c r="L57" s="1">
        <f t="shared" si="30"/>
        <v>-122.69</v>
      </c>
      <c r="M57" s="1"/>
      <c r="N57" s="5">
        <f t="shared" si="31"/>
        <v>-0.85201388888888885</v>
      </c>
      <c r="O57" s="13"/>
      <c r="P57" s="1">
        <f>SUM(OSRRefP22_3x_0)</f>
        <v>-29.95</v>
      </c>
      <c r="Q57" s="1"/>
      <c r="R57" s="5">
        <f t="shared" si="32"/>
        <v>-1.418753250046312E-5</v>
      </c>
      <c r="S57" s="1"/>
      <c r="T57" s="1">
        <f>SUM(OSRRefT22_3x_0)</f>
        <v>556</v>
      </c>
      <c r="U57" s="1"/>
      <c r="V57" s="5">
        <f t="shared" si="33"/>
        <v>2.253065445472777E-4</v>
      </c>
      <c r="W57" s="1"/>
      <c r="X57" s="1">
        <f t="shared" si="34"/>
        <v>-585.95000000000005</v>
      </c>
      <c r="Y57" s="1"/>
      <c r="Z57" s="5">
        <f t="shared" si="35"/>
        <v>-1.0538669064748203</v>
      </c>
    </row>
    <row r="58" spans="1:26" s="24" customFormat="1" hidden="1" outlineLevel="2" x14ac:dyDescent="0.25">
      <c r="A58" s="27"/>
      <c r="B58" s="11" t="str">
        <f>CONCATENATE("          ", "6272", " - ", "CASH (OVER/SHORT)")</f>
        <v xml:space="preserve">          6272 - CASH (OVER/SHORT)</v>
      </c>
      <c r="C58" s="11"/>
      <c r="D58" s="6">
        <v>21.31</v>
      </c>
      <c r="E58" s="2"/>
      <c r="F58" s="7">
        <f t="shared" si="28"/>
        <v>2.446244354280972E-5</v>
      </c>
      <c r="G58" s="2"/>
      <c r="H58" s="6">
        <v>144</v>
      </c>
      <c r="I58" s="2"/>
      <c r="J58" s="7">
        <f t="shared" si="29"/>
        <v>1.4492899485703359E-4</v>
      </c>
      <c r="K58" s="2"/>
      <c r="L58" s="6">
        <f t="shared" si="30"/>
        <v>-122.69</v>
      </c>
      <c r="M58" s="2"/>
      <c r="N58" s="7">
        <f t="shared" si="31"/>
        <v>-0.85201388888888885</v>
      </c>
      <c r="O58" s="11"/>
      <c r="P58" s="6">
        <v>-29.95</v>
      </c>
      <c r="Q58" s="2"/>
      <c r="R58" s="7">
        <f t="shared" si="32"/>
        <v>-1.418753250046312E-5</v>
      </c>
      <c r="S58" s="2"/>
      <c r="T58" s="6">
        <v>556</v>
      </c>
      <c r="U58" s="2"/>
      <c r="V58" s="7">
        <f t="shared" si="33"/>
        <v>2.253065445472777E-4</v>
      </c>
      <c r="W58" s="2"/>
      <c r="X58" s="6">
        <f t="shared" si="34"/>
        <v>-585.95000000000005</v>
      </c>
      <c r="Y58" s="2"/>
      <c r="Z58" s="7">
        <f t="shared" si="35"/>
        <v>-1.0538669064748203</v>
      </c>
    </row>
    <row r="59" spans="1:26" s="26" customFormat="1" outlineLevel="1" collapsed="1" x14ac:dyDescent="0.25">
      <c r="A59" s="25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28761.3</v>
      </c>
      <c r="E59" s="1"/>
      <c r="F59" s="5">
        <f t="shared" si="28"/>
        <v>3.3016033668128261E-2</v>
      </c>
      <c r="G59" s="1"/>
      <c r="H59" s="1">
        <f>SUM(OSRRefH22_4x_0)</f>
        <v>16610</v>
      </c>
      <c r="I59" s="1"/>
      <c r="J59" s="5">
        <f t="shared" si="29"/>
        <v>1.6717156976217555E-2</v>
      </c>
      <c r="K59" s="1"/>
      <c r="L59" s="1">
        <f t="shared" si="30"/>
        <v>12151.3</v>
      </c>
      <c r="M59" s="1"/>
      <c r="N59" s="5">
        <f t="shared" si="31"/>
        <v>0.73156532209512337</v>
      </c>
      <c r="O59" s="13"/>
      <c r="P59" s="1">
        <f>SUM(OSRRefP22_4x_0)</f>
        <v>62906.47</v>
      </c>
      <c r="Q59" s="1"/>
      <c r="R59" s="5">
        <f t="shared" si="32"/>
        <v>2.9799251673269057E-2</v>
      </c>
      <c r="S59" s="1"/>
      <c r="T59" s="1">
        <f>SUM(OSRRefT22_4x_0)</f>
        <v>42578</v>
      </c>
      <c r="U59" s="1"/>
      <c r="V59" s="5">
        <f t="shared" si="33"/>
        <v>1.7253780672183434E-2</v>
      </c>
      <c r="W59" s="1"/>
      <c r="X59" s="1">
        <f t="shared" si="34"/>
        <v>20328.47</v>
      </c>
      <c r="Y59" s="1"/>
      <c r="Z59" s="5">
        <f t="shared" si="35"/>
        <v>0.47744069707360609</v>
      </c>
    </row>
    <row r="60" spans="1:26" s="24" customFormat="1" hidden="1" outlineLevel="2" x14ac:dyDescent="0.25">
      <c r="A60" s="27"/>
      <c r="B60" s="11" t="str">
        <f>CONCATENATE("          ", "6381", " - ", "BANK/CREDIT CARD FEES")</f>
        <v xml:space="preserve">          6381 - BANK/CREDIT CARD FEES</v>
      </c>
      <c r="C60" s="11"/>
      <c r="D60" s="6">
        <v>28761.3</v>
      </c>
      <c r="E60" s="2"/>
      <c r="F60" s="7">
        <f t="shared" si="28"/>
        <v>3.3016033668128261E-2</v>
      </c>
      <c r="G60" s="2"/>
      <c r="H60" s="6">
        <v>16610</v>
      </c>
      <c r="I60" s="2"/>
      <c r="J60" s="7">
        <f t="shared" si="29"/>
        <v>1.6717156976217555E-2</v>
      </c>
      <c r="K60" s="2"/>
      <c r="L60" s="6">
        <f t="shared" si="30"/>
        <v>12151.3</v>
      </c>
      <c r="M60" s="2"/>
      <c r="N60" s="7">
        <f t="shared" si="31"/>
        <v>0.73156532209512337</v>
      </c>
      <c r="O60" s="11"/>
      <c r="P60" s="6">
        <v>62906.47</v>
      </c>
      <c r="Q60" s="2"/>
      <c r="R60" s="7">
        <f t="shared" si="32"/>
        <v>2.9799251673269057E-2</v>
      </c>
      <c r="S60" s="2"/>
      <c r="T60" s="6">
        <v>42578</v>
      </c>
      <c r="U60" s="2"/>
      <c r="V60" s="7">
        <f t="shared" si="33"/>
        <v>1.7253780672183434E-2</v>
      </c>
      <c r="W60" s="2"/>
      <c r="X60" s="6">
        <f t="shared" si="34"/>
        <v>20328.47</v>
      </c>
      <c r="Y60" s="2"/>
      <c r="Z60" s="7">
        <f t="shared" si="35"/>
        <v>0.47744069707360609</v>
      </c>
    </row>
    <row r="61" spans="1:26" s="26" customFormat="1" outlineLevel="1" collapsed="1" x14ac:dyDescent="0.25">
      <c r="A61" s="25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39571.050000000003</v>
      </c>
      <c r="E61" s="1"/>
      <c r="F61" s="5">
        <f t="shared" si="28"/>
        <v>4.5424898008198059E-2</v>
      </c>
      <c r="G61" s="1"/>
      <c r="H61" s="1">
        <f>SUM(OSRRefH22_5x_0)</f>
        <v>44088</v>
      </c>
      <c r="I61" s="1"/>
      <c r="J61" s="5">
        <f t="shared" si="29"/>
        <v>4.4372427258728447E-2</v>
      </c>
      <c r="K61" s="1"/>
      <c r="L61" s="1">
        <f t="shared" si="30"/>
        <v>-4516.9499999999971</v>
      </c>
      <c r="M61" s="1"/>
      <c r="N61" s="5">
        <f t="shared" si="31"/>
        <v>-0.10245304844855736</v>
      </c>
      <c r="O61" s="13"/>
      <c r="P61" s="1">
        <f>SUM(OSRRefP22_5x_0)</f>
        <v>158284.20000000001</v>
      </c>
      <c r="Q61" s="1"/>
      <c r="R61" s="5">
        <f t="shared" si="32"/>
        <v>7.4980375018691314E-2</v>
      </c>
      <c r="S61" s="1"/>
      <c r="T61" s="1">
        <f>SUM(OSRRefT22_5x_0)</f>
        <v>163550</v>
      </c>
      <c r="U61" s="1"/>
      <c r="V61" s="5">
        <f t="shared" si="33"/>
        <v>6.6274973670336815E-2</v>
      </c>
      <c r="W61" s="1"/>
      <c r="X61" s="1">
        <f t="shared" si="34"/>
        <v>-5265.7999999999884</v>
      </c>
      <c r="Y61" s="1"/>
      <c r="Z61" s="5">
        <f t="shared" si="35"/>
        <v>-3.2196881687557251E-2</v>
      </c>
    </row>
    <row r="62" spans="1:26" s="24" customFormat="1" hidden="1" outlineLevel="2" x14ac:dyDescent="0.25">
      <c r="A62" s="27"/>
      <c r="B62" s="11" t="str">
        <f>CONCATENATE("          ", "6321", " - ", "BUILDING DEPRECIATION")</f>
        <v xml:space="preserve">          6321 - BUILDING DEPRECIATION</v>
      </c>
      <c r="C62" s="11"/>
      <c r="D62" s="6">
        <v>24042.959999999999</v>
      </c>
      <c r="E62" s="2"/>
      <c r="F62" s="7">
        <f t="shared" si="28"/>
        <v>2.7599697400376929E-2</v>
      </c>
      <c r="G62" s="2"/>
      <c r="H62" s="6">
        <v>23037</v>
      </c>
      <c r="I62" s="2"/>
      <c r="J62" s="7">
        <f t="shared" si="29"/>
        <v>2.3185619823065853E-2</v>
      </c>
      <c r="K62" s="2"/>
      <c r="L62" s="6">
        <f t="shared" si="30"/>
        <v>1005.9599999999991</v>
      </c>
      <c r="M62" s="2"/>
      <c r="N62" s="7">
        <f t="shared" si="31"/>
        <v>4.3667144159395717E-2</v>
      </c>
      <c r="O62" s="11"/>
      <c r="P62" s="6">
        <v>96171.839999999997</v>
      </c>
      <c r="Q62" s="2"/>
      <c r="R62" s="7">
        <f t="shared" si="32"/>
        <v>4.5557299019343543E-2</v>
      </c>
      <c r="S62" s="2"/>
      <c r="T62" s="6">
        <v>92394</v>
      </c>
      <c r="U62" s="2"/>
      <c r="V62" s="7">
        <f t="shared" si="33"/>
        <v>3.7440598699462549E-2</v>
      </c>
      <c r="W62" s="2"/>
      <c r="X62" s="6">
        <f t="shared" si="34"/>
        <v>3777.8399999999965</v>
      </c>
      <c r="Y62" s="2"/>
      <c r="Z62" s="7">
        <f t="shared" si="35"/>
        <v>4.0888369374634678E-2</v>
      </c>
    </row>
    <row r="63" spans="1:26" s="24" customFormat="1" hidden="1" outlineLevel="2" x14ac:dyDescent="0.25">
      <c r="A63" s="27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15103.84</v>
      </c>
      <c r="E63" s="2"/>
      <c r="F63" s="7">
        <f t="shared" si="28"/>
        <v>1.733819020552E-2</v>
      </c>
      <c r="G63" s="2"/>
      <c r="H63" s="6">
        <v>15301</v>
      </c>
      <c r="I63" s="2"/>
      <c r="J63" s="7">
        <f t="shared" si="29"/>
        <v>1.5399712154912992E-2</v>
      </c>
      <c r="K63" s="2"/>
      <c r="L63" s="6">
        <f t="shared" si="30"/>
        <v>-197.15999999999985</v>
      </c>
      <c r="M63" s="2"/>
      <c r="N63" s="7">
        <f t="shared" si="31"/>
        <v>-1.2885432324684651E-2</v>
      </c>
      <c r="O63" s="11"/>
      <c r="P63" s="6">
        <v>60415.360000000001</v>
      </c>
      <c r="Q63" s="2"/>
      <c r="R63" s="7">
        <f t="shared" si="32"/>
        <v>2.8619194775531872E-2</v>
      </c>
      <c r="S63" s="2"/>
      <c r="T63" s="6">
        <v>61204</v>
      </c>
      <c r="U63" s="2"/>
      <c r="V63" s="7">
        <f t="shared" si="33"/>
        <v>2.4801549914517239E-2</v>
      </c>
      <c r="W63" s="2"/>
      <c r="X63" s="6">
        <f t="shared" si="34"/>
        <v>-788.63999999999942</v>
      </c>
      <c r="Y63" s="2"/>
      <c r="Z63" s="7">
        <f t="shared" si="35"/>
        <v>-1.2885432324684651E-2</v>
      </c>
    </row>
    <row r="64" spans="1:26" s="24" customFormat="1" hidden="1" outlineLevel="2" x14ac:dyDescent="0.25">
      <c r="A64" s="27"/>
      <c r="B64" s="11" t="str">
        <f>CONCATENATE("          ", "6324", " - ", "FURNITURE + FIXT DEPRECIATION")</f>
        <v xml:space="preserve">          6324 - FURNITURE + FIXT DEPRECIATION</v>
      </c>
      <c r="C64" s="11"/>
      <c r="D64" s="6"/>
      <c r="E64" s="2"/>
      <c r="F64" s="7">
        <f t="shared" si="28"/>
        <v>0</v>
      </c>
      <c r="G64" s="2"/>
      <c r="H64" s="6">
        <v>3576</v>
      </c>
      <c r="I64" s="2"/>
      <c r="J64" s="7">
        <f t="shared" si="29"/>
        <v>3.5990700389496675E-3</v>
      </c>
      <c r="K64" s="2"/>
      <c r="L64" s="6">
        <f t="shared" si="30"/>
        <v>-3576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6506</v>
      </c>
      <c r="U64" s="2"/>
      <c r="V64" s="7">
        <f t="shared" si="33"/>
        <v>2.6364107532816346E-3</v>
      </c>
      <c r="W64" s="2"/>
      <c r="X64" s="6">
        <f t="shared" si="34"/>
        <v>-6506</v>
      </c>
      <c r="Y64" s="2"/>
      <c r="Z64" s="7">
        <f t="shared" si="35"/>
        <v>-1</v>
      </c>
    </row>
    <row r="65" spans="1:26" s="24" customFormat="1" hidden="1" outlineLevel="2" x14ac:dyDescent="0.25">
      <c r="A65" s="27"/>
      <c r="B65" s="11" t="str">
        <f>CONCATENATE("          ", "6326", " - ", "VEHICLES DEPRECIATION EXPENSE")</f>
        <v xml:space="preserve">          6326 - VEHICLES DEPRECIATION EXPENSE</v>
      </c>
      <c r="C65" s="11"/>
      <c r="D65" s="6">
        <v>424.25</v>
      </c>
      <c r="E65" s="2"/>
      <c r="F65" s="7">
        <f t="shared" si="28"/>
        <v>4.8701040230112738E-4</v>
      </c>
      <c r="G65" s="2"/>
      <c r="H65" s="6">
        <v>2174</v>
      </c>
      <c r="I65" s="2"/>
      <c r="J65" s="7">
        <f t="shared" si="29"/>
        <v>2.1880252417999374E-3</v>
      </c>
      <c r="K65" s="2"/>
      <c r="L65" s="6">
        <f t="shared" si="30"/>
        <v>-1749.75</v>
      </c>
      <c r="M65" s="2"/>
      <c r="N65" s="7">
        <f t="shared" si="31"/>
        <v>-0.80485280588776453</v>
      </c>
      <c r="O65" s="11"/>
      <c r="P65" s="6">
        <v>1697</v>
      </c>
      <c r="Q65" s="2"/>
      <c r="R65" s="7">
        <f t="shared" si="32"/>
        <v>8.038812238158903E-4</v>
      </c>
      <c r="S65" s="2"/>
      <c r="T65" s="6">
        <v>3446</v>
      </c>
      <c r="U65" s="2"/>
      <c r="V65" s="7">
        <f t="shared" si="33"/>
        <v>1.3964143030753939E-3</v>
      </c>
      <c r="W65" s="2"/>
      <c r="X65" s="6">
        <f t="shared" si="34"/>
        <v>-1749</v>
      </c>
      <c r="Y65" s="2"/>
      <c r="Z65" s="7">
        <f t="shared" si="35"/>
        <v>-0.50754497968659318</v>
      </c>
    </row>
    <row r="66" spans="1:26" s="26" customFormat="1" outlineLevel="1" collapsed="1" x14ac:dyDescent="0.25">
      <c r="A66" s="25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SUM(OSRRefD22_6x_0)</f>
        <v>163.68</v>
      </c>
      <c r="E66" s="1"/>
      <c r="F66" s="5">
        <f t="shared" ref="F66:F74" si="36">IF(D$12=0,0,D66/D$12)</f>
        <v>1.8789360671455163E-4</v>
      </c>
      <c r="G66" s="1"/>
      <c r="H66" s="1">
        <f>SUM(OSRRefH22_6x_0)</f>
        <v>0</v>
      </c>
      <c r="I66" s="1"/>
      <c r="J66" s="5">
        <f t="shared" ref="J66:J74" si="37">IF(H$12=0,0,H66/H$12)</f>
        <v>0</v>
      </c>
      <c r="K66" s="1"/>
      <c r="L66" s="1">
        <f t="shared" ref="L66:L74" si="38">+D66-H66</f>
        <v>163.68</v>
      </c>
      <c r="M66" s="1"/>
      <c r="N66" s="5">
        <f t="shared" ref="N66:N74" si="39">IF(H66=0,0,L66/H66)</f>
        <v>0</v>
      </c>
      <c r="O66" s="13"/>
      <c r="P66" s="1">
        <f>SUM(OSRRefP22_6x_0)</f>
        <v>163.68</v>
      </c>
      <c r="Q66" s="1"/>
      <c r="R66" s="5">
        <f t="shared" ref="R66:R74" si="40">IF(P$12=0,0,P66/P$12)</f>
        <v>7.7536404663632841E-5</v>
      </c>
      <c r="S66" s="1"/>
      <c r="T66" s="1">
        <f>SUM(OSRRefT22_6x_0)</f>
        <v>800</v>
      </c>
      <c r="U66" s="1"/>
      <c r="V66" s="5">
        <f t="shared" ref="V66:V74" si="41">IF(T$12=0,0,T66/T$12)</f>
        <v>3.2418207848529168E-4</v>
      </c>
      <c r="W66" s="1"/>
      <c r="X66" s="1">
        <f t="shared" ref="X66:X74" si="42">+P66-T66</f>
        <v>-636.31999999999994</v>
      </c>
      <c r="Y66" s="1"/>
      <c r="Z66" s="5">
        <f t="shared" ref="Z66:Z74" si="43">IF(T66=0,0,X66/T66)</f>
        <v>-0.79539999999999988</v>
      </c>
    </row>
    <row r="67" spans="1:26" s="24" customFormat="1" hidden="1" outlineLevel="2" x14ac:dyDescent="0.25">
      <c r="A67" s="27"/>
      <c r="B67" s="11" t="str">
        <f>CONCATENATE("          ", "6399", " - ", "DONATION-ON CAMPUS")</f>
        <v xml:space="preserve">          6399 - DONATION-ON CAMPUS</v>
      </c>
      <c r="C67" s="11"/>
      <c r="D67" s="6">
        <v>163.68</v>
      </c>
      <c r="E67" s="2"/>
      <c r="F67" s="7">
        <f t="shared" si="36"/>
        <v>1.8789360671455163E-4</v>
      </c>
      <c r="G67" s="2"/>
      <c r="H67" s="6"/>
      <c r="I67" s="2"/>
      <c r="J67" s="7">
        <f t="shared" si="37"/>
        <v>0</v>
      </c>
      <c r="K67" s="2"/>
      <c r="L67" s="6">
        <f t="shared" si="38"/>
        <v>163.68</v>
      </c>
      <c r="M67" s="2"/>
      <c r="N67" s="7">
        <f t="shared" si="39"/>
        <v>0</v>
      </c>
      <c r="O67" s="11"/>
      <c r="P67" s="6">
        <v>163.68</v>
      </c>
      <c r="Q67" s="2"/>
      <c r="R67" s="7">
        <f t="shared" si="40"/>
        <v>7.7536404663632841E-5</v>
      </c>
      <c r="S67" s="2"/>
      <c r="T67" s="6">
        <v>800</v>
      </c>
      <c r="U67" s="2"/>
      <c r="V67" s="7">
        <f t="shared" si="41"/>
        <v>3.2418207848529168E-4</v>
      </c>
      <c r="W67" s="2"/>
      <c r="X67" s="6">
        <f t="shared" si="42"/>
        <v>-636.31999999999994</v>
      </c>
      <c r="Y67" s="2"/>
      <c r="Z67" s="7">
        <f t="shared" si="43"/>
        <v>-0.79539999999999988</v>
      </c>
    </row>
    <row r="68" spans="1:26" s="26" customFormat="1" outlineLevel="1" collapsed="1" x14ac:dyDescent="0.25">
      <c r="A68" s="25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SUM(OSRRefD22_7x_0)</f>
        <v>33.28</v>
      </c>
      <c r="E68" s="1"/>
      <c r="F68" s="5">
        <f t="shared" si="36"/>
        <v>3.8203196673144418E-5</v>
      </c>
      <c r="G68" s="1"/>
      <c r="H68" s="1">
        <f>SUM(OSRRefH22_7x_0)</f>
        <v>225</v>
      </c>
      <c r="I68" s="1"/>
      <c r="J68" s="5">
        <f t="shared" si="37"/>
        <v>2.2645155446411497E-4</v>
      </c>
      <c r="K68" s="1"/>
      <c r="L68" s="1">
        <f t="shared" si="38"/>
        <v>-191.72</v>
      </c>
      <c r="M68" s="1"/>
      <c r="N68" s="5">
        <f t="shared" si="39"/>
        <v>-0.8520888888888889</v>
      </c>
      <c r="O68" s="13"/>
      <c r="P68" s="1">
        <f>SUM(OSRRefP22_7x_0)</f>
        <v>452.84</v>
      </c>
      <c r="Q68" s="1"/>
      <c r="R68" s="5">
        <f t="shared" si="40"/>
        <v>2.1451359657795389E-4</v>
      </c>
      <c r="S68" s="1"/>
      <c r="T68" s="1">
        <f>SUM(OSRRefT22_7x_0)</f>
        <v>1165</v>
      </c>
      <c r="U68" s="1"/>
      <c r="V68" s="5">
        <f t="shared" si="41"/>
        <v>4.7209015179420599E-4</v>
      </c>
      <c r="W68" s="1"/>
      <c r="X68" s="1">
        <f t="shared" si="42"/>
        <v>-712.16000000000008</v>
      </c>
      <c r="Y68" s="1"/>
      <c r="Z68" s="5">
        <f t="shared" si="43"/>
        <v>-0.61129613733905586</v>
      </c>
    </row>
    <row r="69" spans="1:26" s="24" customFormat="1" hidden="1" outlineLevel="2" x14ac:dyDescent="0.25">
      <c r="A69" s="27"/>
      <c r="B69" s="11" t="str">
        <f>CONCATENATE("          ", "6277", " - ", "EMPLOYEE APPRECIATION")</f>
        <v xml:space="preserve">          6277 - EMPLOYEE APPRECIATION</v>
      </c>
      <c r="C69" s="11"/>
      <c r="D69" s="6">
        <v>33.28</v>
      </c>
      <c r="E69" s="2"/>
      <c r="F69" s="7">
        <f t="shared" si="36"/>
        <v>3.8203196673144418E-5</v>
      </c>
      <c r="G69" s="2"/>
      <c r="H69" s="6">
        <v>225</v>
      </c>
      <c r="I69" s="2"/>
      <c r="J69" s="7">
        <f t="shared" si="37"/>
        <v>2.2645155446411497E-4</v>
      </c>
      <c r="K69" s="2"/>
      <c r="L69" s="6">
        <f t="shared" si="38"/>
        <v>-191.72</v>
      </c>
      <c r="M69" s="2"/>
      <c r="N69" s="7">
        <f t="shared" si="39"/>
        <v>-0.8520888888888889</v>
      </c>
      <c r="O69" s="11"/>
      <c r="P69" s="6">
        <v>452.84</v>
      </c>
      <c r="Q69" s="2"/>
      <c r="R69" s="7">
        <f t="shared" si="40"/>
        <v>2.1451359657795389E-4</v>
      </c>
      <c r="S69" s="2"/>
      <c r="T69" s="6">
        <v>1165</v>
      </c>
      <c r="U69" s="2"/>
      <c r="V69" s="7">
        <f t="shared" si="41"/>
        <v>4.7209015179420599E-4</v>
      </c>
      <c r="W69" s="2"/>
      <c r="X69" s="6">
        <f t="shared" si="42"/>
        <v>-712.16000000000008</v>
      </c>
      <c r="Y69" s="2"/>
      <c r="Z69" s="7">
        <f t="shared" si="43"/>
        <v>-0.61129613733905586</v>
      </c>
    </row>
    <row r="70" spans="1:26" s="26" customFormat="1" outlineLevel="1" collapsed="1" x14ac:dyDescent="0.25">
      <c r="A70" s="25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SUM(OSRRefD22_8x_0)</f>
        <v>3845.35</v>
      </c>
      <c r="E70" s="1"/>
      <c r="F70" s="5">
        <f t="shared" si="36"/>
        <v>4.4142025939626168E-3</v>
      </c>
      <c r="G70" s="1"/>
      <c r="H70" s="1">
        <f>SUM(OSRRefH22_8x_0)</f>
        <v>1395</v>
      </c>
      <c r="I70" s="1"/>
      <c r="J70" s="5">
        <f t="shared" si="37"/>
        <v>1.4039996376775127E-3</v>
      </c>
      <c r="K70" s="1"/>
      <c r="L70" s="1">
        <f t="shared" si="38"/>
        <v>2450.35</v>
      </c>
      <c r="M70" s="1"/>
      <c r="N70" s="5">
        <f t="shared" si="39"/>
        <v>1.7565232974910394</v>
      </c>
      <c r="O70" s="13"/>
      <c r="P70" s="1">
        <f>SUM(OSRRefP22_8x_0)</f>
        <v>10214.16</v>
      </c>
      <c r="Q70" s="1"/>
      <c r="R70" s="5">
        <f t="shared" si="40"/>
        <v>4.8385217684450881E-3</v>
      </c>
      <c r="S70" s="1"/>
      <c r="T70" s="1">
        <f>SUM(OSRRefT22_8x_0)</f>
        <v>6090</v>
      </c>
      <c r="U70" s="1"/>
      <c r="V70" s="5">
        <f t="shared" si="41"/>
        <v>2.4678360724692829E-3</v>
      </c>
      <c r="W70" s="1"/>
      <c r="X70" s="1">
        <f t="shared" si="42"/>
        <v>4124.16</v>
      </c>
      <c r="Y70" s="1"/>
      <c r="Z70" s="5">
        <f t="shared" si="43"/>
        <v>0.67720197044334973</v>
      </c>
    </row>
    <row r="71" spans="1:26" s="24" customFormat="1" hidden="1" outlineLevel="2" x14ac:dyDescent="0.25">
      <c r="A71" s="27"/>
      <c r="B71" s="11" t="str">
        <f>CONCATENATE("          ", "6351", " - ", "EQUIPMENT RENTAL")</f>
        <v xml:space="preserve">          6351 - EQUIPMENT RENTAL</v>
      </c>
      <c r="C71" s="11"/>
      <c r="D71" s="6">
        <v>3845.35</v>
      </c>
      <c r="E71" s="2"/>
      <c r="F71" s="7">
        <f t="shared" si="36"/>
        <v>4.4142025939626168E-3</v>
      </c>
      <c r="G71" s="2"/>
      <c r="H71" s="6">
        <v>1395</v>
      </c>
      <c r="I71" s="2"/>
      <c r="J71" s="7">
        <f t="shared" si="37"/>
        <v>1.4039996376775127E-3</v>
      </c>
      <c r="K71" s="2"/>
      <c r="L71" s="6">
        <f t="shared" si="38"/>
        <v>2450.35</v>
      </c>
      <c r="M71" s="2"/>
      <c r="N71" s="7">
        <f t="shared" si="39"/>
        <v>1.7565232974910394</v>
      </c>
      <c r="O71" s="11"/>
      <c r="P71" s="6">
        <v>10214.16</v>
      </c>
      <c r="Q71" s="2"/>
      <c r="R71" s="7">
        <f t="shared" si="40"/>
        <v>4.8385217684450881E-3</v>
      </c>
      <c r="S71" s="2"/>
      <c r="T71" s="6">
        <v>6090</v>
      </c>
      <c r="U71" s="2"/>
      <c r="V71" s="7">
        <f t="shared" si="41"/>
        <v>2.4678360724692829E-3</v>
      </c>
      <c r="W71" s="2"/>
      <c r="X71" s="6">
        <f t="shared" si="42"/>
        <v>4124.16</v>
      </c>
      <c r="Y71" s="2"/>
      <c r="Z71" s="7">
        <f t="shared" si="43"/>
        <v>0.67720197044334973</v>
      </c>
    </row>
    <row r="72" spans="1:26" s="26" customFormat="1" outlineLevel="1" collapsed="1" x14ac:dyDescent="0.25">
      <c r="A72" s="25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9600.36</v>
      </c>
      <c r="E72" s="1"/>
      <c r="F72" s="5">
        <f t="shared" si="36"/>
        <v>1.1020566142217209E-2</v>
      </c>
      <c r="G72" s="1"/>
      <c r="H72" s="1">
        <f>SUM(OSRRefH22_9x_0)</f>
        <v>4075</v>
      </c>
      <c r="I72" s="1"/>
      <c r="J72" s="5">
        <f t="shared" si="37"/>
        <v>4.1012892641834157E-3</v>
      </c>
      <c r="K72" s="1"/>
      <c r="L72" s="1">
        <f t="shared" si="38"/>
        <v>5525.3600000000006</v>
      </c>
      <c r="M72" s="1"/>
      <c r="N72" s="5">
        <f t="shared" si="39"/>
        <v>1.355916564417178</v>
      </c>
      <c r="O72" s="13"/>
      <c r="P72" s="1">
        <f>SUM(OSRRefP22_9x_0)</f>
        <v>39118.49</v>
      </c>
      <c r="Q72" s="1"/>
      <c r="R72" s="5">
        <f t="shared" si="40"/>
        <v>1.8530712796128265E-2</v>
      </c>
      <c r="S72" s="1"/>
      <c r="T72" s="1">
        <f>SUM(OSRRefT22_9x_0)</f>
        <v>23925</v>
      </c>
      <c r="U72" s="1"/>
      <c r="V72" s="5">
        <f t="shared" si="41"/>
        <v>9.6950702847007544E-3</v>
      </c>
      <c r="W72" s="1"/>
      <c r="X72" s="1">
        <f t="shared" si="42"/>
        <v>15193.489999999998</v>
      </c>
      <c r="Y72" s="1"/>
      <c r="Z72" s="5">
        <f t="shared" si="43"/>
        <v>0.63504660397074186</v>
      </c>
    </row>
    <row r="73" spans="1:26" s="24" customFormat="1" hidden="1" outlineLevel="2" x14ac:dyDescent="0.25">
      <c r="A73" s="27"/>
      <c r="B73" s="11" t="str">
        <f>CONCATENATE("          ", "6269", " - ", "ENTERTAINMENT")</f>
        <v xml:space="preserve">          6269 - ENTERTAINMENT</v>
      </c>
      <c r="C73" s="11"/>
      <c r="D73" s="6">
        <v>1850</v>
      </c>
      <c r="E73" s="2"/>
      <c r="F73" s="7">
        <f t="shared" si="36"/>
        <v>2.1236752958328476E-3</v>
      </c>
      <c r="G73" s="2"/>
      <c r="H73" s="6">
        <v>750</v>
      </c>
      <c r="I73" s="2"/>
      <c r="J73" s="7">
        <f t="shared" si="37"/>
        <v>7.5483851488038331E-4</v>
      </c>
      <c r="K73" s="2"/>
      <c r="L73" s="6">
        <f t="shared" si="38"/>
        <v>1100</v>
      </c>
      <c r="M73" s="2"/>
      <c r="N73" s="7">
        <f t="shared" si="39"/>
        <v>1.4666666666666666</v>
      </c>
      <c r="O73" s="11"/>
      <c r="P73" s="6">
        <v>5500</v>
      </c>
      <c r="Q73" s="2"/>
      <c r="R73" s="7">
        <f t="shared" si="40"/>
        <v>2.6053899416543292E-3</v>
      </c>
      <c r="S73" s="2"/>
      <c r="T73" s="6">
        <v>3150</v>
      </c>
      <c r="U73" s="2"/>
      <c r="V73" s="7">
        <f t="shared" si="41"/>
        <v>1.2764669340358358E-3</v>
      </c>
      <c r="W73" s="2"/>
      <c r="X73" s="6">
        <f t="shared" si="42"/>
        <v>2350</v>
      </c>
      <c r="Y73" s="2"/>
      <c r="Z73" s="7">
        <f t="shared" si="43"/>
        <v>0.74603174603174605</v>
      </c>
    </row>
    <row r="74" spans="1:26" s="24" customFormat="1" hidden="1" outlineLevel="2" x14ac:dyDescent="0.25">
      <c r="A74" s="27"/>
      <c r="B74" s="11" t="str">
        <f>CONCATENATE("          ", "6279", " - ", "GENERAL EXPENSE")</f>
        <v xml:space="preserve">          6279 - GENERAL EXPENSE</v>
      </c>
      <c r="C74" s="11"/>
      <c r="D74" s="6">
        <v>7750.36</v>
      </c>
      <c r="E74" s="2"/>
      <c r="F74" s="7">
        <f t="shared" si="36"/>
        <v>8.8968908463843612E-3</v>
      </c>
      <c r="G74" s="2"/>
      <c r="H74" s="6">
        <v>3325</v>
      </c>
      <c r="I74" s="2"/>
      <c r="J74" s="7">
        <f t="shared" si="37"/>
        <v>3.3464507493030323E-3</v>
      </c>
      <c r="K74" s="2"/>
      <c r="L74" s="6">
        <f t="shared" si="38"/>
        <v>4425.3599999999997</v>
      </c>
      <c r="M74" s="2"/>
      <c r="N74" s="7">
        <f t="shared" si="39"/>
        <v>1.3309353383458646</v>
      </c>
      <c r="O74" s="11"/>
      <c r="P74" s="6">
        <v>33618.49</v>
      </c>
      <c r="Q74" s="2"/>
      <c r="R74" s="7">
        <f t="shared" si="40"/>
        <v>1.5925322854473935E-2</v>
      </c>
      <c r="S74" s="2"/>
      <c r="T74" s="6">
        <v>20775</v>
      </c>
      <c r="U74" s="2"/>
      <c r="V74" s="7">
        <f t="shared" si="41"/>
        <v>8.4186033506649174E-3</v>
      </c>
      <c r="W74" s="2"/>
      <c r="X74" s="6">
        <f t="shared" si="42"/>
        <v>12843.489999999998</v>
      </c>
      <c r="Y74" s="2"/>
      <c r="Z74" s="7">
        <f t="shared" si="43"/>
        <v>0.61821853188928988</v>
      </c>
    </row>
    <row r="75" spans="1:26" s="26" customFormat="1" outlineLevel="1" collapsed="1" x14ac:dyDescent="0.25">
      <c r="A75" s="25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4240.13</v>
      </c>
      <c r="E75" s="1"/>
      <c r="F75" s="5">
        <f t="shared" ref="F75:F87" si="44">IF(D$12=0,0,D75/D$12)</f>
        <v>4.8673834227674229E-3</v>
      </c>
      <c r="G75" s="1"/>
      <c r="H75" s="1">
        <f>SUM(OSRRefH22_10x_0)</f>
        <v>4004</v>
      </c>
      <c r="I75" s="1"/>
      <c r="J75" s="5">
        <f t="shared" ref="J75:J87" si="45">IF(H$12=0,0,H75/H$12)</f>
        <v>4.0298312181080726E-3</v>
      </c>
      <c r="K75" s="1"/>
      <c r="L75" s="1">
        <f t="shared" ref="L75:L87" si="46">+D75-H75</f>
        <v>236.13000000000011</v>
      </c>
      <c r="M75" s="1"/>
      <c r="N75" s="5">
        <f t="shared" ref="N75:N87" si="47">IF(H75=0,0,L75/H75)</f>
        <v>5.8973526473526501E-2</v>
      </c>
      <c r="O75" s="13"/>
      <c r="P75" s="1">
        <f>SUM(OSRRefP22_10x_0)</f>
        <v>16960.52</v>
      </c>
      <c r="Q75" s="1"/>
      <c r="R75" s="5">
        <f t="shared" ref="R75:R87" si="48">IF(P$12=0,0,P75/P$12)</f>
        <v>8.0343214933140152E-3</v>
      </c>
      <c r="S75" s="1"/>
      <c r="T75" s="1">
        <f>SUM(OSRRefT22_10x_0)</f>
        <v>16016</v>
      </c>
      <c r="U75" s="1"/>
      <c r="V75" s="5">
        <f t="shared" ref="V75:V87" si="49">IF(T$12=0,0,T75/T$12)</f>
        <v>6.490125211275539E-3</v>
      </c>
      <c r="W75" s="1"/>
      <c r="X75" s="1">
        <f t="shared" ref="X75:X87" si="50">+P75-T75</f>
        <v>944.52000000000044</v>
      </c>
      <c r="Y75" s="1"/>
      <c r="Z75" s="5">
        <f t="shared" ref="Z75:Z87" si="51">IF(T75=0,0,X75/T75)</f>
        <v>5.8973526473526501E-2</v>
      </c>
    </row>
    <row r="76" spans="1:26" s="24" customFormat="1" hidden="1" outlineLevel="2" x14ac:dyDescent="0.25">
      <c r="A76" s="27"/>
      <c r="B76" s="11" t="str">
        <f>CONCATENATE("          ", "6314", " - ", "LIABILITY INSURANCE")</f>
        <v xml:space="preserve">          6314 - LIABILITY INSURANCE</v>
      </c>
      <c r="C76" s="11"/>
      <c r="D76" s="6">
        <v>4240.13</v>
      </c>
      <c r="E76" s="2"/>
      <c r="F76" s="7">
        <f t="shared" si="44"/>
        <v>4.8673834227674229E-3</v>
      </c>
      <c r="G76" s="2"/>
      <c r="H76" s="6">
        <v>4004</v>
      </c>
      <c r="I76" s="2"/>
      <c r="J76" s="7">
        <f t="shared" si="45"/>
        <v>4.0298312181080726E-3</v>
      </c>
      <c r="K76" s="2"/>
      <c r="L76" s="6">
        <f t="shared" si="46"/>
        <v>236.13000000000011</v>
      </c>
      <c r="M76" s="2"/>
      <c r="N76" s="7">
        <f t="shared" si="47"/>
        <v>5.8973526473526501E-2</v>
      </c>
      <c r="O76" s="11"/>
      <c r="P76" s="6">
        <v>16960.52</v>
      </c>
      <c r="Q76" s="2"/>
      <c r="R76" s="7">
        <f t="shared" si="48"/>
        <v>8.0343214933140152E-3</v>
      </c>
      <c r="S76" s="2"/>
      <c r="T76" s="6">
        <v>16016</v>
      </c>
      <c r="U76" s="2"/>
      <c r="V76" s="7">
        <f t="shared" si="49"/>
        <v>6.490125211275539E-3</v>
      </c>
      <c r="W76" s="2"/>
      <c r="X76" s="6">
        <f t="shared" si="50"/>
        <v>944.52000000000044</v>
      </c>
      <c r="Y76" s="2"/>
      <c r="Z76" s="7">
        <f t="shared" si="51"/>
        <v>5.8973526473526501E-2</v>
      </c>
    </row>
    <row r="77" spans="1:26" s="26" customFormat="1" outlineLevel="1" collapsed="1" x14ac:dyDescent="0.25">
      <c r="A77" s="25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7733.05</v>
      </c>
      <c r="E77" s="1"/>
      <c r="F77" s="5">
        <f t="shared" si="44"/>
        <v>8.8770201332109208E-3</v>
      </c>
      <c r="G77" s="1"/>
      <c r="H77" s="1">
        <f>SUM(OSRRefH22_11x_0)</f>
        <v>7754</v>
      </c>
      <c r="I77" s="1"/>
      <c r="J77" s="5">
        <f t="shared" si="45"/>
        <v>7.8040237925099893E-3</v>
      </c>
      <c r="K77" s="1"/>
      <c r="L77" s="1">
        <f t="shared" si="46"/>
        <v>-20.949999999999818</v>
      </c>
      <c r="M77" s="1"/>
      <c r="N77" s="5">
        <f t="shared" si="47"/>
        <v>-2.7018313128707528E-3</v>
      </c>
      <c r="O77" s="13"/>
      <c r="P77" s="1">
        <f>SUM(OSRRefP22_11x_0)</f>
        <v>30623.05</v>
      </c>
      <c r="Q77" s="1"/>
      <c r="R77" s="5">
        <f t="shared" si="48"/>
        <v>1.4506361173232292E-2</v>
      </c>
      <c r="S77" s="1"/>
      <c r="T77" s="1">
        <f>SUM(OSRRefT22_11x_0)</f>
        <v>31016</v>
      </c>
      <c r="U77" s="1"/>
      <c r="V77" s="5">
        <f t="shared" si="49"/>
        <v>1.2568539182874757E-2</v>
      </c>
      <c r="W77" s="1"/>
      <c r="X77" s="1">
        <f t="shared" si="50"/>
        <v>-392.95000000000073</v>
      </c>
      <c r="Y77" s="1"/>
      <c r="Z77" s="5">
        <f t="shared" si="51"/>
        <v>-1.2669267474851713E-2</v>
      </c>
    </row>
    <row r="78" spans="1:26" s="24" customFormat="1" hidden="1" outlineLevel="2" x14ac:dyDescent="0.25">
      <c r="A78" s="27"/>
      <c r="B78" s="11" t="str">
        <f>CONCATENATE("          ", "6401", " - ", "INTEREST EXPENSE")</f>
        <v xml:space="preserve">          6401 - INTEREST EXPENSE</v>
      </c>
      <c r="C78" s="11"/>
      <c r="D78" s="6">
        <v>7733.05</v>
      </c>
      <c r="E78" s="2"/>
      <c r="F78" s="7">
        <f t="shared" si="44"/>
        <v>8.8770201332109208E-3</v>
      </c>
      <c r="G78" s="2"/>
      <c r="H78" s="6">
        <v>7754</v>
      </c>
      <c r="I78" s="2"/>
      <c r="J78" s="7">
        <f t="shared" si="45"/>
        <v>7.8040237925099893E-3</v>
      </c>
      <c r="K78" s="2"/>
      <c r="L78" s="6">
        <f t="shared" si="46"/>
        <v>-20.949999999999818</v>
      </c>
      <c r="M78" s="2"/>
      <c r="N78" s="7">
        <f t="shared" si="47"/>
        <v>-2.7018313128707528E-3</v>
      </c>
      <c r="O78" s="11"/>
      <c r="P78" s="6">
        <v>30623.05</v>
      </c>
      <c r="Q78" s="2"/>
      <c r="R78" s="7">
        <f t="shared" si="48"/>
        <v>1.4506361173232292E-2</v>
      </c>
      <c r="S78" s="2"/>
      <c r="T78" s="6">
        <v>31016</v>
      </c>
      <c r="U78" s="2"/>
      <c r="V78" s="7">
        <f t="shared" si="49"/>
        <v>1.2568539182874757E-2</v>
      </c>
      <c r="W78" s="2"/>
      <c r="X78" s="6">
        <f t="shared" si="50"/>
        <v>-392.95000000000073</v>
      </c>
      <c r="Y78" s="2"/>
      <c r="Z78" s="7">
        <f t="shared" si="51"/>
        <v>-1.2669267474851713E-2</v>
      </c>
    </row>
    <row r="79" spans="1:26" s="26" customFormat="1" outlineLevel="1" collapsed="1" x14ac:dyDescent="0.25">
      <c r="A79" s="25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SUM(OSRRefD22_12x_0)</f>
        <v>0</v>
      </c>
      <c r="E79" s="1"/>
      <c r="F79" s="5">
        <f t="shared" si="44"/>
        <v>0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125</v>
      </c>
      <c r="Q79" s="1"/>
      <c r="R79" s="5">
        <f t="shared" si="48"/>
        <v>5.9213407764871121E-5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7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125</v>
      </c>
      <c r="Q80" s="2"/>
      <c r="R80" s="7">
        <f t="shared" si="48"/>
        <v>5.9213407764871121E-5</v>
      </c>
      <c r="S80" s="2"/>
      <c r="T80" s="6"/>
      <c r="U80" s="2"/>
      <c r="V80" s="7">
        <f t="shared" si="49"/>
        <v>0</v>
      </c>
      <c r="W80" s="2"/>
      <c r="X80" s="6">
        <f t="shared" si="50"/>
        <v>125</v>
      </c>
      <c r="Y80" s="2"/>
      <c r="Z80" s="7">
        <f t="shared" si="51"/>
        <v>0</v>
      </c>
    </row>
    <row r="81" spans="1:26" s="26" customFormat="1" outlineLevel="1" collapsed="1" x14ac:dyDescent="0.25">
      <c r="A81" s="25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1850</v>
      </c>
      <c r="E81" s="1"/>
      <c r="F81" s="5">
        <f t="shared" si="44"/>
        <v>2.1236752958328476E-3</v>
      </c>
      <c r="G81" s="1"/>
      <c r="H81" s="1">
        <f>SUM(OSRRefH22_13x_0)</f>
        <v>1850</v>
      </c>
      <c r="I81" s="1"/>
      <c r="J81" s="5">
        <f t="shared" si="45"/>
        <v>1.8619350033716121E-3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7400</v>
      </c>
      <c r="Q81" s="1"/>
      <c r="R81" s="5">
        <f t="shared" si="48"/>
        <v>3.5054337396803704E-3</v>
      </c>
      <c r="S81" s="1"/>
      <c r="T81" s="1">
        <f>SUM(OSRRefT22_13x_0)</f>
        <v>7400</v>
      </c>
      <c r="U81" s="1"/>
      <c r="V81" s="5">
        <f t="shared" si="49"/>
        <v>2.9986842259889478E-3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7"/>
      <c r="B82" s="11" t="str">
        <f>CONCATENATE("          ", "6273", " - ", "RENT")</f>
        <v xml:space="preserve">          6273 - RENT</v>
      </c>
      <c r="C82" s="11"/>
      <c r="D82" s="6">
        <v>1850</v>
      </c>
      <c r="E82" s="2"/>
      <c r="F82" s="7">
        <f t="shared" si="44"/>
        <v>2.1236752958328476E-3</v>
      </c>
      <c r="G82" s="2"/>
      <c r="H82" s="6">
        <v>1850</v>
      </c>
      <c r="I82" s="2"/>
      <c r="J82" s="7">
        <f t="shared" si="45"/>
        <v>1.8619350033716121E-3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7400</v>
      </c>
      <c r="Q82" s="2"/>
      <c r="R82" s="7">
        <f t="shared" si="48"/>
        <v>3.5054337396803704E-3</v>
      </c>
      <c r="S82" s="2"/>
      <c r="T82" s="6">
        <v>7400</v>
      </c>
      <c r="U82" s="2"/>
      <c r="V82" s="7">
        <f t="shared" si="49"/>
        <v>2.9986842259889478E-3</v>
      </c>
      <c r="W82" s="2"/>
      <c r="X82" s="6">
        <f t="shared" si="50"/>
        <v>0</v>
      </c>
      <c r="Y82" s="2"/>
      <c r="Z82" s="7">
        <f t="shared" si="51"/>
        <v>0</v>
      </c>
    </row>
    <row r="83" spans="1:26" s="26" customFormat="1" outlineLevel="1" collapsed="1" x14ac:dyDescent="0.25">
      <c r="A83" s="25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26000.78</v>
      </c>
      <c r="E83" s="1"/>
      <c r="F83" s="5">
        <f t="shared" si="44"/>
        <v>2.98471427883161E-2</v>
      </c>
      <c r="G83" s="1"/>
      <c r="H83" s="1">
        <f>SUM(OSRRefH22_14x_0)</f>
        <v>27450</v>
      </c>
      <c r="I83" s="1"/>
      <c r="J83" s="5">
        <f t="shared" si="45"/>
        <v>2.7627089644622026E-2</v>
      </c>
      <c r="K83" s="1"/>
      <c r="L83" s="1">
        <f t="shared" si="46"/>
        <v>-1449.2200000000012</v>
      </c>
      <c r="M83" s="1"/>
      <c r="N83" s="5">
        <f t="shared" si="47"/>
        <v>-5.2794899817850682E-2</v>
      </c>
      <c r="O83" s="13"/>
      <c r="P83" s="1">
        <f>SUM(OSRRefP22_14x_0)</f>
        <v>106108.16</v>
      </c>
      <c r="Q83" s="1"/>
      <c r="R83" s="5">
        <f t="shared" si="48"/>
        <v>5.0264205962081497E-2</v>
      </c>
      <c r="S83" s="1"/>
      <c r="T83" s="1">
        <f>SUM(OSRRefT22_14x_0)</f>
        <v>92998</v>
      </c>
      <c r="U83" s="1"/>
      <c r="V83" s="5">
        <f t="shared" si="49"/>
        <v>3.7685356168718945E-2</v>
      </c>
      <c r="W83" s="1"/>
      <c r="X83" s="1">
        <f t="shared" si="50"/>
        <v>13110.160000000003</v>
      </c>
      <c r="Y83" s="1"/>
      <c r="Z83" s="5">
        <f t="shared" si="51"/>
        <v>0.14097249403212975</v>
      </c>
    </row>
    <row r="84" spans="1:26" s="24" customFormat="1" hidden="1" outlineLevel="2" x14ac:dyDescent="0.25">
      <c r="A84" s="27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44"/>
        <v>0</v>
      </c>
      <c r="G84" s="2"/>
      <c r="H84" s="6">
        <v>550</v>
      </c>
      <c r="I84" s="2"/>
      <c r="J84" s="7">
        <f t="shared" si="45"/>
        <v>5.5354824424561435E-4</v>
      </c>
      <c r="K84" s="2"/>
      <c r="L84" s="6">
        <f t="shared" si="46"/>
        <v>-550</v>
      </c>
      <c r="M84" s="2"/>
      <c r="N84" s="7">
        <f t="shared" si="47"/>
        <v>-1</v>
      </c>
      <c r="O84" s="11"/>
      <c r="P84" s="6">
        <v>10932.69</v>
      </c>
      <c r="Q84" s="2"/>
      <c r="R84" s="7">
        <f t="shared" si="48"/>
        <v>5.1788946474954313E-3</v>
      </c>
      <c r="S84" s="2"/>
      <c r="T84" s="6">
        <v>1200</v>
      </c>
      <c r="U84" s="2"/>
      <c r="V84" s="7">
        <f t="shared" si="49"/>
        <v>4.8627311772793749E-4</v>
      </c>
      <c r="W84" s="2"/>
      <c r="X84" s="6">
        <f t="shared" si="50"/>
        <v>9732.69</v>
      </c>
      <c r="Y84" s="2"/>
      <c r="Z84" s="7">
        <f t="shared" si="51"/>
        <v>8.1105750000000008</v>
      </c>
    </row>
    <row r="85" spans="1:26" s="24" customFormat="1" hidden="1" outlineLevel="2" x14ac:dyDescent="0.25">
      <c r="A85" s="27"/>
      <c r="B85" s="11" t="str">
        <f>CONCATENATE("          ", "6372", " - ", "COMPUTER HARDWARE MAINTENANCE")</f>
        <v xml:space="preserve">          6372 - COMPUTER HARDWARE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200</v>
      </c>
      <c r="U85" s="2"/>
      <c r="V85" s="7">
        <f t="shared" si="49"/>
        <v>8.104551962132292E-5</v>
      </c>
      <c r="W85" s="2"/>
      <c r="X85" s="6">
        <f t="shared" si="50"/>
        <v>-200</v>
      </c>
      <c r="Y85" s="2"/>
      <c r="Z85" s="7">
        <f t="shared" si="51"/>
        <v>-1</v>
      </c>
    </row>
    <row r="86" spans="1:26" s="24" customFormat="1" hidden="1" outlineLevel="2" x14ac:dyDescent="0.25">
      <c r="A86" s="27"/>
      <c r="B86" s="11" t="str">
        <f>CONCATENATE("          ", "6373", " - ", "MAINTENANCE CONTRACTS")</f>
        <v xml:space="preserve">          6373 - MAINTENANCE CONTRACTS</v>
      </c>
      <c r="C86" s="11"/>
      <c r="D86" s="6">
        <v>7636.87</v>
      </c>
      <c r="E86" s="2"/>
      <c r="F86" s="7">
        <f t="shared" si="44"/>
        <v>8.7666119764794586E-3</v>
      </c>
      <c r="G86" s="2"/>
      <c r="H86" s="6">
        <v>2200</v>
      </c>
      <c r="I86" s="2"/>
      <c r="J86" s="7">
        <f t="shared" si="45"/>
        <v>2.2141929769824574E-3</v>
      </c>
      <c r="K86" s="2"/>
      <c r="L86" s="6">
        <f t="shared" si="46"/>
        <v>5436.87</v>
      </c>
      <c r="M86" s="2"/>
      <c r="N86" s="7">
        <f t="shared" si="47"/>
        <v>2.4713045454545455</v>
      </c>
      <c r="O86" s="11"/>
      <c r="P86" s="6">
        <v>32445.379999999997</v>
      </c>
      <c r="Q86" s="2"/>
      <c r="R86" s="7">
        <f t="shared" si="48"/>
        <v>1.5369612128209552E-2</v>
      </c>
      <c r="S86" s="2"/>
      <c r="T86" s="6">
        <v>9173</v>
      </c>
      <c r="U86" s="2"/>
      <c r="V86" s="7">
        <f t="shared" si="49"/>
        <v>3.7171527574319753E-3</v>
      </c>
      <c r="W86" s="2"/>
      <c r="X86" s="6">
        <f t="shared" si="50"/>
        <v>23272.379999999997</v>
      </c>
      <c r="Y86" s="2"/>
      <c r="Z86" s="7">
        <f t="shared" si="51"/>
        <v>2.5370522184672404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18363.91</v>
      </c>
      <c r="E87" s="2"/>
      <c r="F87" s="7">
        <f t="shared" si="44"/>
        <v>2.1080530811836643E-2</v>
      </c>
      <c r="G87" s="2"/>
      <c r="H87" s="6">
        <v>24700</v>
      </c>
      <c r="I87" s="2"/>
      <c r="J87" s="7">
        <f t="shared" si="45"/>
        <v>2.4859348423393955E-2</v>
      </c>
      <c r="K87" s="2"/>
      <c r="L87" s="6">
        <f t="shared" si="46"/>
        <v>-6336.09</v>
      </c>
      <c r="M87" s="2"/>
      <c r="N87" s="7">
        <f t="shared" si="47"/>
        <v>-0.25652186234817814</v>
      </c>
      <c r="O87" s="11"/>
      <c r="P87" s="6">
        <v>62730.09</v>
      </c>
      <c r="Q87" s="2"/>
      <c r="R87" s="7">
        <f t="shared" si="48"/>
        <v>2.9715699186376513E-2</v>
      </c>
      <c r="S87" s="2"/>
      <c r="T87" s="6">
        <v>82425</v>
      </c>
      <c r="U87" s="2"/>
      <c r="V87" s="7">
        <f t="shared" si="49"/>
        <v>3.3400884773937704E-2</v>
      </c>
      <c r="W87" s="2"/>
      <c r="X87" s="6">
        <f t="shared" si="50"/>
        <v>-19694.910000000003</v>
      </c>
      <c r="Y87" s="2"/>
      <c r="Z87" s="7">
        <f t="shared" si="51"/>
        <v>-0.23894340309372161</v>
      </c>
    </row>
    <row r="88" spans="1:26" s="26" customFormat="1" outlineLevel="1" collapsed="1" x14ac:dyDescent="0.25">
      <c r="A88" s="25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32085.1</v>
      </c>
      <c r="E88" s="1"/>
      <c r="F88" s="5">
        <f t="shared" ref="F88:F91" si="52">IF(D$12=0,0,D88/D$12)</f>
        <v>3.6831532018554866E-2</v>
      </c>
      <c r="G88" s="1"/>
      <c r="H88" s="1">
        <f>SUM(OSRRefH22_15x_0)</f>
        <v>31880</v>
      </c>
      <c r="I88" s="1"/>
      <c r="J88" s="5">
        <f t="shared" ref="J88:J91" si="53">IF(H$12=0,0,H88/H$12)</f>
        <v>3.2085669139182156E-2</v>
      </c>
      <c r="K88" s="1"/>
      <c r="L88" s="1">
        <f t="shared" ref="L88:L91" si="54">+D88-H88</f>
        <v>205.09999999999854</v>
      </c>
      <c r="M88" s="1"/>
      <c r="N88" s="5">
        <f t="shared" ref="N88:N91" si="55">IF(H88=0,0,L88/H88)</f>
        <v>6.4335006273525267E-3</v>
      </c>
      <c r="O88" s="13"/>
      <c r="P88" s="1">
        <f>SUM(OSRRefP22_15x_0)</f>
        <v>92348.87</v>
      </c>
      <c r="Q88" s="1"/>
      <c r="R88" s="5">
        <f t="shared" ref="R88:R91" si="56">IF(P$12=0,0,P88/P$12)</f>
        <v>4.3746330367480588E-2</v>
      </c>
      <c r="S88" s="1"/>
      <c r="T88" s="1">
        <f>SUM(OSRRefT22_15x_0)</f>
        <v>81301</v>
      </c>
      <c r="U88" s="1"/>
      <c r="V88" s="5">
        <f t="shared" ref="V88:V91" si="57">IF(T$12=0,0,T88/T$12)</f>
        <v>3.2945408953665871E-2</v>
      </c>
      <c r="W88" s="1"/>
      <c r="X88" s="1">
        <f t="shared" ref="X88:X91" si="58">+P88-T88</f>
        <v>11047.869999999995</v>
      </c>
      <c r="Y88" s="1"/>
      <c r="Z88" s="5">
        <f t="shared" ref="Z88:Z91" si="59">IF(T88=0,0,X88/T88)</f>
        <v>0.1358884884564765</v>
      </c>
    </row>
    <row r="89" spans="1:26" s="24" customFormat="1" hidden="1" outlineLevel="2" x14ac:dyDescent="0.25">
      <c r="A89" s="27"/>
      <c r="B89" s="11" t="str">
        <f>CONCATENATE("          ", "6253", " - ", "ROYALTY DUE ATHLETICS-LRG")</f>
        <v xml:space="preserve">          6253 - ROYALTY DUE ATHLETICS-LRG</v>
      </c>
      <c r="C89" s="11"/>
      <c r="D89" s="6"/>
      <c r="E89" s="2"/>
      <c r="F89" s="7">
        <f t="shared" si="52"/>
        <v>0</v>
      </c>
      <c r="G89" s="2"/>
      <c r="H89" s="6">
        <v>8000</v>
      </c>
      <c r="I89" s="2"/>
      <c r="J89" s="7">
        <f t="shared" si="53"/>
        <v>8.0516108253907547E-3</v>
      </c>
      <c r="K89" s="2"/>
      <c r="L89" s="6">
        <f t="shared" si="54"/>
        <v>-8000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17000</v>
      </c>
      <c r="U89" s="2"/>
      <c r="V89" s="7">
        <f t="shared" si="57"/>
        <v>6.8888691678124477E-3</v>
      </c>
      <c r="W89" s="2"/>
      <c r="X89" s="6">
        <f t="shared" si="58"/>
        <v>-17000</v>
      </c>
      <c r="Y89" s="2"/>
      <c r="Z89" s="7">
        <f t="shared" si="59"/>
        <v>-1</v>
      </c>
    </row>
    <row r="90" spans="1:26" s="24" customFormat="1" hidden="1" outlineLevel="2" x14ac:dyDescent="0.25">
      <c r="A90" s="27"/>
      <c r="B90" s="11" t="str">
        <f>CONCATENATE("          ", "6254", " - ", "ROYALTY &amp; COMMISSIONS")</f>
        <v xml:space="preserve">          6254 - ROYALTY &amp; COMMISSIONS</v>
      </c>
      <c r="C90" s="11"/>
      <c r="D90" s="6">
        <v>10321.9</v>
      </c>
      <c r="E90" s="2"/>
      <c r="F90" s="7">
        <f t="shared" si="52"/>
        <v>1.1848845424895713E-2</v>
      </c>
      <c r="G90" s="2"/>
      <c r="H90" s="6"/>
      <c r="I90" s="2"/>
      <c r="J90" s="7">
        <f t="shared" si="53"/>
        <v>0</v>
      </c>
      <c r="K90" s="2"/>
      <c r="L90" s="6">
        <f t="shared" si="54"/>
        <v>10321.9</v>
      </c>
      <c r="M90" s="2"/>
      <c r="N90" s="7">
        <f t="shared" si="55"/>
        <v>0</v>
      </c>
      <c r="O90" s="11"/>
      <c r="P90" s="6">
        <v>44979.51</v>
      </c>
      <c r="Q90" s="2"/>
      <c r="R90" s="7">
        <f t="shared" si="56"/>
        <v>2.1307120533552788E-2</v>
      </c>
      <c r="S90" s="2"/>
      <c r="T90" s="6">
        <v>4117</v>
      </c>
      <c r="U90" s="2"/>
      <c r="V90" s="7">
        <f t="shared" si="57"/>
        <v>1.6683220214049322E-3</v>
      </c>
      <c r="W90" s="2"/>
      <c r="X90" s="6">
        <f t="shared" si="58"/>
        <v>40862.51</v>
      </c>
      <c r="Y90" s="2"/>
      <c r="Z90" s="7">
        <f t="shared" si="59"/>
        <v>9.9253121204760753</v>
      </c>
    </row>
    <row r="91" spans="1:26" s="24" customFormat="1" hidden="1" outlineLevel="2" x14ac:dyDescent="0.25">
      <c r="A91" s="27"/>
      <c r="B91" s="11" t="str">
        <f>CONCATENATE("          ", "6259", " - ", "ROYALTY &amp; COMMISSIONS")</f>
        <v xml:space="preserve">          6259 - ROYALTY &amp; COMMISSIONS</v>
      </c>
      <c r="C91" s="11"/>
      <c r="D91" s="6">
        <v>21763.200000000001</v>
      </c>
      <c r="E91" s="2"/>
      <c r="F91" s="7">
        <f t="shared" si="52"/>
        <v>2.498268659365915E-2</v>
      </c>
      <c r="G91" s="2"/>
      <c r="H91" s="6">
        <v>23880</v>
      </c>
      <c r="I91" s="2"/>
      <c r="J91" s="7">
        <f t="shared" si="53"/>
        <v>2.4034058313791403E-2</v>
      </c>
      <c r="K91" s="2"/>
      <c r="L91" s="6">
        <f t="shared" si="54"/>
        <v>-2116.7999999999993</v>
      </c>
      <c r="M91" s="2"/>
      <c r="N91" s="7">
        <f t="shared" si="55"/>
        <v>-8.8643216080401974E-2</v>
      </c>
      <c r="O91" s="11"/>
      <c r="P91" s="6">
        <v>47369.36</v>
      </c>
      <c r="Q91" s="2"/>
      <c r="R91" s="7">
        <f t="shared" si="56"/>
        <v>2.2439209833927803E-2</v>
      </c>
      <c r="S91" s="2"/>
      <c r="T91" s="6">
        <v>60184</v>
      </c>
      <c r="U91" s="2"/>
      <c r="V91" s="7">
        <f t="shared" si="57"/>
        <v>2.4388217764448491E-2</v>
      </c>
      <c r="W91" s="2"/>
      <c r="X91" s="6">
        <f t="shared" si="58"/>
        <v>-12814.64</v>
      </c>
      <c r="Y91" s="2"/>
      <c r="Z91" s="7">
        <f t="shared" si="59"/>
        <v>-0.21292436527980857</v>
      </c>
    </row>
    <row r="92" spans="1:26" s="26" customFormat="1" outlineLevel="1" collapsed="1" x14ac:dyDescent="0.25">
      <c r="A92" s="25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SUM(OSRRefD22_16x_0)</f>
        <v>23526.43</v>
      </c>
      <c r="E92" s="1"/>
      <c r="F92" s="5">
        <f t="shared" ref="F92:F97" si="60">IF(D$12=0,0,D92/D$12)</f>
        <v>2.7006755778454478E-2</v>
      </c>
      <c r="G92" s="1"/>
      <c r="H92" s="1">
        <f>SUM(OSRRefH22_16x_0)</f>
        <v>22911</v>
      </c>
      <c r="I92" s="1"/>
      <c r="J92" s="5">
        <f t="shared" ref="J92:J97" si="61">IF(H$12=0,0,H92/H$12)</f>
        <v>2.3058806952565947E-2</v>
      </c>
      <c r="K92" s="1"/>
      <c r="L92" s="1">
        <f t="shared" ref="L92:L97" si="62">+D92-H92</f>
        <v>615.43000000000029</v>
      </c>
      <c r="M92" s="1"/>
      <c r="N92" s="5">
        <f t="shared" ref="N92:N97" si="63">IF(H92=0,0,L92/H92)</f>
        <v>2.6861769455719973E-2</v>
      </c>
      <c r="O92" s="13"/>
      <c r="P92" s="1">
        <f>SUM(OSRRefP22_16x_0)</f>
        <v>82053.969999999987</v>
      </c>
      <c r="Q92" s="1"/>
      <c r="R92" s="5">
        <f t="shared" ref="R92:R97" si="64">IF(P$12=0,0,P92/P$12)</f>
        <v>3.8869561474692012E-2</v>
      </c>
      <c r="S92" s="1"/>
      <c r="T92" s="1">
        <f>SUM(OSRRefT22_16x_0)</f>
        <v>89101</v>
      </c>
      <c r="U92" s="1"/>
      <c r="V92" s="5">
        <f t="shared" ref="V92:V97" si="65">IF(T$12=0,0,T92/T$12)</f>
        <v>3.6106184218897462E-2</v>
      </c>
      <c r="W92" s="1"/>
      <c r="X92" s="1">
        <f t="shared" ref="X92:X97" si="66">+P92-T92</f>
        <v>-7047.0300000000134</v>
      </c>
      <c r="Y92" s="1"/>
      <c r="Z92" s="5">
        <f t="shared" ref="Z92:Z97" si="67">IF(T92=0,0,X92/T92)</f>
        <v>-7.9090358132905506E-2</v>
      </c>
    </row>
    <row r="93" spans="1:26" s="24" customFormat="1" hidden="1" outlineLevel="2" x14ac:dyDescent="0.25">
      <c r="A93" s="27"/>
      <c r="B93" s="11" t="str">
        <f>CONCATENATE("          ", "6282", " - ", "JANITORIAL/EXTERMINATOR EXPENS")</f>
        <v xml:space="preserve">          6282 - JANITORIAL/EXTERMINATOR EXPENS</v>
      </c>
      <c r="C93" s="11"/>
      <c r="D93" s="6">
        <v>1277.57</v>
      </c>
      <c r="E93" s="2"/>
      <c r="F93" s="7">
        <f t="shared" si="60"/>
        <v>1.4665642419984708E-3</v>
      </c>
      <c r="G93" s="2"/>
      <c r="H93" s="6">
        <v>1355</v>
      </c>
      <c r="I93" s="2"/>
      <c r="J93" s="7">
        <f t="shared" si="61"/>
        <v>1.3637415835505591E-3</v>
      </c>
      <c r="K93" s="2"/>
      <c r="L93" s="6">
        <f t="shared" si="62"/>
        <v>-77.430000000000064</v>
      </c>
      <c r="M93" s="2"/>
      <c r="N93" s="7">
        <f t="shared" si="63"/>
        <v>-5.7143911439114438E-2</v>
      </c>
      <c r="O93" s="11"/>
      <c r="P93" s="6">
        <v>5110.28</v>
      </c>
      <c r="Q93" s="2"/>
      <c r="R93" s="7">
        <f t="shared" si="64"/>
        <v>2.4207767474613245E-3</v>
      </c>
      <c r="S93" s="2"/>
      <c r="T93" s="6">
        <v>5205</v>
      </c>
      <c r="U93" s="2"/>
      <c r="V93" s="7">
        <f t="shared" si="65"/>
        <v>2.1092096481449287E-3</v>
      </c>
      <c r="W93" s="2"/>
      <c r="X93" s="6">
        <f t="shared" si="66"/>
        <v>-94.720000000000255</v>
      </c>
      <c r="Y93" s="2"/>
      <c r="Z93" s="7">
        <f t="shared" si="67"/>
        <v>-1.819788664745442E-2</v>
      </c>
    </row>
    <row r="94" spans="1:26" s="24" customFormat="1" hidden="1" outlineLevel="2" x14ac:dyDescent="0.25">
      <c r="A94" s="27"/>
      <c r="B94" s="11" t="str">
        <f>CONCATENATE("          ", "6283", " - ", "PLANT SERVICE")</f>
        <v xml:space="preserve">          6283 - PLANT SERVICE</v>
      </c>
      <c r="C94" s="11"/>
      <c r="D94" s="6"/>
      <c r="E94" s="2"/>
      <c r="F94" s="7">
        <f t="shared" si="60"/>
        <v>0</v>
      </c>
      <c r="G94" s="2"/>
      <c r="H94" s="6">
        <v>185</v>
      </c>
      <c r="I94" s="2"/>
      <c r="J94" s="7">
        <f t="shared" si="61"/>
        <v>1.8619350033716121E-4</v>
      </c>
      <c r="K94" s="2"/>
      <c r="L94" s="6">
        <f t="shared" si="62"/>
        <v>-185</v>
      </c>
      <c r="M94" s="2"/>
      <c r="N94" s="7">
        <f t="shared" si="63"/>
        <v>-1</v>
      </c>
      <c r="O94" s="11"/>
      <c r="P94" s="6">
        <v>599.34</v>
      </c>
      <c r="Q94" s="2"/>
      <c r="R94" s="7">
        <f t="shared" si="64"/>
        <v>2.8391171047838286E-4</v>
      </c>
      <c r="S94" s="2"/>
      <c r="T94" s="6">
        <v>705</v>
      </c>
      <c r="U94" s="2"/>
      <c r="V94" s="7">
        <f t="shared" si="65"/>
        <v>2.856854566651633E-4</v>
      </c>
      <c r="W94" s="2"/>
      <c r="X94" s="6">
        <f t="shared" si="66"/>
        <v>-105.65999999999997</v>
      </c>
      <c r="Y94" s="2"/>
      <c r="Z94" s="7">
        <f t="shared" si="67"/>
        <v>-0.14987234042553188</v>
      </c>
    </row>
    <row r="95" spans="1:26" s="24" customFormat="1" hidden="1" outlineLevel="2" x14ac:dyDescent="0.25">
      <c r="A95" s="27"/>
      <c r="B95" s="11" t="str">
        <f>CONCATENATE("          ", "6284", " - ", "TRASH REMOVAL EXPENSE")</f>
        <v xml:space="preserve">          6284 - TRASH REMOVAL EXPENSE</v>
      </c>
      <c r="C95" s="11"/>
      <c r="D95" s="6">
        <v>4199</v>
      </c>
      <c r="E95" s="2"/>
      <c r="F95" s="7">
        <f t="shared" si="60"/>
        <v>4.8201689552443928E-3</v>
      </c>
      <c r="G95" s="2"/>
      <c r="H95" s="6">
        <v>3515</v>
      </c>
      <c r="I95" s="2"/>
      <c r="J95" s="7">
        <f t="shared" si="61"/>
        <v>3.5376765064060629E-3</v>
      </c>
      <c r="K95" s="2"/>
      <c r="L95" s="6">
        <f t="shared" si="62"/>
        <v>684</v>
      </c>
      <c r="M95" s="2"/>
      <c r="N95" s="7">
        <f t="shared" si="63"/>
        <v>0.19459459459459461</v>
      </c>
      <c r="O95" s="11"/>
      <c r="P95" s="6">
        <v>9021</v>
      </c>
      <c r="Q95" s="2"/>
      <c r="R95" s="7">
        <f t="shared" si="64"/>
        <v>4.2733132115752191E-3</v>
      </c>
      <c r="S95" s="2"/>
      <c r="T95" s="6">
        <v>14060</v>
      </c>
      <c r="U95" s="2"/>
      <c r="V95" s="7">
        <f t="shared" si="65"/>
        <v>5.6975000293790013E-3</v>
      </c>
      <c r="W95" s="2"/>
      <c r="X95" s="6">
        <f t="shared" si="66"/>
        <v>-5039</v>
      </c>
      <c r="Y95" s="2"/>
      <c r="Z95" s="7">
        <f t="shared" si="67"/>
        <v>-0.35839260312944521</v>
      </c>
    </row>
    <row r="96" spans="1:26" s="24" customFormat="1" hidden="1" outlineLevel="2" x14ac:dyDescent="0.25">
      <c r="A96" s="27"/>
      <c r="B96" s="11" t="str">
        <f>CONCATENATE("          ", "6285", " - ", "JANITORIAL SERVICES")</f>
        <v xml:space="preserve">          6285 - JANITORIAL SERVICES</v>
      </c>
      <c r="C96" s="11"/>
      <c r="D96" s="6">
        <v>13194.46</v>
      </c>
      <c r="E96" s="2"/>
      <c r="F96" s="7">
        <f t="shared" si="60"/>
        <v>1.5146350672353877E-2</v>
      </c>
      <c r="G96" s="2"/>
      <c r="H96" s="6">
        <v>13256</v>
      </c>
      <c r="I96" s="2"/>
      <c r="J96" s="7">
        <f t="shared" si="61"/>
        <v>1.3341519137672481E-2</v>
      </c>
      <c r="K96" s="2"/>
      <c r="L96" s="6">
        <f t="shared" si="62"/>
        <v>-61.540000000000873</v>
      </c>
      <c r="M96" s="2"/>
      <c r="N96" s="7">
        <f t="shared" si="63"/>
        <v>-4.6424260712131012E-3</v>
      </c>
      <c r="O96" s="11"/>
      <c r="P96" s="6">
        <v>53007.839999999997</v>
      </c>
      <c r="Q96" s="2"/>
      <c r="R96" s="7">
        <f t="shared" si="64"/>
        <v>2.5110198757240368E-2</v>
      </c>
      <c r="S96" s="2"/>
      <c r="T96" s="6">
        <v>53130</v>
      </c>
      <c r="U96" s="2"/>
      <c r="V96" s="7">
        <f t="shared" si="65"/>
        <v>2.1529742287404431E-2</v>
      </c>
      <c r="W96" s="2"/>
      <c r="X96" s="6">
        <f t="shared" si="66"/>
        <v>-122.16000000000349</v>
      </c>
      <c r="Y96" s="2"/>
      <c r="Z96" s="7">
        <f t="shared" si="67"/>
        <v>-2.2992659514399303E-3</v>
      </c>
    </row>
    <row r="97" spans="1:26" s="24" customFormat="1" hidden="1" outlineLevel="2" x14ac:dyDescent="0.25">
      <c r="A97" s="27"/>
      <c r="B97" s="11" t="str">
        <f>CONCATENATE("          ", "6286", " - ", "LAUNDRY EXPENSE")</f>
        <v xml:space="preserve">          6286 - LAUNDRY EXPENSE</v>
      </c>
      <c r="C97" s="11"/>
      <c r="D97" s="6">
        <v>4855.3999999999996</v>
      </c>
      <c r="E97" s="2"/>
      <c r="F97" s="7">
        <f t="shared" si="60"/>
        <v>5.5736719088577335E-3</v>
      </c>
      <c r="G97" s="2"/>
      <c r="H97" s="6">
        <v>4600</v>
      </c>
      <c r="I97" s="2"/>
      <c r="J97" s="7">
        <f t="shared" si="61"/>
        <v>4.6296762245996836E-3</v>
      </c>
      <c r="K97" s="2"/>
      <c r="L97" s="6">
        <f t="shared" si="62"/>
        <v>255.39999999999964</v>
      </c>
      <c r="M97" s="2"/>
      <c r="N97" s="7">
        <f t="shared" si="63"/>
        <v>5.5521739130434705E-2</v>
      </c>
      <c r="O97" s="11"/>
      <c r="P97" s="6">
        <v>14315.51</v>
      </c>
      <c r="Q97" s="2"/>
      <c r="R97" s="7">
        <f t="shared" si="64"/>
        <v>6.7813610479367219E-3</v>
      </c>
      <c r="S97" s="2"/>
      <c r="T97" s="6">
        <v>16001</v>
      </c>
      <c r="U97" s="2"/>
      <c r="V97" s="7">
        <f t="shared" si="65"/>
        <v>6.4840467973039401E-3</v>
      </c>
      <c r="W97" s="2"/>
      <c r="X97" s="6">
        <f t="shared" si="66"/>
        <v>-1685.4899999999998</v>
      </c>
      <c r="Y97" s="2"/>
      <c r="Z97" s="7">
        <f t="shared" si="67"/>
        <v>-0.10533654146615835</v>
      </c>
    </row>
    <row r="98" spans="1:26" s="26" customFormat="1" outlineLevel="1" collapsed="1" x14ac:dyDescent="0.25">
      <c r="A98" s="25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SUM(OSRRefD22_17x_0)</f>
        <v>393.42</v>
      </c>
      <c r="E98" s="1"/>
      <c r="F98" s="5">
        <f t="shared" ref="F98:F110" si="68">IF(D$12=0,0,D98/D$12)</f>
        <v>4.5161964047922104E-4</v>
      </c>
      <c r="G98" s="1"/>
      <c r="H98" s="1">
        <f>SUM(OSRRefH22_17x_0)</f>
        <v>394</v>
      </c>
      <c r="I98" s="1"/>
      <c r="J98" s="5">
        <f t="shared" ref="J98:J110" si="69">IF(H$12=0,0,H98/H$12)</f>
        <v>3.9654183315049465E-4</v>
      </c>
      <c r="K98" s="1"/>
      <c r="L98" s="1">
        <f t="shared" ref="L98:L110" si="70">+D98-H98</f>
        <v>-0.57999999999998408</v>
      </c>
      <c r="M98" s="1"/>
      <c r="N98" s="5">
        <f t="shared" ref="N98:N110" si="71">IF(H98=0,0,L98/H98)</f>
        <v>-1.4720812182740712E-3</v>
      </c>
      <c r="O98" s="13"/>
      <c r="P98" s="1">
        <f>SUM(OSRRefP22_17x_0)</f>
        <v>1696.4</v>
      </c>
      <c r="Q98" s="1"/>
      <c r="R98" s="5">
        <f t="shared" ref="R98:R110" si="72">IF(P$12=0,0,P98/P$12)</f>
        <v>8.0359699945861901E-4</v>
      </c>
      <c r="S98" s="1"/>
      <c r="T98" s="1">
        <f>SUM(OSRRefT22_17x_0)</f>
        <v>1576</v>
      </c>
      <c r="U98" s="1"/>
      <c r="V98" s="5">
        <f t="shared" ref="V98:V110" si="73">IF(T$12=0,0,T98/T$12)</f>
        <v>6.386386946160246E-4</v>
      </c>
      <c r="W98" s="1"/>
      <c r="X98" s="1">
        <f t="shared" ref="X98:X110" si="74">+P98-T98</f>
        <v>120.40000000000009</v>
      </c>
      <c r="Y98" s="1"/>
      <c r="Z98" s="5">
        <f t="shared" ref="Z98:Z110" si="75">IF(T98=0,0,X98/T98)</f>
        <v>7.6395939086294468E-2</v>
      </c>
    </row>
    <row r="99" spans="1:26" s="24" customFormat="1" hidden="1" outlineLevel="2" x14ac:dyDescent="0.25">
      <c r="A99" s="27"/>
      <c r="B99" s="11" t="str">
        <f>CONCATENATE("          ", "6275", " - ", "SUBSCRIPTIONS")</f>
        <v xml:space="preserve">          6275 - SUBSCRIPTIONS</v>
      </c>
      <c r="C99" s="11"/>
      <c r="D99" s="6">
        <v>393.42</v>
      </c>
      <c r="E99" s="2"/>
      <c r="F99" s="7">
        <f t="shared" si="68"/>
        <v>4.5161964047922104E-4</v>
      </c>
      <c r="G99" s="2"/>
      <c r="H99" s="6">
        <v>394</v>
      </c>
      <c r="I99" s="2"/>
      <c r="J99" s="7">
        <f t="shared" si="69"/>
        <v>3.9654183315049465E-4</v>
      </c>
      <c r="K99" s="2"/>
      <c r="L99" s="6">
        <f t="shared" si="70"/>
        <v>-0.57999999999998408</v>
      </c>
      <c r="M99" s="2"/>
      <c r="N99" s="7">
        <f t="shared" si="71"/>
        <v>-1.4720812182740712E-3</v>
      </c>
      <c r="O99" s="11"/>
      <c r="P99" s="6">
        <v>1696.4</v>
      </c>
      <c r="Q99" s="2"/>
      <c r="R99" s="7">
        <f t="shared" si="72"/>
        <v>8.0359699945861901E-4</v>
      </c>
      <c r="S99" s="2"/>
      <c r="T99" s="6">
        <v>1576</v>
      </c>
      <c r="U99" s="2"/>
      <c r="V99" s="7">
        <f t="shared" si="73"/>
        <v>6.386386946160246E-4</v>
      </c>
      <c r="W99" s="2"/>
      <c r="X99" s="6">
        <f t="shared" si="74"/>
        <v>120.40000000000009</v>
      </c>
      <c r="Y99" s="2"/>
      <c r="Z99" s="7">
        <f t="shared" si="75"/>
        <v>7.6395939086294468E-2</v>
      </c>
    </row>
    <row r="100" spans="1:26" s="26" customFormat="1" outlineLevel="1" collapsed="1" x14ac:dyDescent="0.25">
      <c r="A100" s="25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SUM(OSRRefD22_18x_0)</f>
        <v>28173.599999999999</v>
      </c>
      <c r="E100" s="1"/>
      <c r="F100" s="5">
        <f t="shared" si="68"/>
        <v>3.2341393683608818E-2</v>
      </c>
      <c r="G100" s="1"/>
      <c r="H100" s="1">
        <f>SUM(OSRRefH22_18x_0)</f>
        <v>12596.77</v>
      </c>
      <c r="I100" s="1"/>
      <c r="J100" s="5">
        <f t="shared" si="69"/>
        <v>1.2678036212119688E-2</v>
      </c>
      <c r="K100" s="1"/>
      <c r="L100" s="1">
        <f t="shared" si="70"/>
        <v>15576.829999999998</v>
      </c>
      <c r="M100" s="1"/>
      <c r="N100" s="5">
        <f t="shared" si="71"/>
        <v>1.2365733438016251</v>
      </c>
      <c r="O100" s="13"/>
      <c r="P100" s="1">
        <f>SUM(OSRRefP22_18x_0)</f>
        <v>89543.52</v>
      </c>
      <c r="Q100" s="1"/>
      <c r="R100" s="5">
        <f t="shared" si="72"/>
        <v>4.2417415699695142E-2</v>
      </c>
      <c r="S100" s="1"/>
      <c r="T100" s="1">
        <f>SUM(OSRRefT22_18x_0)</f>
        <v>69410.100000000006</v>
      </c>
      <c r="U100" s="1"/>
      <c r="V100" s="5">
        <f t="shared" si="73"/>
        <v>2.8126888107339931E-2</v>
      </c>
      <c r="W100" s="1"/>
      <c r="X100" s="1">
        <f t="shared" si="74"/>
        <v>20133.419999999998</v>
      </c>
      <c r="Y100" s="1"/>
      <c r="Z100" s="5">
        <f t="shared" si="75"/>
        <v>0.2900647023992185</v>
      </c>
    </row>
    <row r="101" spans="1:26" s="24" customFormat="1" hidden="1" outlineLevel="2" x14ac:dyDescent="0.25">
      <c r="A101" s="27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>
        <v>3976.8</v>
      </c>
      <c r="E101" s="2"/>
      <c r="F101" s="7">
        <f t="shared" si="68"/>
        <v>4.5650983332259833E-3</v>
      </c>
      <c r="G101" s="2"/>
      <c r="H101" s="6">
        <v>700</v>
      </c>
      <c r="I101" s="2"/>
      <c r="J101" s="7">
        <f t="shared" si="69"/>
        <v>7.0451594722169102E-4</v>
      </c>
      <c r="K101" s="2"/>
      <c r="L101" s="6">
        <f t="shared" si="70"/>
        <v>3276.8</v>
      </c>
      <c r="M101" s="2"/>
      <c r="N101" s="7">
        <f t="shared" si="71"/>
        <v>4.6811428571428575</v>
      </c>
      <c r="O101" s="11"/>
      <c r="P101" s="6">
        <v>11646.89</v>
      </c>
      <c r="Q101" s="2"/>
      <c r="R101" s="7">
        <f t="shared" si="72"/>
        <v>5.5172163741007982E-3</v>
      </c>
      <c r="S101" s="2"/>
      <c r="T101" s="6">
        <v>2950</v>
      </c>
      <c r="U101" s="2"/>
      <c r="V101" s="7">
        <f t="shared" si="73"/>
        <v>1.195421414414513E-3</v>
      </c>
      <c r="W101" s="2"/>
      <c r="X101" s="6">
        <f t="shared" si="74"/>
        <v>8696.89</v>
      </c>
      <c r="Y101" s="2"/>
      <c r="Z101" s="7">
        <f t="shared" si="75"/>
        <v>2.9480983050847454</v>
      </c>
    </row>
    <row r="102" spans="1:26" s="24" customFormat="1" hidden="1" outlineLevel="2" x14ac:dyDescent="0.25">
      <c r="A102" s="27"/>
      <c r="B102" s="11" t="str">
        <f>CONCATENATE("          ", "6237", " - ", "JANITORIAL SUPPLIES")</f>
        <v xml:space="preserve">          6237 - JANITORIAL SUPPLIES</v>
      </c>
      <c r="C102" s="11"/>
      <c r="D102" s="6">
        <v>7833.23</v>
      </c>
      <c r="E102" s="2"/>
      <c r="F102" s="7">
        <f t="shared" si="68"/>
        <v>8.9920200203117487E-3</v>
      </c>
      <c r="G102" s="2"/>
      <c r="H102" s="6">
        <v>3591</v>
      </c>
      <c r="I102" s="2"/>
      <c r="J102" s="7">
        <f t="shared" si="69"/>
        <v>3.6141668092472749E-3</v>
      </c>
      <c r="K102" s="2"/>
      <c r="L102" s="6">
        <f t="shared" si="70"/>
        <v>4242.2299999999996</v>
      </c>
      <c r="M102" s="2"/>
      <c r="N102" s="7">
        <f t="shared" si="71"/>
        <v>1.1813505987190196</v>
      </c>
      <c r="O102" s="11"/>
      <c r="P102" s="6">
        <v>19196.099999999999</v>
      </c>
      <c r="Q102" s="2"/>
      <c r="R102" s="7">
        <f t="shared" si="72"/>
        <v>9.0933319743619397E-3</v>
      </c>
      <c r="S102" s="2"/>
      <c r="T102" s="6">
        <v>17874</v>
      </c>
      <c r="U102" s="2"/>
      <c r="V102" s="7">
        <f t="shared" si="73"/>
        <v>7.2430380885576285E-3</v>
      </c>
      <c r="W102" s="2"/>
      <c r="X102" s="6">
        <f t="shared" si="74"/>
        <v>1322.0999999999985</v>
      </c>
      <c r="Y102" s="2"/>
      <c r="Z102" s="7">
        <f t="shared" si="75"/>
        <v>7.3967774420946542E-2</v>
      </c>
    </row>
    <row r="103" spans="1:26" s="24" customFormat="1" hidden="1" outlineLevel="2" x14ac:dyDescent="0.25">
      <c r="A103" s="27"/>
      <c r="B103" s="11" t="str">
        <f>CONCATENATE("          ", "6239", " - ", "KITCHEN SUPPLIES")</f>
        <v xml:space="preserve">          6239 - KITCHEN SUPPLIES</v>
      </c>
      <c r="C103" s="11"/>
      <c r="D103" s="6">
        <v>9909.17</v>
      </c>
      <c r="E103" s="2"/>
      <c r="F103" s="7">
        <f t="shared" si="68"/>
        <v>1.1375059206058366E-2</v>
      </c>
      <c r="G103" s="2"/>
      <c r="H103" s="6">
        <v>1918.76</v>
      </c>
      <c r="I103" s="2"/>
      <c r="J103" s="7">
        <f t="shared" si="69"/>
        <v>1.9311385984158455E-3</v>
      </c>
      <c r="K103" s="2"/>
      <c r="L103" s="6">
        <f t="shared" si="70"/>
        <v>7990.41</v>
      </c>
      <c r="M103" s="2"/>
      <c r="N103" s="7">
        <f t="shared" si="71"/>
        <v>4.1643613583772856</v>
      </c>
      <c r="O103" s="11"/>
      <c r="P103" s="6">
        <v>27903.53</v>
      </c>
      <c r="Q103" s="2"/>
      <c r="R103" s="7">
        <f t="shared" si="72"/>
        <v>1.3218104799754514E-2</v>
      </c>
      <c r="S103" s="2"/>
      <c r="T103" s="6">
        <v>16184.76</v>
      </c>
      <c r="U103" s="2"/>
      <c r="V103" s="7">
        <f t="shared" si="73"/>
        <v>6.5585114207320112E-3</v>
      </c>
      <c r="W103" s="2"/>
      <c r="X103" s="6">
        <f t="shared" si="74"/>
        <v>11718.769999999999</v>
      </c>
      <c r="Y103" s="2"/>
      <c r="Z103" s="7">
        <f t="shared" si="75"/>
        <v>0.72406201883747412</v>
      </c>
    </row>
    <row r="104" spans="1:26" s="24" customFormat="1" hidden="1" outlineLevel="2" x14ac:dyDescent="0.25">
      <c r="A104" s="27"/>
      <c r="B104" s="11" t="str">
        <f>CONCATENATE("          ", "6241", " - ", "OFFICE EXPENSE")</f>
        <v xml:space="preserve">          6241 - OFFICE EXPENSE</v>
      </c>
      <c r="C104" s="11"/>
      <c r="D104" s="6">
        <v>2255.5500000000002</v>
      </c>
      <c r="E104" s="2"/>
      <c r="F104" s="7">
        <f t="shared" si="68"/>
        <v>2.5892193586571784E-3</v>
      </c>
      <c r="G104" s="2"/>
      <c r="H104" s="6">
        <v>720</v>
      </c>
      <c r="I104" s="2"/>
      <c r="J104" s="7">
        <f t="shared" si="69"/>
        <v>7.2464497428516793E-4</v>
      </c>
      <c r="K104" s="2"/>
      <c r="L104" s="6">
        <f t="shared" si="70"/>
        <v>1535.5500000000002</v>
      </c>
      <c r="M104" s="2"/>
      <c r="N104" s="7">
        <f t="shared" si="71"/>
        <v>2.1327083333333334</v>
      </c>
      <c r="O104" s="11"/>
      <c r="P104" s="6">
        <v>11021.24</v>
      </c>
      <c r="Q104" s="2"/>
      <c r="R104" s="7">
        <f t="shared" si="72"/>
        <v>5.2208414255560656E-3</v>
      </c>
      <c r="S104" s="2"/>
      <c r="T104" s="6">
        <v>4031.25</v>
      </c>
      <c r="U104" s="2"/>
      <c r="V104" s="7">
        <f t="shared" si="73"/>
        <v>1.6335737548672899E-3</v>
      </c>
      <c r="W104" s="2"/>
      <c r="X104" s="6">
        <f t="shared" si="74"/>
        <v>6989.99</v>
      </c>
      <c r="Y104" s="2"/>
      <c r="Z104" s="7">
        <f t="shared" si="75"/>
        <v>1.733951007751938</v>
      </c>
    </row>
    <row r="105" spans="1:26" s="24" customFormat="1" hidden="1" outlineLevel="2" x14ac:dyDescent="0.25">
      <c r="A105" s="27"/>
      <c r="B105" s="11" t="str">
        <f>CONCATENATE("          ", "6243", " - ", "PAPER SUPPLIES")</f>
        <v xml:space="preserve">          6243 - PAPER SUPPLIES</v>
      </c>
      <c r="C105" s="11"/>
      <c r="D105" s="6">
        <v>3899.07</v>
      </c>
      <c r="E105" s="2"/>
      <c r="F105" s="7">
        <f t="shared" si="68"/>
        <v>4.475869532823233E-3</v>
      </c>
      <c r="G105" s="2"/>
      <c r="H105" s="6">
        <v>5120</v>
      </c>
      <c r="I105" s="2"/>
      <c r="J105" s="7">
        <f t="shared" si="69"/>
        <v>5.153030928250083E-3</v>
      </c>
      <c r="K105" s="2"/>
      <c r="L105" s="6">
        <f t="shared" si="70"/>
        <v>-1220.9299999999998</v>
      </c>
      <c r="M105" s="2"/>
      <c r="N105" s="7">
        <f t="shared" si="71"/>
        <v>-0.23846289062499998</v>
      </c>
      <c r="O105" s="11"/>
      <c r="P105" s="6">
        <v>14239.81</v>
      </c>
      <c r="Q105" s="2"/>
      <c r="R105" s="7">
        <f t="shared" si="72"/>
        <v>6.7455014081943153E-3</v>
      </c>
      <c r="S105" s="2"/>
      <c r="T105" s="6">
        <v>16560</v>
      </c>
      <c r="U105" s="2"/>
      <c r="V105" s="7">
        <f t="shared" si="73"/>
        <v>6.7105690246455369E-3</v>
      </c>
      <c r="W105" s="2"/>
      <c r="X105" s="6">
        <f t="shared" si="74"/>
        <v>-2320.1900000000005</v>
      </c>
      <c r="Y105" s="2"/>
      <c r="Z105" s="7">
        <f t="shared" si="75"/>
        <v>-0.14010809178743963</v>
      </c>
    </row>
    <row r="106" spans="1:26" s="24" customFormat="1" hidden="1" outlineLevel="2" x14ac:dyDescent="0.25">
      <c r="A106" s="27"/>
      <c r="B106" s="11" t="str">
        <f>CONCATENATE("          ", "6244", " - ", "SAFETY SUPPLY EXPENSE")</f>
        <v xml:space="preserve">          6244 - SAFETY SUPPLY EXPENSE</v>
      </c>
      <c r="C106" s="11"/>
      <c r="D106" s="6"/>
      <c r="E106" s="2"/>
      <c r="F106" s="7">
        <f t="shared" si="68"/>
        <v>0</v>
      </c>
      <c r="G106" s="2"/>
      <c r="H106" s="6">
        <v>110</v>
      </c>
      <c r="I106" s="2"/>
      <c r="J106" s="7">
        <f t="shared" si="69"/>
        <v>1.1070964884912288E-4</v>
      </c>
      <c r="K106" s="2"/>
      <c r="L106" s="6">
        <f t="shared" si="70"/>
        <v>-110</v>
      </c>
      <c r="M106" s="2"/>
      <c r="N106" s="7">
        <f t="shared" si="71"/>
        <v>-1</v>
      </c>
      <c r="O106" s="11"/>
      <c r="P106" s="6"/>
      <c r="Q106" s="2"/>
      <c r="R106" s="7">
        <f t="shared" si="72"/>
        <v>0</v>
      </c>
      <c r="S106" s="2"/>
      <c r="T106" s="6">
        <v>440</v>
      </c>
      <c r="U106" s="2"/>
      <c r="V106" s="7">
        <f t="shared" si="73"/>
        <v>1.783001431669104E-4</v>
      </c>
      <c r="W106" s="2"/>
      <c r="X106" s="6">
        <f t="shared" si="74"/>
        <v>-440</v>
      </c>
      <c r="Y106" s="2"/>
      <c r="Z106" s="7">
        <f t="shared" si="75"/>
        <v>-1</v>
      </c>
    </row>
    <row r="107" spans="1:26" s="24" customFormat="1" hidden="1" outlineLevel="2" x14ac:dyDescent="0.25">
      <c r="A107" s="27"/>
      <c r="B107" s="11" t="str">
        <f>CONCATENATE("          ", "6245", " - ", "PRINTING")</f>
        <v xml:space="preserve">          6245 - PRINTING</v>
      </c>
      <c r="C107" s="11"/>
      <c r="D107" s="6">
        <v>55.72</v>
      </c>
      <c r="E107" s="2"/>
      <c r="F107" s="7">
        <f t="shared" si="68"/>
        <v>6.3962804045300685E-5</v>
      </c>
      <c r="G107" s="2"/>
      <c r="H107" s="6">
        <v>50</v>
      </c>
      <c r="I107" s="2"/>
      <c r="J107" s="7">
        <f t="shared" si="69"/>
        <v>5.0322567658692218E-5</v>
      </c>
      <c r="K107" s="2"/>
      <c r="L107" s="6">
        <f t="shared" si="70"/>
        <v>5.7199999999999989</v>
      </c>
      <c r="M107" s="2"/>
      <c r="N107" s="7">
        <f t="shared" si="71"/>
        <v>0.11439999999999997</v>
      </c>
      <c r="O107" s="11"/>
      <c r="P107" s="6">
        <v>254.91</v>
      </c>
      <c r="Q107" s="2"/>
      <c r="R107" s="7">
        <f t="shared" si="72"/>
        <v>1.2075271818674637E-4</v>
      </c>
      <c r="S107" s="2"/>
      <c r="T107" s="6">
        <v>750</v>
      </c>
      <c r="U107" s="2"/>
      <c r="V107" s="7">
        <f t="shared" si="73"/>
        <v>3.0392069857996092E-4</v>
      </c>
      <c r="W107" s="2"/>
      <c r="X107" s="6">
        <f t="shared" si="74"/>
        <v>-495.09000000000003</v>
      </c>
      <c r="Y107" s="2"/>
      <c r="Z107" s="7">
        <f t="shared" si="75"/>
        <v>-0.66012000000000004</v>
      </c>
    </row>
    <row r="108" spans="1:26" s="24" customFormat="1" hidden="1" outlineLevel="2" x14ac:dyDescent="0.25">
      <c r="A108" s="27"/>
      <c r="B108" s="11" t="str">
        <f>CONCATENATE("          ", "6246", " - ", "REPLACEMENTS")</f>
        <v xml:space="preserve">          6246 - REPLACEMENTS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/>
      <c r="Q108" s="2"/>
      <c r="R108" s="7">
        <f t="shared" si="72"/>
        <v>0</v>
      </c>
      <c r="S108" s="2"/>
      <c r="T108" s="6">
        <v>2400</v>
      </c>
      <c r="U108" s="2"/>
      <c r="V108" s="7">
        <f t="shared" si="73"/>
        <v>9.7254623545587498E-4</v>
      </c>
      <c r="W108" s="2"/>
      <c r="X108" s="6">
        <f t="shared" si="74"/>
        <v>-2400</v>
      </c>
      <c r="Y108" s="2"/>
      <c r="Z108" s="7">
        <f t="shared" si="75"/>
        <v>-1</v>
      </c>
    </row>
    <row r="109" spans="1:26" s="24" customFormat="1" hidden="1" outlineLevel="2" x14ac:dyDescent="0.25">
      <c r="A109" s="27"/>
      <c r="B109" s="11" t="str">
        <f>CONCATENATE("          ", "6247", " - ", "STORE SUPPLIES")</f>
        <v xml:space="preserve">          6247 - STORE SUPPLIES</v>
      </c>
      <c r="C109" s="11"/>
      <c r="D109" s="6">
        <v>104.65</v>
      </c>
      <c r="E109" s="2"/>
      <c r="F109" s="7">
        <f t="shared" si="68"/>
        <v>1.2013114578859866E-4</v>
      </c>
      <c r="G109" s="2"/>
      <c r="H109" s="6">
        <v>387.01</v>
      </c>
      <c r="I109" s="2"/>
      <c r="J109" s="7">
        <f t="shared" si="69"/>
        <v>3.8950673819180951E-4</v>
      </c>
      <c r="K109" s="2"/>
      <c r="L109" s="6">
        <f t="shared" si="70"/>
        <v>-282.36</v>
      </c>
      <c r="M109" s="2"/>
      <c r="N109" s="7">
        <f t="shared" si="71"/>
        <v>-0.72959355055424935</v>
      </c>
      <c r="O109" s="11"/>
      <c r="P109" s="6">
        <v>1797.8</v>
      </c>
      <c r="Q109" s="2"/>
      <c r="R109" s="7">
        <f t="shared" si="72"/>
        <v>8.5163091583748238E-4</v>
      </c>
      <c r="S109" s="2"/>
      <c r="T109" s="6">
        <v>3120.09</v>
      </c>
      <c r="U109" s="2"/>
      <c r="V109" s="7">
        <f t="shared" si="73"/>
        <v>1.2643465765764671E-3</v>
      </c>
      <c r="W109" s="2"/>
      <c r="X109" s="6">
        <f t="shared" si="74"/>
        <v>-1322.2900000000002</v>
      </c>
      <c r="Y109" s="2"/>
      <c r="Z109" s="7">
        <f t="shared" si="75"/>
        <v>-0.42379867247419151</v>
      </c>
    </row>
    <row r="110" spans="1:26" s="24" customFormat="1" hidden="1" outlineLevel="2" x14ac:dyDescent="0.25">
      <c r="A110" s="27"/>
      <c r="B110" s="11" t="str">
        <f>CONCATENATE("          ", "6248", " - ", "UNIFORMS")</f>
        <v xml:space="preserve">          6248 - UNIFORMS</v>
      </c>
      <c r="C110" s="11"/>
      <c r="D110" s="6">
        <v>139.41</v>
      </c>
      <c r="E110" s="2"/>
      <c r="F110" s="7">
        <f t="shared" si="68"/>
        <v>1.6003328269840935E-4</v>
      </c>
      <c r="G110" s="2"/>
      <c r="H110" s="6"/>
      <c r="I110" s="2"/>
      <c r="J110" s="7">
        <f t="shared" si="69"/>
        <v>0</v>
      </c>
      <c r="K110" s="2"/>
      <c r="L110" s="6">
        <f t="shared" si="70"/>
        <v>139.41</v>
      </c>
      <c r="M110" s="2"/>
      <c r="N110" s="7">
        <f t="shared" si="71"/>
        <v>0</v>
      </c>
      <c r="O110" s="11"/>
      <c r="P110" s="6">
        <v>3483.24</v>
      </c>
      <c r="Q110" s="2"/>
      <c r="R110" s="7">
        <f t="shared" si="72"/>
        <v>1.6500360837032773E-3</v>
      </c>
      <c r="S110" s="2"/>
      <c r="T110" s="6">
        <v>5100</v>
      </c>
      <c r="U110" s="2"/>
      <c r="V110" s="7">
        <f t="shared" si="73"/>
        <v>2.0666607503437343E-3</v>
      </c>
      <c r="W110" s="2"/>
      <c r="X110" s="6">
        <f t="shared" si="74"/>
        <v>-1616.7600000000002</v>
      </c>
      <c r="Y110" s="2"/>
      <c r="Z110" s="7">
        <f t="shared" si="75"/>
        <v>-0.31701176470588238</v>
      </c>
    </row>
    <row r="111" spans="1:26" s="26" customFormat="1" outlineLevel="1" collapsed="1" x14ac:dyDescent="0.25">
      <c r="A111" s="25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SUM(OSRRefD22_19x_0)</f>
        <v>2407.0700000000002</v>
      </c>
      <c r="E111" s="1"/>
      <c r="F111" s="5">
        <f t="shared" ref="F111:F113" si="76">IF(D$12=0,0,D111/D$12)</f>
        <v>2.7631541050488501E-3</v>
      </c>
      <c r="G111" s="1"/>
      <c r="H111" s="1">
        <f>SUM(OSRRefH22_19x_0)</f>
        <v>2161</v>
      </c>
      <c r="I111" s="1"/>
      <c r="J111" s="5">
        <f t="shared" ref="J111:J113" si="77">IF(H$12=0,0,H111/H$12)</f>
        <v>2.1749413742086776E-3</v>
      </c>
      <c r="K111" s="1"/>
      <c r="L111" s="1">
        <f t="shared" ref="L111:L113" si="78">+D111-H111</f>
        <v>246.07000000000016</v>
      </c>
      <c r="M111" s="1"/>
      <c r="N111" s="5">
        <f t="shared" ref="N111:N113" si="79">IF(H111=0,0,L111/H111)</f>
        <v>0.11386857936140683</v>
      </c>
      <c r="O111" s="13"/>
      <c r="P111" s="1">
        <f>SUM(OSRRefP22_19x_0)</f>
        <v>7140.96</v>
      </c>
      <c r="Q111" s="1"/>
      <c r="R111" s="5">
        <f t="shared" ref="R111:R113" si="80">IF(P$12=0,0,P111/P$12)</f>
        <v>3.3827246105010726E-3</v>
      </c>
      <c r="S111" s="1"/>
      <c r="T111" s="1">
        <f>SUM(OSRRefT22_19x_0)</f>
        <v>7025</v>
      </c>
      <c r="U111" s="1"/>
      <c r="V111" s="5">
        <f t="shared" ref="V111:V113" si="81">IF(T$12=0,0,T111/T$12)</f>
        <v>2.8467238766989676E-3</v>
      </c>
      <c r="W111" s="1"/>
      <c r="X111" s="1">
        <f t="shared" ref="X111:X113" si="82">+P111-T111</f>
        <v>115.96000000000004</v>
      </c>
      <c r="Y111" s="1"/>
      <c r="Z111" s="5">
        <f t="shared" ref="Z111:Z113" si="83">IF(T111=0,0,X111/T111)</f>
        <v>1.6506761565836303E-2</v>
      </c>
    </row>
    <row r="112" spans="1:26" s="24" customFormat="1" hidden="1" outlineLevel="2" x14ac:dyDescent="0.25">
      <c r="A112" s="27"/>
      <c r="B112" s="11" t="str">
        <f>CONCATENATE("          ", "6303", " - ", "DATA PHONE LINES")</f>
        <v xml:space="preserve">          6303 - DATA PHONE LINES</v>
      </c>
      <c r="C112" s="11"/>
      <c r="D112" s="6"/>
      <c r="E112" s="2"/>
      <c r="F112" s="7">
        <f t="shared" si="76"/>
        <v>0</v>
      </c>
      <c r="G112" s="2"/>
      <c r="H112" s="6">
        <v>696</v>
      </c>
      <c r="I112" s="2"/>
      <c r="J112" s="7">
        <f t="shared" si="77"/>
        <v>7.0049014180899565E-4</v>
      </c>
      <c r="K112" s="2"/>
      <c r="L112" s="6">
        <f t="shared" si="78"/>
        <v>-696</v>
      </c>
      <c r="M112" s="2"/>
      <c r="N112" s="7">
        <f t="shared" si="79"/>
        <v>-1</v>
      </c>
      <c r="O112" s="11"/>
      <c r="P112" s="6"/>
      <c r="Q112" s="2"/>
      <c r="R112" s="7">
        <f t="shared" si="80"/>
        <v>0</v>
      </c>
      <c r="S112" s="2"/>
      <c r="T112" s="6">
        <v>1990</v>
      </c>
      <c r="U112" s="2"/>
      <c r="V112" s="7">
        <f t="shared" si="81"/>
        <v>8.0640292023216305E-4</v>
      </c>
      <c r="W112" s="2"/>
      <c r="X112" s="6">
        <f t="shared" si="82"/>
        <v>-1990</v>
      </c>
      <c r="Y112" s="2"/>
      <c r="Z112" s="7">
        <f t="shared" si="83"/>
        <v>-1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2407.0700000000002</v>
      </c>
      <c r="E113" s="2"/>
      <c r="F113" s="7">
        <f t="shared" si="76"/>
        <v>2.7631541050488501E-3</v>
      </c>
      <c r="G113" s="2"/>
      <c r="H113" s="6">
        <v>1465</v>
      </c>
      <c r="I113" s="2"/>
      <c r="J113" s="7">
        <f t="shared" si="77"/>
        <v>1.4744512323996821E-3</v>
      </c>
      <c r="K113" s="2"/>
      <c r="L113" s="6">
        <f t="shared" si="78"/>
        <v>942.07000000000016</v>
      </c>
      <c r="M113" s="2"/>
      <c r="N113" s="7">
        <f t="shared" si="79"/>
        <v>0.6430511945392493</v>
      </c>
      <c r="O113" s="11"/>
      <c r="P113" s="6">
        <v>7140.96</v>
      </c>
      <c r="Q113" s="2"/>
      <c r="R113" s="7">
        <f t="shared" si="80"/>
        <v>3.3827246105010726E-3</v>
      </c>
      <c r="S113" s="2"/>
      <c r="T113" s="6">
        <v>5035</v>
      </c>
      <c r="U113" s="2"/>
      <c r="V113" s="7">
        <f t="shared" si="81"/>
        <v>2.0403209564668042E-3</v>
      </c>
      <c r="W113" s="2"/>
      <c r="X113" s="6">
        <f t="shared" si="82"/>
        <v>2105.96</v>
      </c>
      <c r="Y113" s="2"/>
      <c r="Z113" s="7">
        <f t="shared" si="83"/>
        <v>0.41826415094339625</v>
      </c>
    </row>
    <row r="114" spans="1:26" s="26" customFormat="1" outlineLevel="1" collapsed="1" x14ac:dyDescent="0.25">
      <c r="A114" s="25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SUM(OSRRefD22_20x_0)</f>
        <v>188.95</v>
      </c>
      <c r="E114" s="1"/>
      <c r="F114" s="5">
        <f t="shared" ref="F114:F119" si="84">IF(D$12=0,0,D114/D$12)</f>
        <v>2.1690186332303597E-4</v>
      </c>
      <c r="G114" s="1"/>
      <c r="H114" s="1">
        <f>SUM(OSRRefH22_20x_0)</f>
        <v>0</v>
      </c>
      <c r="I114" s="1"/>
      <c r="J114" s="5">
        <f t="shared" ref="J114:J119" si="85">IF(H$12=0,0,H114/H$12)</f>
        <v>0</v>
      </c>
      <c r="K114" s="1"/>
      <c r="L114" s="1">
        <f t="shared" ref="L114:L119" si="86">+D114-H114</f>
        <v>188.95</v>
      </c>
      <c r="M114" s="1"/>
      <c r="N114" s="5">
        <f t="shared" ref="N114:N119" si="87">IF(H114=0,0,L114/H114)</f>
        <v>0</v>
      </c>
      <c r="O114" s="13"/>
      <c r="P114" s="1">
        <f>SUM(OSRRefP22_20x_0)</f>
        <v>1567.5</v>
      </c>
      <c r="Q114" s="1"/>
      <c r="R114" s="5">
        <f t="shared" ref="R114:R119" si="88">IF(P$12=0,0,P114/P$12)</f>
        <v>7.4253613337148391E-4</v>
      </c>
      <c r="S114" s="1"/>
      <c r="T114" s="1">
        <f>SUM(OSRRefT22_20x_0)</f>
        <v>5080</v>
      </c>
      <c r="U114" s="1"/>
      <c r="V114" s="5">
        <f t="shared" ref="V114:V119" si="89">IF(T$12=0,0,T114/T$12)</f>
        <v>2.058556198381602E-3</v>
      </c>
      <c r="W114" s="1"/>
      <c r="X114" s="1">
        <f t="shared" ref="X114:X119" si="90">+P114-T114</f>
        <v>-3512.5</v>
      </c>
      <c r="Y114" s="1"/>
      <c r="Z114" s="5">
        <f t="shared" ref="Z114:Z119" si="91">IF(T114=0,0,X114/T114)</f>
        <v>-0.69143700787401574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>
        <v>188.95</v>
      </c>
      <c r="E115" s="2"/>
      <c r="F115" s="7">
        <f t="shared" si="84"/>
        <v>2.1690186332303597E-4</v>
      </c>
      <c r="G115" s="2"/>
      <c r="H115" s="6"/>
      <c r="I115" s="2"/>
      <c r="J115" s="7">
        <f t="shared" si="85"/>
        <v>0</v>
      </c>
      <c r="K115" s="2"/>
      <c r="L115" s="6">
        <f t="shared" si="86"/>
        <v>188.95</v>
      </c>
      <c r="M115" s="2"/>
      <c r="N115" s="7">
        <f t="shared" si="87"/>
        <v>0</v>
      </c>
      <c r="O115" s="11"/>
      <c r="P115" s="6">
        <v>1567.5</v>
      </c>
      <c r="Q115" s="2"/>
      <c r="R115" s="7">
        <f t="shared" si="88"/>
        <v>7.4253613337148391E-4</v>
      </c>
      <c r="S115" s="2"/>
      <c r="T115" s="6">
        <v>5080</v>
      </c>
      <c r="U115" s="2"/>
      <c r="V115" s="7">
        <f t="shared" si="89"/>
        <v>2.058556198381602E-3</v>
      </c>
      <c r="W115" s="2"/>
      <c r="X115" s="6">
        <f t="shared" si="90"/>
        <v>-3512.5</v>
      </c>
      <c r="Y115" s="2"/>
      <c r="Z115" s="7">
        <f t="shared" si="91"/>
        <v>-0.69143700787401574</v>
      </c>
    </row>
    <row r="116" spans="1:26" s="26" customFormat="1" outlineLevel="1" collapsed="1" x14ac:dyDescent="0.25">
      <c r="A116" s="25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SUM(OSRRefD22_21x_0)</f>
        <v>0</v>
      </c>
      <c r="E116" s="1"/>
      <c r="F116" s="5">
        <f t="shared" si="84"/>
        <v>0</v>
      </c>
      <c r="G116" s="1"/>
      <c r="H116" s="1">
        <f>SUM(OSRRefH22_21x_0)</f>
        <v>2000</v>
      </c>
      <c r="I116" s="1"/>
      <c r="J116" s="5">
        <f t="shared" si="85"/>
        <v>2.0129027063476887E-3</v>
      </c>
      <c r="K116" s="1"/>
      <c r="L116" s="1">
        <f t="shared" si="86"/>
        <v>-2000</v>
      </c>
      <c r="M116" s="1"/>
      <c r="N116" s="5">
        <f t="shared" si="87"/>
        <v>-1</v>
      </c>
      <c r="O116" s="13"/>
      <c r="P116" s="1">
        <f>SUM(OSRRefP22_21x_0)</f>
        <v>1101.18</v>
      </c>
      <c r="Q116" s="1"/>
      <c r="R116" s="5">
        <f t="shared" si="88"/>
        <v>5.216369629001663E-4</v>
      </c>
      <c r="S116" s="1"/>
      <c r="T116" s="1">
        <f>SUM(OSRRefT22_21x_0)</f>
        <v>7700</v>
      </c>
      <c r="U116" s="1"/>
      <c r="V116" s="5">
        <f t="shared" si="89"/>
        <v>3.1202525054209321E-3</v>
      </c>
      <c r="W116" s="1"/>
      <c r="X116" s="1">
        <f t="shared" si="90"/>
        <v>-6598.82</v>
      </c>
      <c r="Y116" s="1"/>
      <c r="Z116" s="5">
        <f t="shared" si="91"/>
        <v>-0.8569896103896103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6"/>
      <c r="E117" s="2"/>
      <c r="F117" s="7">
        <f t="shared" si="84"/>
        <v>0</v>
      </c>
      <c r="G117" s="2"/>
      <c r="H117" s="6">
        <v>2000</v>
      </c>
      <c r="I117" s="2"/>
      <c r="J117" s="7">
        <f t="shared" si="85"/>
        <v>2.0129027063476887E-3</v>
      </c>
      <c r="K117" s="2"/>
      <c r="L117" s="6">
        <f t="shared" si="86"/>
        <v>-2000</v>
      </c>
      <c r="M117" s="2"/>
      <c r="N117" s="7">
        <f t="shared" si="87"/>
        <v>-1</v>
      </c>
      <c r="O117" s="11"/>
      <c r="P117" s="6">
        <v>545.69000000000005</v>
      </c>
      <c r="Q117" s="2"/>
      <c r="R117" s="7">
        <f t="shared" si="88"/>
        <v>2.5849731586570019E-4</v>
      </c>
      <c r="S117" s="2"/>
      <c r="T117" s="6">
        <v>7700</v>
      </c>
      <c r="U117" s="2"/>
      <c r="V117" s="7">
        <f t="shared" si="89"/>
        <v>3.1202525054209321E-3</v>
      </c>
      <c r="W117" s="2"/>
      <c r="X117" s="6">
        <f t="shared" si="90"/>
        <v>-7154.3099999999995</v>
      </c>
      <c r="Y117" s="2"/>
      <c r="Z117" s="7">
        <f t="shared" si="91"/>
        <v>-0.92913116883116875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84"/>
        <v>0</v>
      </c>
      <c r="G118" s="2"/>
      <c r="H118" s="6"/>
      <c r="I118" s="2"/>
      <c r="J118" s="7">
        <f t="shared" si="85"/>
        <v>0</v>
      </c>
      <c r="K118" s="2"/>
      <c r="L118" s="6">
        <f t="shared" si="86"/>
        <v>0</v>
      </c>
      <c r="M118" s="2"/>
      <c r="N118" s="7">
        <f t="shared" si="87"/>
        <v>0</v>
      </c>
      <c r="O118" s="11"/>
      <c r="P118" s="6">
        <v>45.49</v>
      </c>
      <c r="Q118" s="2"/>
      <c r="R118" s="7">
        <f t="shared" si="88"/>
        <v>2.15489433537919E-5</v>
      </c>
      <c r="S118" s="2"/>
      <c r="T118" s="6"/>
      <c r="U118" s="2"/>
      <c r="V118" s="7">
        <f t="shared" si="89"/>
        <v>0</v>
      </c>
      <c r="W118" s="2"/>
      <c r="X118" s="6">
        <f t="shared" si="90"/>
        <v>45.49</v>
      </c>
      <c r="Y118" s="2"/>
      <c r="Z118" s="7">
        <f t="shared" si="91"/>
        <v>0</v>
      </c>
    </row>
    <row r="119" spans="1:26" s="24" customFormat="1" hidden="1" outlineLevel="2" x14ac:dyDescent="0.25">
      <c r="A119" s="27"/>
      <c r="B119" s="11" t="str">
        <f>CONCATENATE("          ", "6298", " - ", "VEHICLE MILEAGE")</f>
        <v xml:space="preserve">          6298 - VEHICLE MILEAGE</v>
      </c>
      <c r="C119" s="11"/>
      <c r="D119" s="6"/>
      <c r="E119" s="2"/>
      <c r="F119" s="7">
        <f t="shared" si="84"/>
        <v>0</v>
      </c>
      <c r="G119" s="2"/>
      <c r="H119" s="6"/>
      <c r="I119" s="2"/>
      <c r="J119" s="7">
        <f t="shared" si="85"/>
        <v>0</v>
      </c>
      <c r="K119" s="2"/>
      <c r="L119" s="6">
        <f t="shared" si="86"/>
        <v>0</v>
      </c>
      <c r="M119" s="2"/>
      <c r="N119" s="7">
        <f t="shared" si="87"/>
        <v>0</v>
      </c>
      <c r="O119" s="11"/>
      <c r="P119" s="6">
        <v>510</v>
      </c>
      <c r="Q119" s="2"/>
      <c r="R119" s="7">
        <f t="shared" si="88"/>
        <v>2.4159070368067416E-4</v>
      </c>
      <c r="S119" s="2"/>
      <c r="T119" s="6">
        <v>0</v>
      </c>
      <c r="U119" s="2"/>
      <c r="V119" s="7">
        <f t="shared" si="89"/>
        <v>0</v>
      </c>
      <c r="W119" s="2"/>
      <c r="X119" s="6">
        <f t="shared" si="90"/>
        <v>510</v>
      </c>
      <c r="Y119" s="2"/>
      <c r="Z119" s="7">
        <f t="shared" si="91"/>
        <v>0</v>
      </c>
    </row>
    <row r="120" spans="1:26" s="26" customFormat="1" outlineLevel="1" collapsed="1" x14ac:dyDescent="0.25">
      <c r="A120" s="25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SUM(OSRRefD22_22x_0)</f>
        <v>13691</v>
      </c>
      <c r="E120" s="1"/>
      <c r="F120" s="5">
        <f t="shared" ref="F120:F121" si="92">IF(D$12=0,0,D120/D$12)</f>
        <v>1.5716345121755414E-2</v>
      </c>
      <c r="G120" s="1"/>
      <c r="H120" s="1">
        <f>SUM(OSRRefH22_22x_0)</f>
        <v>22450</v>
      </c>
      <c r="I120" s="1"/>
      <c r="J120" s="5">
        <f t="shared" ref="J120:J121" si="93">IF(H$12=0,0,H120/H$12)</f>
        <v>2.2594832878752805E-2</v>
      </c>
      <c r="K120" s="1"/>
      <c r="L120" s="1">
        <f t="shared" ref="L120:L121" si="94">+D120-H120</f>
        <v>-8759</v>
      </c>
      <c r="M120" s="1"/>
      <c r="N120" s="5">
        <f t="shared" ref="N120:N121" si="95">IF(H120=0,0,L120/H120)</f>
        <v>-0.39015590200445432</v>
      </c>
      <c r="O120" s="13"/>
      <c r="P120" s="1">
        <f>SUM(OSRRefP22_22x_0)</f>
        <v>44649</v>
      </c>
      <c r="Q120" s="1"/>
      <c r="R120" s="5">
        <f t="shared" ref="R120:R121" si="96">IF(P$12=0,0,P120/P$12)</f>
        <v>2.1150555546349845E-2</v>
      </c>
      <c r="S120" s="1"/>
      <c r="T120" s="1">
        <f>SUM(OSRRefT22_22x_0)</f>
        <v>79800</v>
      </c>
      <c r="U120" s="1"/>
      <c r="V120" s="5">
        <f t="shared" ref="V120:V121" si="97">IF(T$12=0,0,T120/T$12)</f>
        <v>3.2337162328907841E-2</v>
      </c>
      <c r="W120" s="1"/>
      <c r="X120" s="1">
        <f t="shared" ref="X120:X121" si="98">+P120-T120</f>
        <v>-35151</v>
      </c>
      <c r="Y120" s="1"/>
      <c r="Z120" s="5">
        <f t="shared" ref="Z120:Z121" si="99">IF(T120=0,0,X120/T120)</f>
        <v>-0.44048872180451126</v>
      </c>
    </row>
    <row r="121" spans="1:26" s="24" customFormat="1" hidden="1" outlineLevel="2" x14ac:dyDescent="0.25">
      <c r="A121" s="27"/>
      <c r="B121" s="11" t="str">
        <f>CONCATENATE("          ", "6274", " - ", "UTILITIES")</f>
        <v xml:space="preserve">          6274 - UTILITIES</v>
      </c>
      <c r="C121" s="11"/>
      <c r="D121" s="6">
        <v>13691</v>
      </c>
      <c r="E121" s="2"/>
      <c r="F121" s="7">
        <f t="shared" si="92"/>
        <v>1.5716345121755414E-2</v>
      </c>
      <c r="G121" s="2"/>
      <c r="H121" s="6">
        <v>22450</v>
      </c>
      <c r="I121" s="2"/>
      <c r="J121" s="7">
        <f t="shared" si="93"/>
        <v>2.2594832878752805E-2</v>
      </c>
      <c r="K121" s="2"/>
      <c r="L121" s="6">
        <f t="shared" si="94"/>
        <v>-8759</v>
      </c>
      <c r="M121" s="2"/>
      <c r="N121" s="7">
        <f t="shared" si="95"/>
        <v>-0.39015590200445432</v>
      </c>
      <c r="O121" s="11"/>
      <c r="P121" s="6">
        <v>44649</v>
      </c>
      <c r="Q121" s="2"/>
      <c r="R121" s="7">
        <f t="shared" si="96"/>
        <v>2.1150555546349845E-2</v>
      </c>
      <c r="S121" s="2"/>
      <c r="T121" s="6">
        <v>79800</v>
      </c>
      <c r="U121" s="2"/>
      <c r="V121" s="7">
        <f t="shared" si="97"/>
        <v>3.2337162328907841E-2</v>
      </c>
      <c r="W121" s="2"/>
      <c r="X121" s="6">
        <f t="shared" si="98"/>
        <v>-35151</v>
      </c>
      <c r="Y121" s="2"/>
      <c r="Z121" s="7">
        <f t="shared" si="99"/>
        <v>-0.44048872180451126</v>
      </c>
    </row>
    <row r="122" spans="1:26" s="61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9" t="s">
        <v>0</v>
      </c>
      <c r="C123" s="10"/>
      <c r="D123" s="4">
        <f>SUM(OSRRefD25x_0)</f>
        <v>123863.64</v>
      </c>
      <c r="E123" s="4"/>
      <c r="F123" s="12">
        <f t="shared" ref="F123:F127" si="100">IF(D$12=0,0,D123/D$12)</f>
        <v>0.14218710936212614</v>
      </c>
      <c r="G123" s="4"/>
      <c r="H123" s="4">
        <f>SUM(OSRRefH25x_0)</f>
        <v>58244</v>
      </c>
      <c r="I123" s="4"/>
      <c r="J123" s="12">
        <f t="shared" ref="J123:J127" si="101">IF(H$12=0,0,H123/H$12)</f>
        <v>5.8619752614257392E-2</v>
      </c>
      <c r="K123" s="4"/>
      <c r="L123" s="4">
        <f t="shared" ref="L123:L127" si="102">+D123-H123</f>
        <v>65619.64</v>
      </c>
      <c r="M123" s="4"/>
      <c r="N123" s="12">
        <f t="shared" ref="N123:N127" si="103">IF(H123=0,0,L123/H123)</f>
        <v>1.1266334729757572</v>
      </c>
      <c r="O123" s="10"/>
      <c r="P123" s="4">
        <f>SUM(OSRRefP25x_0)</f>
        <v>426524.63</v>
      </c>
      <c r="Q123" s="4"/>
      <c r="R123" s="12">
        <f t="shared" ref="R123:R127" si="104">IF(P$12=0,0,P123/P$12)</f>
        <v>0.20204781470360625</v>
      </c>
      <c r="S123" s="4"/>
      <c r="T123" s="4">
        <f>SUM(OSRRefT25x_0)</f>
        <v>317736</v>
      </c>
      <c r="U123" s="4"/>
      <c r="V123" s="12">
        <f t="shared" ref="V123:V127" si="105">IF(T$12=0,0,T123/T$12)</f>
        <v>0.12875539611200329</v>
      </c>
      <c r="W123" s="4"/>
      <c r="X123" s="4">
        <f t="shared" ref="X123:X127" si="106">+P123-T123</f>
        <v>108788.63</v>
      </c>
      <c r="Y123" s="4"/>
      <c r="Z123" s="12">
        <f t="shared" ref="Z123:Z127" si="107">IF(T123=0,0,X123/T123)</f>
        <v>0.34238685575446282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--50769.74</f>
        <v>50769.74</v>
      </c>
      <c r="E124" s="2"/>
      <c r="F124" s="19">
        <f t="shared" si="100"/>
        <v>5.8280239250733383E-2</v>
      </c>
      <c r="G124" s="2"/>
      <c r="H124" s="2">
        <v>40325</v>
      </c>
      <c r="I124" s="2"/>
      <c r="J124" s="19">
        <f t="shared" si="101"/>
        <v>4.058515081673527E-2</v>
      </c>
      <c r="K124" s="2"/>
      <c r="L124" s="2">
        <f t="shared" si="102"/>
        <v>10444.739999999998</v>
      </c>
      <c r="M124" s="2"/>
      <c r="N124" s="19">
        <f t="shared" si="103"/>
        <v>0.25901401115933037</v>
      </c>
      <c r="O124" s="11"/>
      <c r="P124" s="2">
        <f>--117296.68</f>
        <v>117296.68</v>
      </c>
      <c r="Q124" s="2"/>
      <c r="R124" s="19">
        <f t="shared" si="104"/>
        <v>5.5564289138444821E-2</v>
      </c>
      <c r="S124" s="2"/>
      <c r="T124" s="2">
        <v>81619</v>
      </c>
      <c r="U124" s="2"/>
      <c r="V124" s="19">
        <f t="shared" si="105"/>
        <v>3.3074271329863777E-2</v>
      </c>
      <c r="W124" s="2"/>
      <c r="X124" s="2">
        <f t="shared" si="106"/>
        <v>35677.679999999993</v>
      </c>
      <c r="Y124" s="2"/>
      <c r="Z124" s="19">
        <f t="shared" si="107"/>
        <v>0.43712468910425262</v>
      </c>
    </row>
    <row r="125" spans="1:26" s="24" customFormat="1" hidden="1" outlineLevel="1" x14ac:dyDescent="0.25">
      <c r="A125" s="44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19">
        <f t="shared" si="100"/>
        <v>0</v>
      </c>
      <c r="G125" s="2"/>
      <c r="H125" s="2">
        <v>17919</v>
      </c>
      <c r="I125" s="2"/>
      <c r="J125" s="19">
        <f t="shared" si="101"/>
        <v>1.8034601797522115E-2</v>
      </c>
      <c r="K125" s="2"/>
      <c r="L125" s="2">
        <f t="shared" si="102"/>
        <v>-17919</v>
      </c>
      <c r="M125" s="2"/>
      <c r="N125" s="19">
        <f t="shared" si="103"/>
        <v>-1</v>
      </c>
      <c r="O125" s="11"/>
      <c r="P125" s="2">
        <f>0</f>
        <v>0</v>
      </c>
      <c r="Q125" s="2"/>
      <c r="R125" s="19">
        <f t="shared" si="104"/>
        <v>0</v>
      </c>
      <c r="S125" s="2"/>
      <c r="T125" s="2">
        <v>236117</v>
      </c>
      <c r="U125" s="2"/>
      <c r="V125" s="19">
        <f t="shared" si="105"/>
        <v>9.5681124782139512E-2</v>
      </c>
      <c r="W125" s="2"/>
      <c r="X125" s="2">
        <f t="shared" si="106"/>
        <v>-236117</v>
      </c>
      <c r="Y125" s="2"/>
      <c r="Z125" s="19">
        <f t="shared" si="107"/>
        <v>-1</v>
      </c>
    </row>
    <row r="126" spans="1:26" s="24" customFormat="1" hidden="1" outlineLevel="1" x14ac:dyDescent="0.25">
      <c r="A126" s="44"/>
      <c r="B126" s="11" t="str">
        <f>CONCATENATE("          ", "9160", " - ", "MISC. INCOME")</f>
        <v xml:space="preserve">          9160 - MISC. INCOME</v>
      </c>
      <c r="C126" s="11"/>
      <c r="D126" s="2">
        <f>--65384.61</f>
        <v>65384.61</v>
      </c>
      <c r="E126" s="2"/>
      <c r="F126" s="19">
        <f t="shared" si="100"/>
        <v>7.5057124856575869E-2</v>
      </c>
      <c r="G126" s="2"/>
      <c r="H126" s="2"/>
      <c r="I126" s="2"/>
      <c r="J126" s="19">
        <f t="shared" si="101"/>
        <v>0</v>
      </c>
      <c r="K126" s="2"/>
      <c r="L126" s="2">
        <f t="shared" si="102"/>
        <v>65384.61</v>
      </c>
      <c r="M126" s="2"/>
      <c r="N126" s="19">
        <f t="shared" si="103"/>
        <v>0</v>
      </c>
      <c r="O126" s="11"/>
      <c r="P126" s="2">
        <f>--96357.88</f>
        <v>96357.88</v>
      </c>
      <c r="Q126" s="2"/>
      <c r="R126" s="19">
        <f t="shared" si="104"/>
        <v>4.5645427518388161E-2</v>
      </c>
      <c r="S126" s="2"/>
      <c r="T126" s="2"/>
      <c r="U126" s="2"/>
      <c r="V126" s="19">
        <f t="shared" si="105"/>
        <v>0</v>
      </c>
      <c r="W126" s="2"/>
      <c r="X126" s="2">
        <f t="shared" si="106"/>
        <v>96357.88</v>
      </c>
      <c r="Y126" s="2"/>
      <c r="Z126" s="19">
        <f t="shared" si="107"/>
        <v>0</v>
      </c>
    </row>
    <row r="127" spans="1:26" s="24" customFormat="1" hidden="1" outlineLevel="1" x14ac:dyDescent="0.25">
      <c r="A127" s="44"/>
      <c r="B127" s="11" t="str">
        <f>CONCATENATE("          ", "9165", " - ", "OTHER INCOME")</f>
        <v xml:space="preserve">          9165 - OTHER INCOME</v>
      </c>
      <c r="C127" s="11"/>
      <c r="D127" s="2">
        <f>--7709.29</f>
        <v>7709.29</v>
      </c>
      <c r="E127" s="2"/>
      <c r="F127" s="19">
        <f t="shared" si="100"/>
        <v>8.8497452548168716E-3</v>
      </c>
      <c r="G127" s="2"/>
      <c r="H127" s="2"/>
      <c r="I127" s="2"/>
      <c r="J127" s="19">
        <f t="shared" si="101"/>
        <v>0</v>
      </c>
      <c r="K127" s="2"/>
      <c r="L127" s="2">
        <f t="shared" si="102"/>
        <v>7709.29</v>
      </c>
      <c r="M127" s="2"/>
      <c r="N127" s="19">
        <f t="shared" si="103"/>
        <v>0</v>
      </c>
      <c r="O127" s="11"/>
      <c r="P127" s="2">
        <f>--212870.07</f>
        <v>212870.07</v>
      </c>
      <c r="Q127" s="2"/>
      <c r="R127" s="19">
        <f t="shared" si="104"/>
        <v>0.10083809804677328</v>
      </c>
      <c r="S127" s="2"/>
      <c r="T127" s="2"/>
      <c r="U127" s="2"/>
      <c r="V127" s="19">
        <f t="shared" si="105"/>
        <v>0</v>
      </c>
      <c r="W127" s="2"/>
      <c r="X127" s="2">
        <f t="shared" si="106"/>
        <v>212870.07</v>
      </c>
      <c r="Y127" s="2"/>
      <c r="Z127" s="19">
        <f t="shared" si="107"/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8" t="s">
        <v>3</v>
      </c>
      <c r="C129" s="28"/>
      <c r="D129" s="22">
        <f>+D30-D32+D123</f>
        <v>147854.25</v>
      </c>
      <c r="E129" s="14"/>
      <c r="F129" s="20">
        <f>IF(D$12=0,0,D129/D$12)</f>
        <v>0.16972671249129395</v>
      </c>
      <c r="G129" s="14"/>
      <c r="H129" s="22">
        <f>+H30-H32+H123</f>
        <v>182252.21362574573</v>
      </c>
      <c r="I129" s="14"/>
      <c r="J129" s="20">
        <f>IF(H$12=0,0,H129/H$12)</f>
        <v>0.18342798702256036</v>
      </c>
      <c r="K129" s="16"/>
      <c r="L129" s="22">
        <f>+D129-H129</f>
        <v>-34397.963625745731</v>
      </c>
      <c r="M129" s="16"/>
      <c r="N129" s="20">
        <f>IF(H129=0,0,L129/H129)</f>
        <v>-0.18873824872372649</v>
      </c>
      <c r="O129" s="29"/>
      <c r="P129" s="22">
        <f>+P30-P32+P123</f>
        <v>-77710.990000000573</v>
      </c>
      <c r="Q129" s="14"/>
      <c r="R129" s="20">
        <f>IF(P$12=0,0,P129/P$12)</f>
        <v>-3.681226030945485E-2</v>
      </c>
      <c r="S129" s="14"/>
      <c r="T129" s="22">
        <f>+T30-T32+T123</f>
        <v>124215.19818016444</v>
      </c>
      <c r="U129" s="14"/>
      <c r="V129" s="20">
        <f>IF(T$12=0,0,T129/T$12)</f>
        <v>5.033542640688516E-2</v>
      </c>
      <c r="W129" s="16"/>
      <c r="X129" s="22">
        <f>+P129-T129</f>
        <v>-201926.18818016502</v>
      </c>
      <c r="Y129" s="16"/>
      <c r="Z129" s="20">
        <f>IF(T129=0,0,X129/T129)</f>
        <v>-1.6256157953174688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79320.259999999995</v>
      </c>
      <c r="E131" s="4"/>
      <c r="F131" s="12">
        <f>IF(D$12=0,0,D131/D$12)</f>
        <v>9.1054311687047779E-2</v>
      </c>
      <c r="G131" s="4"/>
      <c r="H131" s="4">
        <v>110717</v>
      </c>
      <c r="I131" s="4"/>
      <c r="J131" s="12">
        <f>IF(H$12=0,0,H131/H$12)</f>
        <v>0.11143127446934853</v>
      </c>
      <c r="K131" s="4"/>
      <c r="L131" s="4">
        <f>+D131-H131</f>
        <v>-31396.740000000005</v>
      </c>
      <c r="M131" s="4"/>
      <c r="N131" s="12">
        <f>IF(H131=0,0,L131/H131)</f>
        <v>-0.28357650586630784</v>
      </c>
      <c r="O131" s="10"/>
      <c r="P131" s="4">
        <v>212499.49</v>
      </c>
      <c r="Q131" s="4"/>
      <c r="R131" s="12">
        <f>IF(P$12=0,0,P131/P$12)</f>
        <v>0.10066255160957722</v>
      </c>
      <c r="S131" s="4"/>
      <c r="T131" s="4">
        <v>297176</v>
      </c>
      <c r="U131" s="4"/>
      <c r="V131" s="12">
        <f>IF(T$12=0,0,T131/T$12)</f>
        <v>0.12042391669493129</v>
      </c>
      <c r="W131" s="4"/>
      <c r="X131" s="4">
        <f>+P131-T131</f>
        <v>-84676.510000000009</v>
      </c>
      <c r="Y131" s="4"/>
      <c r="Z131" s="12">
        <f>IF(T131=0,0,X131/T131)</f>
        <v>-0.28493724257678954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4</v>
      </c>
      <c r="C133" s="28"/>
      <c r="D133" s="31">
        <f>+D129-D131</f>
        <v>68533.990000000005</v>
      </c>
      <c r="E133" s="14"/>
      <c r="F133" s="33">
        <f>IF(D$12=0,0,D133/D$12)</f>
        <v>7.8672400804246173E-2</v>
      </c>
      <c r="G133" s="14"/>
      <c r="H133" s="31">
        <f>+H129-H131</f>
        <v>71535.213625745731</v>
      </c>
      <c r="I133" s="14"/>
      <c r="J133" s="33">
        <f>IF(H$12=0,0,H133/H$12)</f>
        <v>7.1996712553211814E-2</v>
      </c>
      <c r="K133" s="16"/>
      <c r="L133" s="31">
        <f>D133-H133</f>
        <v>-3001.2236257457262</v>
      </c>
      <c r="M133" s="16"/>
      <c r="N133" s="33">
        <f>IF(H133=0,0,L133/H133)</f>
        <v>-4.1954493089897994E-2</v>
      </c>
      <c r="O133" s="29"/>
      <c r="P133" s="31">
        <f>+P129-P131</f>
        <v>-290210.48000000056</v>
      </c>
      <c r="Q133" s="14"/>
      <c r="R133" s="33">
        <f>IF(P$12=0,0,P133/P$12)</f>
        <v>-0.13747481191903207</v>
      </c>
      <c r="S133" s="14"/>
      <c r="T133" s="31">
        <f>+T129-T131</f>
        <v>-172960.80181983556</v>
      </c>
      <c r="U133" s="14"/>
      <c r="V133" s="33">
        <f>IF(T$12=0,0,T133/T$12)</f>
        <v>-7.0088490288046132E-2</v>
      </c>
      <c r="W133" s="16"/>
      <c r="X133" s="31">
        <f>P133-T133</f>
        <v>-117249.67818016501</v>
      </c>
      <c r="Y133" s="16"/>
      <c r="Z133" s="33">
        <f>IF(T133=0,0,X133/T133)</f>
        <v>0.67789740187662872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5</v>
      </c>
      <c r="C136" s="28"/>
      <c r="D136" s="32">
        <f>SUM(D133:D135)</f>
        <v>68533.990000000005</v>
      </c>
      <c r="E136" s="14"/>
      <c r="F136" s="34">
        <f>IF(D$12=0,0,D136/D$12)</f>
        <v>7.8672400804246173E-2</v>
      </c>
      <c r="G136" s="14"/>
      <c r="H136" s="32">
        <f>SUM(H133:H135)</f>
        <v>71535.213625745731</v>
      </c>
      <c r="I136" s="14"/>
      <c r="J136" s="34">
        <f>IF(H$12=0,0,H136/H$12)</f>
        <v>7.1996712553211814E-2</v>
      </c>
      <c r="K136" s="16"/>
      <c r="L136" s="32">
        <f>+D136-H136</f>
        <v>-3001.2236257457262</v>
      </c>
      <c r="M136" s="16"/>
      <c r="N136" s="34">
        <f>IF(H136=0,0,L136/H136)</f>
        <v>-4.1954493089897994E-2</v>
      </c>
      <c r="O136" s="29"/>
      <c r="P136" s="32">
        <f>SUM(P133:P135)</f>
        <v>-290210.48000000056</v>
      </c>
      <c r="Q136" s="14"/>
      <c r="R136" s="34">
        <f>IF(P$12=0,0,P136/P$12)</f>
        <v>-0.13747481191903207</v>
      </c>
      <c r="S136" s="14"/>
      <c r="T136" s="32">
        <f>SUM(T133:T135)</f>
        <v>-172960.80181983556</v>
      </c>
      <c r="U136" s="14"/>
      <c r="V136" s="34">
        <f>IF(T$12=0,0,T136/T$12)</f>
        <v>-7.0088490288046132E-2</v>
      </c>
      <c r="W136" s="16"/>
      <c r="X136" s="32">
        <f>+P136-T136</f>
        <v>-117249.67818016501</v>
      </c>
      <c r="Y136" s="16"/>
      <c r="Z136" s="34">
        <f>IF(T136=0,0,X136/T136)</f>
        <v>0.67789740187662872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60">
        <v>43791.347824189812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54" t="s">
        <v>314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55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","405", " - ", "Library Starbucks")</f>
        <v>Department 405 - Library Starbucks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154711.46000000002</v>
      </c>
      <c r="E12" s="4"/>
      <c r="F12" s="12"/>
      <c r="G12" s="4"/>
      <c r="H12" s="4">
        <f>SUM(OSRRefH13x_0)</f>
        <v>178500</v>
      </c>
      <c r="I12" s="4"/>
      <c r="J12" s="12"/>
      <c r="K12" s="4"/>
      <c r="L12" s="4">
        <f t="shared" ref="L12:L15" si="0">+D12-H12</f>
        <v>-23788.539999999979</v>
      </c>
      <c r="M12" s="4"/>
      <c r="N12" s="12">
        <f t="shared" ref="N12:N15" si="1">IF(H12=0,0,L12/H12)</f>
        <v>-0.13326913165266094</v>
      </c>
      <c r="O12" s="10"/>
      <c r="P12" s="4">
        <f>SUM(OSRRefP13x_0)</f>
        <v>325833.23</v>
      </c>
      <c r="Q12" s="4"/>
      <c r="R12" s="12"/>
      <c r="S12" s="4"/>
      <c r="T12" s="4">
        <f>SUM(OSRRefT13x_0)</f>
        <v>438300</v>
      </c>
      <c r="U12" s="4"/>
      <c r="V12" s="12"/>
      <c r="W12" s="4"/>
      <c r="X12" s="4">
        <f t="shared" ref="X12:X15" si="2">+P12-T12</f>
        <v>-112466.77000000002</v>
      </c>
      <c r="Y12" s="4"/>
      <c r="Z12" s="12">
        <f t="shared" ref="Z12:Z15" si="3">IF(T12=0,0,X12/T12)</f>
        <v>-0.25659769564225421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178500</v>
      </c>
      <c r="I13" s="2"/>
      <c r="J13" s="19"/>
      <c r="K13" s="2"/>
      <c r="L13" s="2">
        <f t="shared" si="0"/>
        <v>-178500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438300</v>
      </c>
      <c r="U13" s="2"/>
      <c r="V13" s="19"/>
      <c r="W13" s="2"/>
      <c r="X13" s="2">
        <f t="shared" si="2"/>
        <v>-438300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--31084.39</f>
        <v>31084.39</v>
      </c>
      <c r="E14" s="2"/>
      <c r="F14" s="19"/>
      <c r="G14" s="2"/>
      <c r="H14" s="2"/>
      <c r="I14" s="2"/>
      <c r="J14" s="19"/>
      <c r="K14" s="2"/>
      <c r="L14" s="2">
        <f t="shared" si="0"/>
        <v>31084.39</v>
      </c>
      <c r="M14" s="2"/>
      <c r="N14" s="19">
        <f t="shared" si="1"/>
        <v>0</v>
      </c>
      <c r="O14" s="11"/>
      <c r="P14" s="2">
        <f>--74412.79</f>
        <v>74412.789999999994</v>
      </c>
      <c r="Q14" s="2"/>
      <c r="R14" s="19"/>
      <c r="S14" s="2"/>
      <c r="T14" s="2"/>
      <c r="U14" s="2"/>
      <c r="V14" s="19"/>
      <c r="W14" s="2"/>
      <c r="X14" s="2">
        <f t="shared" si="2"/>
        <v>74412.789999999994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--123627.07</f>
        <v>123627.07</v>
      </c>
      <c r="E15" s="2"/>
      <c r="F15" s="19"/>
      <c r="G15" s="2"/>
      <c r="H15" s="2"/>
      <c r="I15" s="2"/>
      <c r="J15" s="19"/>
      <c r="K15" s="2"/>
      <c r="L15" s="2">
        <f t="shared" si="0"/>
        <v>123627.07</v>
      </c>
      <c r="M15" s="2"/>
      <c r="N15" s="19">
        <f t="shared" si="1"/>
        <v>0</v>
      </c>
      <c r="O15" s="11"/>
      <c r="P15" s="2">
        <f>--251420.44</f>
        <v>251420.44</v>
      </c>
      <c r="Q15" s="2"/>
      <c r="R15" s="19"/>
      <c r="S15" s="2"/>
      <c r="T15" s="2"/>
      <c r="U15" s="2"/>
      <c r="V15" s="19"/>
      <c r="W15" s="2"/>
      <c r="X15" s="2">
        <f t="shared" si="2"/>
        <v>251420.44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44043.07</v>
      </c>
      <c r="E17" s="4"/>
      <c r="F17" s="12">
        <f t="shared" ref="F17:F20" si="4">IF(D$12=0,0,D17/D$12)</f>
        <v>0.28467878203721941</v>
      </c>
      <c r="G17" s="4"/>
      <c r="H17" s="4">
        <f>SUM(OSRRefH16x_0)</f>
        <v>57120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-13076.93</v>
      </c>
      <c r="M17" s="4"/>
      <c r="N17" s="12">
        <f t="shared" ref="N17:N20" si="7">IF(H17=0,0,L17/H17)</f>
        <v>-0.22893785014005602</v>
      </c>
      <c r="O17" s="10"/>
      <c r="P17" s="4">
        <f>SUM(OSRRefP16x_0)</f>
        <v>125040.73999999999</v>
      </c>
      <c r="Q17" s="4"/>
      <c r="R17" s="12">
        <f t="shared" ref="R17:R20" si="8">IF(P$12=0,0,P17/P$12)</f>
        <v>0.38375686850601454</v>
      </c>
      <c r="S17" s="4"/>
      <c r="T17" s="4">
        <f>SUM(OSRRefT16x_0)</f>
        <v>140256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-15215.260000000009</v>
      </c>
      <c r="Y17" s="4"/>
      <c r="Z17" s="12">
        <f t="shared" ref="Z17:Z20" si="11">IF(T17=0,0,X17/T17)</f>
        <v>-0.10848206137348855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57120</v>
      </c>
      <c r="I18" s="2"/>
      <c r="J18" s="19">
        <f t="shared" si="5"/>
        <v>0.32</v>
      </c>
      <c r="K18" s="2"/>
      <c r="L18" s="2">
        <f t="shared" si="6"/>
        <v>-57120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140256</v>
      </c>
      <c r="U18" s="2"/>
      <c r="V18" s="19">
        <f t="shared" si="9"/>
        <v>0.32</v>
      </c>
      <c r="W18" s="2"/>
      <c r="X18" s="2">
        <f t="shared" si="10"/>
        <v>-140256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49158.07</v>
      </c>
      <c r="E19" s="2"/>
      <c r="F19" s="19">
        <f t="shared" si="4"/>
        <v>0.31774032770423077</v>
      </c>
      <c r="G19" s="2"/>
      <c r="H19" s="2"/>
      <c r="I19" s="2"/>
      <c r="J19" s="19">
        <f t="shared" si="5"/>
        <v>0</v>
      </c>
      <c r="K19" s="2"/>
      <c r="L19" s="2">
        <f t="shared" si="6"/>
        <v>49158.07</v>
      </c>
      <c r="M19" s="2"/>
      <c r="N19" s="19">
        <f t="shared" si="7"/>
        <v>0</v>
      </c>
      <c r="O19" s="11"/>
      <c r="P19" s="2">
        <v>133839.74</v>
      </c>
      <c r="Q19" s="2"/>
      <c r="R19" s="19">
        <f t="shared" si="8"/>
        <v>0.41076148065069973</v>
      </c>
      <c r="S19" s="2"/>
      <c r="T19" s="2"/>
      <c r="U19" s="2"/>
      <c r="V19" s="19">
        <f t="shared" si="9"/>
        <v>0</v>
      </c>
      <c r="W19" s="2"/>
      <c r="X19" s="2">
        <f t="shared" si="10"/>
        <v>133839.74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-5115</v>
      </c>
      <c r="E20" s="2"/>
      <c r="F20" s="19">
        <f t="shared" si="4"/>
        <v>-3.3061545667011347E-2</v>
      </c>
      <c r="G20" s="2"/>
      <c r="H20" s="2"/>
      <c r="I20" s="2"/>
      <c r="J20" s="19">
        <f t="shared" si="5"/>
        <v>0</v>
      </c>
      <c r="K20" s="2"/>
      <c r="L20" s="2">
        <f t="shared" si="6"/>
        <v>-5115</v>
      </c>
      <c r="M20" s="2"/>
      <c r="N20" s="19">
        <f t="shared" si="7"/>
        <v>0</v>
      </c>
      <c r="O20" s="11"/>
      <c r="P20" s="2">
        <v>-8799</v>
      </c>
      <c r="Q20" s="2"/>
      <c r="R20" s="19">
        <f t="shared" si="8"/>
        <v>-2.7004612144685181E-2</v>
      </c>
      <c r="S20" s="2"/>
      <c r="T20" s="2"/>
      <c r="U20" s="2"/>
      <c r="V20" s="19">
        <f t="shared" si="9"/>
        <v>0</v>
      </c>
      <c r="W20" s="2"/>
      <c r="X20" s="2">
        <f t="shared" si="10"/>
        <v>-8799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110668.39000000001</v>
      </c>
      <c r="E22" s="14"/>
      <c r="F22" s="20">
        <f>IF(D$12=0,0,D22/D$12)</f>
        <v>0.71532121796278048</v>
      </c>
      <c r="G22" s="14"/>
      <c r="H22" s="22">
        <f>H12-H17</f>
        <v>121380</v>
      </c>
      <c r="I22" s="14"/>
      <c r="J22" s="20">
        <f>IF(H$12=0,0,H22/H$12)</f>
        <v>0.68</v>
      </c>
      <c r="K22" s="16"/>
      <c r="L22" s="22">
        <f>+D22-H22</f>
        <v>-10711.609999999986</v>
      </c>
      <c r="M22" s="16"/>
      <c r="N22" s="20">
        <f>IF(H22=0,0,L22/H22)</f>
        <v>-8.8248558246828021E-2</v>
      </c>
      <c r="O22" s="29"/>
      <c r="P22" s="22">
        <f>P12-P17</f>
        <v>200792.49</v>
      </c>
      <c r="Q22" s="14"/>
      <c r="R22" s="20">
        <f>IF(P$12=0,0,P22/P$12)</f>
        <v>0.61624313149398546</v>
      </c>
      <c r="S22" s="14"/>
      <c r="T22" s="22">
        <f>T12-T17</f>
        <v>298044</v>
      </c>
      <c r="U22" s="14"/>
      <c r="V22" s="20">
        <f>IF(T$12=0,0,T22/T$12)</f>
        <v>0.68</v>
      </c>
      <c r="W22" s="16"/>
      <c r="X22" s="22">
        <f>+P22-T22</f>
        <v>-97251.510000000009</v>
      </c>
      <c r="Y22" s="16"/>
      <c r="Z22" s="20">
        <f>IF(T22=0,0,X22/T22)</f>
        <v>-0.3262991705922616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77056.529999999941</v>
      </c>
      <c r="E24" s="21"/>
      <c r="F24" s="35">
        <f t="shared" ref="F24:F34" si="12">IF(D$12=0,0,D24/D$12)</f>
        <v>0.49806607732872493</v>
      </c>
      <c r="G24" s="21"/>
      <c r="H24" s="21">
        <f>SUM(OSRRefH22x_0)</f>
        <v>70747.643836999996</v>
      </c>
      <c r="I24" s="21"/>
      <c r="J24" s="35">
        <f t="shared" ref="J24:J34" si="13">IF(H$12=0,0,H24/H$12)</f>
        <v>0.39634534362464985</v>
      </c>
      <c r="K24" s="4"/>
      <c r="L24" s="21">
        <f t="shared" ref="L24:L34" si="14">+D24-H24</f>
        <v>6308.8861629999446</v>
      </c>
      <c r="M24" s="4"/>
      <c r="N24" s="35">
        <f t="shared" ref="N24:N34" si="15">IF(H24=0,0,L24/H24)</f>
        <v>8.9174505620786312E-2</v>
      </c>
      <c r="O24" s="10"/>
      <c r="P24" s="21">
        <f>SUM(OSRRefP22x_0)</f>
        <v>226244.30999999994</v>
      </c>
      <c r="Q24" s="21"/>
      <c r="R24" s="35">
        <f t="shared" ref="R24:R34" si="16">IF(P$12=0,0,P24/P$12)</f>
        <v>0.69435615882394797</v>
      </c>
      <c r="S24" s="21"/>
      <c r="T24" s="21">
        <f>SUM(OSRRefT22x_0)</f>
        <v>228800.15061320001</v>
      </c>
      <c r="U24" s="21"/>
      <c r="V24" s="35">
        <f t="shared" ref="V24:V34" si="17">IF(T$12=0,0,T24/T$12)</f>
        <v>0.52201722704357745</v>
      </c>
      <c r="W24" s="4"/>
      <c r="X24" s="21">
        <f t="shared" ref="X24:X34" si="18">+P24-T24</f>
        <v>-2555.8406132000673</v>
      </c>
      <c r="Y24" s="4"/>
      <c r="Z24" s="35">
        <f t="shared" ref="Z24:Z34" si="19">IF(T24=0,0,X24/T24)</f>
        <v>-1.1170624697362481E-2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5253.35</v>
      </c>
      <c r="E25" s="1"/>
      <c r="F25" s="5">
        <f t="shared" si="12"/>
        <v>3.3955790993117123E-2</v>
      </c>
      <c r="G25" s="1"/>
      <c r="H25" s="1">
        <f>SUM(OSRRefH22_0x_0)</f>
        <v>6395.7055293076946</v>
      </c>
      <c r="I25" s="1"/>
      <c r="J25" s="5">
        <f t="shared" si="13"/>
        <v>3.583028307735403E-2</v>
      </c>
      <c r="K25" s="1"/>
      <c r="L25" s="1">
        <f t="shared" si="14"/>
        <v>-1142.3555293076943</v>
      </c>
      <c r="M25" s="1"/>
      <c r="N25" s="5">
        <f t="shared" si="15"/>
        <v>-0.17861290268492849</v>
      </c>
      <c r="O25" s="13"/>
      <c r="P25" s="1">
        <f>SUM(OSRRefP22_0x_0)</f>
        <v>20525.8</v>
      </c>
      <c r="Q25" s="1"/>
      <c r="R25" s="5">
        <f t="shared" si="16"/>
        <v>6.2994802586587018E-2</v>
      </c>
      <c r="S25" s="1"/>
      <c r="T25" s="1">
        <f>SUM(OSRRefT22_0x_0)</f>
        <v>30893.972705507702</v>
      </c>
      <c r="U25" s="1"/>
      <c r="V25" s="5">
        <f t="shared" si="17"/>
        <v>7.0485906241176594E-2</v>
      </c>
      <c r="W25" s="1"/>
      <c r="X25" s="1">
        <f t="shared" si="18"/>
        <v>-10368.172705507703</v>
      </c>
      <c r="Y25" s="1"/>
      <c r="Z25" s="5">
        <f t="shared" si="19"/>
        <v>-0.335605032228804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1774.44</v>
      </c>
      <c r="E26" s="2"/>
      <c r="F26" s="7">
        <f t="shared" si="12"/>
        <v>1.14693507513923E-2</v>
      </c>
      <c r="G26" s="2"/>
      <c r="H26" s="6">
        <v>905.65425392307702</v>
      </c>
      <c r="I26" s="2"/>
      <c r="J26" s="7">
        <f t="shared" si="13"/>
        <v>5.0736932992889467E-3</v>
      </c>
      <c r="K26" s="2"/>
      <c r="L26" s="6">
        <f t="shared" si="14"/>
        <v>868.78574607692303</v>
      </c>
      <c r="M26" s="2"/>
      <c r="N26" s="7">
        <f t="shared" si="15"/>
        <v>0.95929074733934228</v>
      </c>
      <c r="O26" s="11"/>
      <c r="P26" s="6">
        <v>4912.9399999999996</v>
      </c>
      <c r="Q26" s="2"/>
      <c r="R26" s="7">
        <f t="shared" si="16"/>
        <v>1.507808150813838E-2</v>
      </c>
      <c r="S26" s="2"/>
      <c r="T26" s="6">
        <v>4699.119314123076</v>
      </c>
      <c r="U26" s="2"/>
      <c r="V26" s="7">
        <f t="shared" si="17"/>
        <v>1.072123959416627E-2</v>
      </c>
      <c r="W26" s="2"/>
      <c r="X26" s="6">
        <f t="shared" si="18"/>
        <v>213.82068587692356</v>
      </c>
      <c r="Y26" s="2"/>
      <c r="Z26" s="7">
        <f t="shared" si="19"/>
        <v>4.5502289170290117E-2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35.4</v>
      </c>
      <c r="E27" s="2"/>
      <c r="F27" s="7">
        <f t="shared" si="12"/>
        <v>2.2881304332594363E-4</v>
      </c>
      <c r="G27" s="2"/>
      <c r="H27" s="6">
        <v>1516.8463046153799</v>
      </c>
      <c r="I27" s="2"/>
      <c r="J27" s="7">
        <f t="shared" si="13"/>
        <v>8.4977384012066108E-3</v>
      </c>
      <c r="K27" s="2"/>
      <c r="L27" s="6">
        <f t="shared" si="14"/>
        <v>-1481.4463046153799</v>
      </c>
      <c r="M27" s="2"/>
      <c r="N27" s="7">
        <f t="shared" si="15"/>
        <v>-0.97666210486040228</v>
      </c>
      <c r="O27" s="11"/>
      <c r="P27" s="6">
        <v>2381.19</v>
      </c>
      <c r="Q27" s="2"/>
      <c r="R27" s="7">
        <f t="shared" si="16"/>
        <v>7.3080023176273342E-3</v>
      </c>
      <c r="S27" s="2"/>
      <c r="T27" s="6">
        <v>4319.6162966153843</v>
      </c>
      <c r="U27" s="2"/>
      <c r="V27" s="7">
        <f t="shared" si="17"/>
        <v>9.8553873981642344E-3</v>
      </c>
      <c r="W27" s="2"/>
      <c r="X27" s="6">
        <f t="shared" si="18"/>
        <v>-1938.4262966153842</v>
      </c>
      <c r="Y27" s="2"/>
      <c r="Z27" s="7">
        <f t="shared" si="19"/>
        <v>-0.44874964892928787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1376.23</v>
      </c>
      <c r="E28" s="2"/>
      <c r="F28" s="7">
        <f t="shared" si="12"/>
        <v>8.8954625597871019E-3</v>
      </c>
      <c r="G28" s="2"/>
      <c r="H28" s="6">
        <v>1326</v>
      </c>
      <c r="I28" s="2"/>
      <c r="J28" s="7">
        <f t="shared" si="13"/>
        <v>7.4285714285714285E-3</v>
      </c>
      <c r="K28" s="2"/>
      <c r="L28" s="6">
        <f t="shared" si="14"/>
        <v>50.230000000000018</v>
      </c>
      <c r="M28" s="2"/>
      <c r="N28" s="7">
        <f t="shared" si="15"/>
        <v>3.788084464555054E-2</v>
      </c>
      <c r="O28" s="11"/>
      <c r="P28" s="6">
        <v>5504.92</v>
      </c>
      <c r="Q28" s="2"/>
      <c r="R28" s="7">
        <f t="shared" si="16"/>
        <v>1.6894900498638524E-2</v>
      </c>
      <c r="S28" s="2"/>
      <c r="T28" s="6">
        <v>5304</v>
      </c>
      <c r="U28" s="2"/>
      <c r="V28" s="7">
        <f t="shared" si="17"/>
        <v>1.2101300479123887E-2</v>
      </c>
      <c r="W28" s="2"/>
      <c r="X28" s="6">
        <f t="shared" si="18"/>
        <v>200.92000000000007</v>
      </c>
      <c r="Y28" s="2"/>
      <c r="Z28" s="7">
        <f t="shared" si="19"/>
        <v>3.788084464555054E-2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104.55</v>
      </c>
      <c r="E29" s="2"/>
      <c r="F29" s="7">
        <f t="shared" si="12"/>
        <v>6.7577411524653689E-4</v>
      </c>
      <c r="G29" s="2"/>
      <c r="H29" s="6">
        <v>101.64434</v>
      </c>
      <c r="I29" s="2"/>
      <c r="J29" s="7">
        <f t="shared" si="13"/>
        <v>5.694360784313725E-4</v>
      </c>
      <c r="K29" s="2"/>
      <c r="L29" s="6">
        <f t="shared" si="14"/>
        <v>2.9056599999999975</v>
      </c>
      <c r="M29" s="2"/>
      <c r="N29" s="7">
        <f t="shared" si="15"/>
        <v>2.8586540086737711E-2</v>
      </c>
      <c r="O29" s="11"/>
      <c r="P29" s="6">
        <v>263.68</v>
      </c>
      <c r="Q29" s="2"/>
      <c r="R29" s="7">
        <f t="shared" si="16"/>
        <v>8.092483384828491E-4</v>
      </c>
      <c r="S29" s="2"/>
      <c r="T29" s="6">
        <v>289.45882399999999</v>
      </c>
      <c r="U29" s="2"/>
      <c r="V29" s="7">
        <f t="shared" si="17"/>
        <v>6.6041255760894359E-4</v>
      </c>
      <c r="W29" s="2"/>
      <c r="X29" s="6">
        <f t="shared" si="18"/>
        <v>-25.778823999999986</v>
      </c>
      <c r="Y29" s="2"/>
      <c r="Z29" s="7">
        <f t="shared" si="19"/>
        <v>-8.9058691124924858E-2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696.67</v>
      </c>
      <c r="E30" s="2"/>
      <c r="F30" s="7">
        <f t="shared" si="12"/>
        <v>4.5030277653639872E-3</v>
      </c>
      <c r="G30" s="2"/>
      <c r="H30" s="6">
        <v>1017.72201538462</v>
      </c>
      <c r="I30" s="2"/>
      <c r="J30" s="7">
        <f t="shared" si="13"/>
        <v>5.7015238957121572E-3</v>
      </c>
      <c r="K30" s="2"/>
      <c r="L30" s="6">
        <f t="shared" si="14"/>
        <v>-321.05201538462006</v>
      </c>
      <c r="M30" s="2"/>
      <c r="N30" s="7">
        <f t="shared" si="15"/>
        <v>-0.31546140353786811</v>
      </c>
      <c r="O30" s="11"/>
      <c r="P30" s="6">
        <v>2786.68</v>
      </c>
      <c r="Q30" s="2"/>
      <c r="R30" s="7">
        <f t="shared" si="16"/>
        <v>8.5524733005286173E-3</v>
      </c>
      <c r="S30" s="2"/>
      <c r="T30" s="6">
        <v>3663.7992553846238</v>
      </c>
      <c r="U30" s="2"/>
      <c r="V30" s="7">
        <f t="shared" si="17"/>
        <v>8.359113062707332E-3</v>
      </c>
      <c r="W30" s="2"/>
      <c r="X30" s="6">
        <f t="shared" si="18"/>
        <v>-877.11925538462401</v>
      </c>
      <c r="Y30" s="2"/>
      <c r="Z30" s="7">
        <f t="shared" si="19"/>
        <v>-0.23940155948651845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8000</v>
      </c>
      <c r="U31" s="2"/>
      <c r="V31" s="7">
        <f t="shared" si="17"/>
        <v>1.8252338580880677E-2</v>
      </c>
      <c r="W31" s="2"/>
      <c r="X31" s="6">
        <f t="shared" si="18"/>
        <v>-8000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576</v>
      </c>
      <c r="E32" s="2"/>
      <c r="F32" s="7">
        <f t="shared" si="12"/>
        <v>3.7230596880153538E-3</v>
      </c>
      <c r="G32" s="2"/>
      <c r="H32" s="6">
        <v>355.01930769230802</v>
      </c>
      <c r="I32" s="2"/>
      <c r="J32" s="7">
        <f t="shared" si="13"/>
        <v>1.9889036845507453E-3</v>
      </c>
      <c r="K32" s="2"/>
      <c r="L32" s="6">
        <f t="shared" si="14"/>
        <v>220.98069230769198</v>
      </c>
      <c r="M32" s="2"/>
      <c r="N32" s="7">
        <f t="shared" si="15"/>
        <v>0.62244696983977532</v>
      </c>
      <c r="O32" s="11"/>
      <c r="P32" s="6">
        <v>1728</v>
      </c>
      <c r="Q32" s="2"/>
      <c r="R32" s="7">
        <f t="shared" si="16"/>
        <v>5.3033264900575064E-3</v>
      </c>
      <c r="S32" s="2"/>
      <c r="T32" s="6">
        <v>1278.069507692308</v>
      </c>
      <c r="U32" s="2"/>
      <c r="V32" s="7">
        <f t="shared" si="17"/>
        <v>2.9159696730374357E-3</v>
      </c>
      <c r="W32" s="2"/>
      <c r="X32" s="6">
        <f t="shared" si="18"/>
        <v>449.93049230769202</v>
      </c>
      <c r="Y32" s="2"/>
      <c r="Z32" s="7">
        <f t="shared" si="19"/>
        <v>0.35203914153314708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690.06</v>
      </c>
      <c r="E33" s="2"/>
      <c r="F33" s="7">
        <f t="shared" si="12"/>
        <v>4.4603030699858943E-3</v>
      </c>
      <c r="G33" s="2"/>
      <c r="H33" s="6">
        <v>1172.8193076923101</v>
      </c>
      <c r="I33" s="2"/>
      <c r="J33" s="7">
        <f t="shared" si="13"/>
        <v>6.5704162895927733E-3</v>
      </c>
      <c r="K33" s="2"/>
      <c r="L33" s="6">
        <f t="shared" si="14"/>
        <v>-482.75930769231013</v>
      </c>
      <c r="M33" s="2"/>
      <c r="N33" s="7">
        <f t="shared" si="15"/>
        <v>-0.41162291968249415</v>
      </c>
      <c r="O33" s="11"/>
      <c r="P33" s="6">
        <v>2070.1799999999998</v>
      </c>
      <c r="Q33" s="2"/>
      <c r="R33" s="7">
        <f t="shared" si="16"/>
        <v>6.3534956210574344E-3</v>
      </c>
      <c r="S33" s="2"/>
      <c r="T33" s="6">
        <v>3339.9095076923099</v>
      </c>
      <c r="U33" s="2"/>
      <c r="V33" s="7">
        <f t="shared" si="17"/>
        <v>7.6201448954878164E-3</v>
      </c>
      <c r="W33" s="2"/>
      <c r="X33" s="6">
        <f t="shared" si="18"/>
        <v>-1269.7295076923101</v>
      </c>
      <c r="Y33" s="2"/>
      <c r="Z33" s="7">
        <f t="shared" si="19"/>
        <v>-0.38016883534357249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2"/>
        <v>0</v>
      </c>
      <c r="G34" s="2"/>
      <c r="H34" s="6"/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>
        <v>878.21</v>
      </c>
      <c r="Q34" s="2"/>
      <c r="R34" s="7">
        <f t="shared" si="16"/>
        <v>2.6952745120563675E-3</v>
      </c>
      <c r="S34" s="2"/>
      <c r="T34" s="6"/>
      <c r="U34" s="2"/>
      <c r="V34" s="7">
        <f t="shared" si="17"/>
        <v>0</v>
      </c>
      <c r="W34" s="2"/>
      <c r="X34" s="6">
        <f t="shared" si="18"/>
        <v>878.21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40324.04</v>
      </c>
      <c r="E35" s="1"/>
      <c r="F35" s="5">
        <f t="shared" ref="F35:F45" si="20">IF(D$12=0,0,D35/D$12)</f>
        <v>0.26064029128805322</v>
      </c>
      <c r="G35" s="1"/>
      <c r="H35" s="1">
        <f>SUM(OSRRefH22_1x_0)</f>
        <v>38383.938307692297</v>
      </c>
      <c r="I35" s="1"/>
      <c r="J35" s="5">
        <f t="shared" ref="J35:J45" si="21">IF(H$12=0,0,H35/H$12)</f>
        <v>0.21503606895065713</v>
      </c>
      <c r="K35" s="1"/>
      <c r="L35" s="1">
        <f t="shared" ref="L35:L45" si="22">+D35-H35</f>
        <v>1940.1016923077041</v>
      </c>
      <c r="M35" s="1"/>
      <c r="N35" s="5">
        <f t="shared" ref="N35:N45" si="23">IF(H35=0,0,L35/H35)</f>
        <v>5.054462303361143E-2</v>
      </c>
      <c r="O35" s="13"/>
      <c r="P35" s="1">
        <f>SUM(OSRRefP22_1x_0)</f>
        <v>107058.69</v>
      </c>
      <c r="Q35" s="1"/>
      <c r="R35" s="5">
        <f t="shared" ref="R35:R45" si="24">IF(P$12=0,0,P35/P$12)</f>
        <v>0.3285689737661196</v>
      </c>
      <c r="S35" s="1"/>
      <c r="T35" s="1">
        <f>SUM(OSRRefT22_1x_0)</f>
        <v>108774.1779076923</v>
      </c>
      <c r="U35" s="1"/>
      <c r="V35" s="5">
        <f t="shared" ref="V35:V45" si="25">IF(T$12=0,0,T35/T$12)</f>
        <v>0.24817289050351882</v>
      </c>
      <c r="W35" s="1"/>
      <c r="X35" s="1">
        <f t="shared" ref="X35:X45" si="26">+P35-T35</f>
        <v>-1715.4879076922953</v>
      </c>
      <c r="Y35" s="1"/>
      <c r="Z35" s="5">
        <f t="shared" ref="Z35:Z45" si="27">IF(T35=0,0,X35/T35)</f>
        <v>-1.5771095132045849E-2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12176.57</v>
      </c>
      <c r="E37" s="2"/>
      <c r="F37" s="7">
        <f t="shared" si="20"/>
        <v>7.8705029349474168E-2</v>
      </c>
      <c r="G37" s="2"/>
      <c r="H37" s="6">
        <v>11123.9383076923</v>
      </c>
      <c r="I37" s="2"/>
      <c r="J37" s="7">
        <f t="shared" si="21"/>
        <v>6.2318982115923252E-2</v>
      </c>
      <c r="K37" s="2"/>
      <c r="L37" s="6">
        <f t="shared" si="22"/>
        <v>1052.6316923076993</v>
      </c>
      <c r="M37" s="2"/>
      <c r="N37" s="7">
        <f t="shared" si="23"/>
        <v>9.4627609682066946E-2</v>
      </c>
      <c r="O37" s="11"/>
      <c r="P37" s="6">
        <v>44176.09</v>
      </c>
      <c r="Q37" s="2"/>
      <c r="R37" s="7">
        <f t="shared" si="24"/>
        <v>0.13557883583574334</v>
      </c>
      <c r="S37" s="2"/>
      <c r="T37" s="6">
        <v>40046.177907692298</v>
      </c>
      <c r="U37" s="2"/>
      <c r="V37" s="7">
        <f t="shared" si="25"/>
        <v>9.136704975517293E-2</v>
      </c>
      <c r="W37" s="2"/>
      <c r="X37" s="6">
        <f t="shared" si="26"/>
        <v>4129.9120923076989</v>
      </c>
      <c r="Y37" s="2"/>
      <c r="Z37" s="7">
        <f t="shared" si="27"/>
        <v>0.10312874556536397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1.3964198801945401E-4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26557.47</v>
      </c>
      <c r="E42" s="2"/>
      <c r="F42" s="7">
        <f t="shared" si="20"/>
        <v>0.17165806592478669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26557.47</v>
      </c>
      <c r="M42" s="2"/>
      <c r="N42" s="7">
        <f t="shared" si="23"/>
        <v>0</v>
      </c>
      <c r="O42" s="11"/>
      <c r="P42" s="6">
        <v>61121.100000000006</v>
      </c>
      <c r="Q42" s="2"/>
      <c r="R42" s="7">
        <f t="shared" si="24"/>
        <v>0.18758399810848025</v>
      </c>
      <c r="S42" s="2"/>
      <c r="T42" s="6">
        <v>18800</v>
      </c>
      <c r="U42" s="2"/>
      <c r="V42" s="7">
        <f t="shared" si="25"/>
        <v>4.2892995665069586E-2</v>
      </c>
      <c r="W42" s="2"/>
      <c r="X42" s="6">
        <f t="shared" si="26"/>
        <v>42321.100000000006</v>
      </c>
      <c r="Y42" s="2"/>
      <c r="Z42" s="7">
        <f t="shared" si="27"/>
        <v>2.2511223404255323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1590</v>
      </c>
      <c r="E43" s="2"/>
      <c r="F43" s="7">
        <f t="shared" si="20"/>
        <v>1.0277196013792383E-2</v>
      </c>
      <c r="G43" s="2"/>
      <c r="H43" s="6">
        <v>27260</v>
      </c>
      <c r="I43" s="2"/>
      <c r="J43" s="7">
        <f t="shared" si="21"/>
        <v>0.1527170868347339</v>
      </c>
      <c r="K43" s="2"/>
      <c r="L43" s="6">
        <f t="shared" si="22"/>
        <v>-25670</v>
      </c>
      <c r="M43" s="2"/>
      <c r="N43" s="7">
        <f t="shared" si="23"/>
        <v>-0.94167278063096116</v>
      </c>
      <c r="O43" s="11"/>
      <c r="P43" s="6">
        <v>1716</v>
      </c>
      <c r="Q43" s="2"/>
      <c r="R43" s="7">
        <f t="shared" si="24"/>
        <v>5.2664978338765513E-3</v>
      </c>
      <c r="S43" s="2"/>
      <c r="T43" s="6">
        <v>49928</v>
      </c>
      <c r="U43" s="2"/>
      <c r="V43" s="7">
        <f t="shared" si="25"/>
        <v>0.1139128450832763</v>
      </c>
      <c r="W43" s="2"/>
      <c r="X43" s="6">
        <f t="shared" si="26"/>
        <v>-48212</v>
      </c>
      <c r="Y43" s="2"/>
      <c r="Z43" s="7">
        <f t="shared" si="27"/>
        <v>-0.96563050793142124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36.68</v>
      </c>
      <c r="E46" s="1"/>
      <c r="F46" s="5">
        <f t="shared" ref="F46:F55" si="28">IF(D$12=0,0,D46/D$12)</f>
        <v>2.3708650929931107E-4</v>
      </c>
      <c r="G46" s="1"/>
      <c r="H46" s="1">
        <f>SUM(OSRRefH22_2x_0)</f>
        <v>150</v>
      </c>
      <c r="I46" s="1"/>
      <c r="J46" s="5">
        <f t="shared" ref="J46:J55" si="29">IF(H$12=0,0,H46/H$12)</f>
        <v>8.4033613445378156E-4</v>
      </c>
      <c r="K46" s="1"/>
      <c r="L46" s="1">
        <f t="shared" ref="L46:L55" si="30">+D46-H46</f>
        <v>-113.32</v>
      </c>
      <c r="M46" s="1"/>
      <c r="N46" s="5">
        <f t="shared" ref="N46:N55" si="31">IF(H46=0,0,L46/H46)</f>
        <v>-0.75546666666666662</v>
      </c>
      <c r="O46" s="13"/>
      <c r="P46" s="1">
        <f>SUM(OSRRefP22_2x_0)</f>
        <v>464.94</v>
      </c>
      <c r="Q46" s="1"/>
      <c r="R46" s="5">
        <f t="shared" ref="R46:R55" si="32">IF(P$12=0,0,P46/P$12)</f>
        <v>1.4269262837310977E-3</v>
      </c>
      <c r="S46" s="1"/>
      <c r="T46" s="1">
        <f>SUM(OSRRefT22_2x_0)</f>
        <v>600</v>
      </c>
      <c r="U46" s="1"/>
      <c r="V46" s="5">
        <f t="shared" ref="V46:V55" si="33">IF(T$12=0,0,T46/T$12)</f>
        <v>1.3689253935660506E-3</v>
      </c>
      <c r="W46" s="1"/>
      <c r="X46" s="1">
        <f t="shared" ref="X46:X55" si="34">+P46-T46</f>
        <v>-135.06</v>
      </c>
      <c r="Y46" s="1"/>
      <c r="Z46" s="5">
        <f t="shared" ref="Z46:Z55" si="35">IF(T46=0,0,X46/T46)</f>
        <v>-0.22509999999999999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36.68</v>
      </c>
      <c r="E47" s="2"/>
      <c r="F47" s="7">
        <f t="shared" si="28"/>
        <v>2.3708650929931107E-4</v>
      </c>
      <c r="G47" s="2"/>
      <c r="H47" s="6">
        <v>150</v>
      </c>
      <c r="I47" s="2"/>
      <c r="J47" s="7">
        <f t="shared" si="29"/>
        <v>8.4033613445378156E-4</v>
      </c>
      <c r="K47" s="2"/>
      <c r="L47" s="6">
        <f t="shared" si="30"/>
        <v>-113.32</v>
      </c>
      <c r="M47" s="2"/>
      <c r="N47" s="7">
        <f t="shared" si="31"/>
        <v>-0.75546666666666662</v>
      </c>
      <c r="O47" s="11"/>
      <c r="P47" s="6">
        <v>464.94</v>
      </c>
      <c r="Q47" s="2"/>
      <c r="R47" s="7">
        <f t="shared" si="32"/>
        <v>1.4269262837310977E-3</v>
      </c>
      <c r="S47" s="2"/>
      <c r="T47" s="6">
        <v>600</v>
      </c>
      <c r="U47" s="2"/>
      <c r="V47" s="7">
        <f t="shared" si="33"/>
        <v>1.3689253935660506E-3</v>
      </c>
      <c r="W47" s="2"/>
      <c r="X47" s="6">
        <f t="shared" si="34"/>
        <v>-135.06</v>
      </c>
      <c r="Y47" s="2"/>
      <c r="Z47" s="7">
        <f t="shared" si="35"/>
        <v>-0.22509999999999999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1.7</v>
      </c>
      <c r="E48" s="1"/>
      <c r="F48" s="5">
        <f t="shared" si="28"/>
        <v>1.0988196995878649E-5</v>
      </c>
      <c r="G48" s="1"/>
      <c r="H48" s="1">
        <f>SUM(OSRRefH22_3x_0)</f>
        <v>20</v>
      </c>
      <c r="I48" s="1"/>
      <c r="J48" s="5">
        <f t="shared" si="29"/>
        <v>1.1204481792717087E-4</v>
      </c>
      <c r="K48" s="1"/>
      <c r="L48" s="1">
        <f t="shared" si="30"/>
        <v>-18.3</v>
      </c>
      <c r="M48" s="1"/>
      <c r="N48" s="5">
        <f t="shared" si="31"/>
        <v>-0.91500000000000004</v>
      </c>
      <c r="O48" s="13"/>
      <c r="P48" s="1">
        <f>SUM(OSRRefP22_3x_0)</f>
        <v>-5.94</v>
      </c>
      <c r="Q48" s="1"/>
      <c r="R48" s="5">
        <f t="shared" si="32"/>
        <v>-1.8230184809572678E-5</v>
      </c>
      <c r="S48" s="1"/>
      <c r="T48" s="1">
        <f>SUM(OSRRefT22_3x_0)</f>
        <v>80</v>
      </c>
      <c r="U48" s="1"/>
      <c r="V48" s="5">
        <f t="shared" si="33"/>
        <v>1.8252338580880675E-4</v>
      </c>
      <c r="W48" s="1"/>
      <c r="X48" s="1">
        <f t="shared" si="34"/>
        <v>-85.94</v>
      </c>
      <c r="Y48" s="1"/>
      <c r="Z48" s="5">
        <f t="shared" si="35"/>
        <v>-1.0742499999999999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1.7</v>
      </c>
      <c r="E49" s="2"/>
      <c r="F49" s="7">
        <f t="shared" si="28"/>
        <v>1.0988196995878649E-5</v>
      </c>
      <c r="G49" s="2"/>
      <c r="H49" s="6">
        <v>20</v>
      </c>
      <c r="I49" s="2"/>
      <c r="J49" s="7">
        <f t="shared" si="29"/>
        <v>1.1204481792717087E-4</v>
      </c>
      <c r="K49" s="2"/>
      <c r="L49" s="6">
        <f t="shared" si="30"/>
        <v>-18.3</v>
      </c>
      <c r="M49" s="2"/>
      <c r="N49" s="7">
        <f t="shared" si="31"/>
        <v>-0.91500000000000004</v>
      </c>
      <c r="O49" s="11"/>
      <c r="P49" s="6">
        <v>-5.94</v>
      </c>
      <c r="Q49" s="2"/>
      <c r="R49" s="7">
        <f t="shared" si="32"/>
        <v>-1.8230184809572678E-5</v>
      </c>
      <c r="S49" s="2"/>
      <c r="T49" s="6">
        <v>80</v>
      </c>
      <c r="U49" s="2"/>
      <c r="V49" s="7">
        <f t="shared" si="33"/>
        <v>1.8252338580880675E-4</v>
      </c>
      <c r="W49" s="2"/>
      <c r="X49" s="6">
        <f t="shared" si="34"/>
        <v>-85.94</v>
      </c>
      <c r="Y49" s="2"/>
      <c r="Z49" s="7">
        <f t="shared" si="35"/>
        <v>-1.0742499999999999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5237.16</v>
      </c>
      <c r="E50" s="1"/>
      <c r="F50" s="5">
        <f t="shared" si="28"/>
        <v>3.3851144575844601E-2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5237.16</v>
      </c>
      <c r="M50" s="1"/>
      <c r="N50" s="5">
        <f t="shared" si="31"/>
        <v>0</v>
      </c>
      <c r="O50" s="13"/>
      <c r="P50" s="1">
        <f>SUM(OSRRefP22_4x_0)</f>
        <v>9641.02</v>
      </c>
      <c r="Q50" s="1"/>
      <c r="R50" s="5">
        <f t="shared" si="32"/>
        <v>2.9588817567809154E-2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9641.02</v>
      </c>
      <c r="Y50" s="1"/>
      <c r="Z50" s="5">
        <f t="shared" si="35"/>
        <v>0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5237.16</v>
      </c>
      <c r="E51" s="2"/>
      <c r="F51" s="7">
        <f t="shared" si="28"/>
        <v>3.3851144575844601E-2</v>
      </c>
      <c r="G51" s="2"/>
      <c r="H51" s="6"/>
      <c r="I51" s="2"/>
      <c r="J51" s="7">
        <f t="shared" si="29"/>
        <v>0</v>
      </c>
      <c r="K51" s="2"/>
      <c r="L51" s="6">
        <f t="shared" si="30"/>
        <v>5237.16</v>
      </c>
      <c r="M51" s="2"/>
      <c r="N51" s="7">
        <f t="shared" si="31"/>
        <v>0</v>
      </c>
      <c r="O51" s="11"/>
      <c r="P51" s="6">
        <v>9641.02</v>
      </c>
      <c r="Q51" s="2"/>
      <c r="R51" s="7">
        <f t="shared" si="32"/>
        <v>2.9588817567809154E-2</v>
      </c>
      <c r="S51" s="2"/>
      <c r="T51" s="6"/>
      <c r="U51" s="2"/>
      <c r="V51" s="7">
        <f t="shared" si="33"/>
        <v>0</v>
      </c>
      <c r="W51" s="2"/>
      <c r="X51" s="6">
        <f t="shared" si="34"/>
        <v>9641.02</v>
      </c>
      <c r="Y51" s="2"/>
      <c r="Z51" s="7">
        <f t="shared" si="35"/>
        <v>0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3.627766165479919E-2</v>
      </c>
      <c r="G52" s="1"/>
      <c r="H52" s="1">
        <f>SUM(OSRRefH22_5x_0)</f>
        <v>6318</v>
      </c>
      <c r="I52" s="1"/>
      <c r="J52" s="5">
        <f t="shared" si="29"/>
        <v>3.5394957983193275E-2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22450.28</v>
      </c>
      <c r="Q52" s="1"/>
      <c r="R52" s="5">
        <f t="shared" si="32"/>
        <v>6.8901136940514016E-2</v>
      </c>
      <c r="S52" s="1"/>
      <c r="T52" s="1">
        <f>SUM(OSRRefT22_5x_0)</f>
        <v>23938</v>
      </c>
      <c r="U52" s="1"/>
      <c r="V52" s="5">
        <f t="shared" si="33"/>
        <v>5.4615560118640202E-2</v>
      </c>
      <c r="W52" s="1"/>
      <c r="X52" s="1">
        <f t="shared" si="34"/>
        <v>-1487.7200000000012</v>
      </c>
      <c r="Y52" s="1"/>
      <c r="Z52" s="5">
        <f t="shared" si="35"/>
        <v>-6.2148884618598091E-2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2.990405494201916E-2</v>
      </c>
      <c r="G53" s="2"/>
      <c r="H53" s="6">
        <v>5165</v>
      </c>
      <c r="I53" s="2"/>
      <c r="J53" s="7">
        <f t="shared" si="29"/>
        <v>2.8935574229691875E-2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18506</v>
      </c>
      <c r="Q53" s="2"/>
      <c r="R53" s="7">
        <f t="shared" si="32"/>
        <v>5.6795925940395953E-2</v>
      </c>
      <c r="S53" s="2"/>
      <c r="T53" s="6">
        <v>20660</v>
      </c>
      <c r="U53" s="2"/>
      <c r="V53" s="7">
        <f t="shared" si="33"/>
        <v>4.7136664385124344E-2</v>
      </c>
      <c r="W53" s="2"/>
      <c r="X53" s="6">
        <f t="shared" si="34"/>
        <v>-2154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986.07</v>
      </c>
      <c r="E54" s="2"/>
      <c r="F54" s="7">
        <f t="shared" si="28"/>
        <v>6.3736067127800351E-3</v>
      </c>
      <c r="G54" s="2"/>
      <c r="H54" s="6">
        <v>486</v>
      </c>
      <c r="I54" s="2"/>
      <c r="J54" s="7">
        <f t="shared" si="29"/>
        <v>2.722689075630252E-3</v>
      </c>
      <c r="K54" s="2"/>
      <c r="L54" s="6">
        <f t="shared" si="30"/>
        <v>500.07000000000005</v>
      </c>
      <c r="M54" s="2"/>
      <c r="N54" s="7">
        <f t="shared" si="31"/>
        <v>1.0289506172839507</v>
      </c>
      <c r="O54" s="11"/>
      <c r="P54" s="6">
        <v>3944.28</v>
      </c>
      <c r="Q54" s="2"/>
      <c r="R54" s="7">
        <f t="shared" si="32"/>
        <v>1.2105211000118068E-2</v>
      </c>
      <c r="S54" s="2"/>
      <c r="T54" s="6">
        <v>1944</v>
      </c>
      <c r="U54" s="2"/>
      <c r="V54" s="7">
        <f t="shared" si="33"/>
        <v>4.4353182751540043E-3</v>
      </c>
      <c r="W54" s="2"/>
      <c r="X54" s="6">
        <f t="shared" si="34"/>
        <v>2000.2800000000002</v>
      </c>
      <c r="Y54" s="2"/>
      <c r="Z54" s="7">
        <f t="shared" si="35"/>
        <v>1.0289506172839507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667</v>
      </c>
      <c r="I55" s="2"/>
      <c r="J55" s="7">
        <f t="shared" si="29"/>
        <v>3.7366946778711486E-3</v>
      </c>
      <c r="K55" s="2"/>
      <c r="L55" s="6">
        <f t="shared" si="30"/>
        <v>-667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1334</v>
      </c>
      <c r="U55" s="2"/>
      <c r="V55" s="7">
        <f t="shared" si="33"/>
        <v>3.0435774583618528E-3</v>
      </c>
      <c r="W55" s="2"/>
      <c r="X55" s="6">
        <f t="shared" si="34"/>
        <v>-1334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7" si="36">IF(D$12=0,0,D56/D$12)</f>
        <v>0</v>
      </c>
      <c r="G56" s="1"/>
      <c r="H56" s="1">
        <f>SUM(OSRRefH22_6x_0)</f>
        <v>75</v>
      </c>
      <c r="I56" s="1"/>
      <c r="J56" s="5">
        <f t="shared" ref="J56:J67" si="37">IF(H$12=0,0,H56/H$12)</f>
        <v>4.2016806722689078E-4</v>
      </c>
      <c r="K56" s="1"/>
      <c r="L56" s="1">
        <f t="shared" ref="L56:L67" si="38">+D56-H56</f>
        <v>-75</v>
      </c>
      <c r="M56" s="1"/>
      <c r="N56" s="5">
        <f t="shared" ref="N56:N67" si="39">IF(H56=0,0,L56/H56)</f>
        <v>-1</v>
      </c>
      <c r="O56" s="13"/>
      <c r="P56" s="1">
        <f>SUM(OSRRefP22_6x_0)</f>
        <v>0</v>
      </c>
      <c r="Q56" s="1"/>
      <c r="R56" s="5">
        <f t="shared" ref="R56:R67" si="40">IF(P$12=0,0,P56/P$12)</f>
        <v>0</v>
      </c>
      <c r="S56" s="1"/>
      <c r="T56" s="1">
        <f>SUM(OSRRefT22_6x_0)</f>
        <v>300</v>
      </c>
      <c r="U56" s="1"/>
      <c r="V56" s="5">
        <f t="shared" ref="V56:V67" si="41">IF(T$12=0,0,T56/T$12)</f>
        <v>6.8446269678302531E-4</v>
      </c>
      <c r="W56" s="1"/>
      <c r="X56" s="1">
        <f t="shared" ref="X56:X67" si="42">+P56-T56</f>
        <v>-300</v>
      </c>
      <c r="Y56" s="1"/>
      <c r="Z56" s="5">
        <f t="shared" ref="Z56:Z67" si="43">IF(T56=0,0,X56/T56)</f>
        <v>-1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75</v>
      </c>
      <c r="I57" s="2"/>
      <c r="J57" s="7">
        <f t="shared" si="37"/>
        <v>4.2016806722689078E-4</v>
      </c>
      <c r="K57" s="2"/>
      <c r="L57" s="6">
        <f t="shared" si="38"/>
        <v>-75</v>
      </c>
      <c r="M57" s="2"/>
      <c r="N57" s="7">
        <f t="shared" si="39"/>
        <v>-1</v>
      </c>
      <c r="O57" s="11"/>
      <c r="P57" s="6"/>
      <c r="Q57" s="2"/>
      <c r="R57" s="7">
        <f t="shared" si="40"/>
        <v>0</v>
      </c>
      <c r="S57" s="2"/>
      <c r="T57" s="6">
        <v>300</v>
      </c>
      <c r="U57" s="2"/>
      <c r="V57" s="7">
        <f t="shared" si="41"/>
        <v>6.8446269678302531E-4</v>
      </c>
      <c r="W57" s="2"/>
      <c r="X57" s="6">
        <f t="shared" si="42"/>
        <v>-300</v>
      </c>
      <c r="Y57" s="2"/>
      <c r="Z57" s="7">
        <f t="shared" si="43"/>
        <v>-1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448.34</v>
      </c>
      <c r="E58" s="1"/>
      <c r="F58" s="5">
        <f t="shared" si="36"/>
        <v>2.8979107300777843E-3</v>
      </c>
      <c r="G58" s="1"/>
      <c r="H58" s="1">
        <f>SUM(OSRRefH22_7x_0)</f>
        <v>115</v>
      </c>
      <c r="I58" s="1"/>
      <c r="J58" s="5">
        <f t="shared" si="37"/>
        <v>6.4425770308123252E-4</v>
      </c>
      <c r="K58" s="1"/>
      <c r="L58" s="1">
        <f t="shared" si="38"/>
        <v>333.34</v>
      </c>
      <c r="M58" s="1"/>
      <c r="N58" s="5">
        <f t="shared" si="39"/>
        <v>2.8986086956521735</v>
      </c>
      <c r="O58" s="13"/>
      <c r="P58" s="1">
        <f>SUM(OSRRefP22_7x_0)</f>
        <v>1608.28</v>
      </c>
      <c r="Q58" s="1"/>
      <c r="R58" s="5">
        <f t="shared" si="40"/>
        <v>4.9358992635588463E-3</v>
      </c>
      <c r="S58" s="1"/>
      <c r="T58" s="1">
        <f>SUM(OSRRefT22_7x_0)</f>
        <v>460</v>
      </c>
      <c r="U58" s="1"/>
      <c r="V58" s="5">
        <f t="shared" si="41"/>
        <v>1.0495094684006389E-3</v>
      </c>
      <c r="W58" s="1"/>
      <c r="X58" s="1">
        <f t="shared" si="42"/>
        <v>1148.28</v>
      </c>
      <c r="Y58" s="1"/>
      <c r="Z58" s="5">
        <f t="shared" si="43"/>
        <v>2.4962608695652175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448.34</v>
      </c>
      <c r="E59" s="2"/>
      <c r="F59" s="7">
        <f t="shared" si="36"/>
        <v>2.8979107300777843E-3</v>
      </c>
      <c r="G59" s="2"/>
      <c r="H59" s="6">
        <v>115</v>
      </c>
      <c r="I59" s="2"/>
      <c r="J59" s="7">
        <f t="shared" si="37"/>
        <v>6.4425770308123252E-4</v>
      </c>
      <c r="K59" s="2"/>
      <c r="L59" s="6">
        <f t="shared" si="38"/>
        <v>333.34</v>
      </c>
      <c r="M59" s="2"/>
      <c r="N59" s="7">
        <f t="shared" si="39"/>
        <v>2.8986086956521735</v>
      </c>
      <c r="O59" s="11"/>
      <c r="P59" s="6">
        <v>1608.28</v>
      </c>
      <c r="Q59" s="2"/>
      <c r="R59" s="7">
        <f t="shared" si="40"/>
        <v>4.9358992635588463E-3</v>
      </c>
      <c r="S59" s="2"/>
      <c r="T59" s="6">
        <v>460</v>
      </c>
      <c r="U59" s="2"/>
      <c r="V59" s="7">
        <f t="shared" si="41"/>
        <v>1.0495094684006389E-3</v>
      </c>
      <c r="W59" s="2"/>
      <c r="X59" s="6">
        <f t="shared" si="42"/>
        <v>1148.28</v>
      </c>
      <c r="Y59" s="2"/>
      <c r="Z59" s="7">
        <f t="shared" si="43"/>
        <v>2.4962608695652175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1502.95</v>
      </c>
      <c r="E60" s="1"/>
      <c r="F60" s="5">
        <f t="shared" si="36"/>
        <v>9.7145356911504804E-3</v>
      </c>
      <c r="G60" s="1"/>
      <c r="H60" s="1">
        <f>SUM(OSRRefH22_8x_0)</f>
        <v>1000</v>
      </c>
      <c r="I60" s="1"/>
      <c r="J60" s="5">
        <f t="shared" si="37"/>
        <v>5.6022408963585435E-3</v>
      </c>
      <c r="K60" s="1"/>
      <c r="L60" s="1">
        <f t="shared" si="38"/>
        <v>502.95000000000005</v>
      </c>
      <c r="M60" s="1"/>
      <c r="N60" s="5">
        <f t="shared" si="39"/>
        <v>0.50295000000000001</v>
      </c>
      <c r="O60" s="13"/>
      <c r="P60" s="1">
        <f>SUM(OSRRefP22_8x_0)</f>
        <v>4687.82</v>
      </c>
      <c r="Q60" s="1"/>
      <c r="R60" s="5">
        <f t="shared" si="40"/>
        <v>1.4387175918183667E-2</v>
      </c>
      <c r="S60" s="1"/>
      <c r="T60" s="1">
        <f>SUM(OSRRefT22_8x_0)</f>
        <v>4000</v>
      </c>
      <c r="U60" s="1"/>
      <c r="V60" s="5">
        <f t="shared" si="41"/>
        <v>9.1261692904403384E-3</v>
      </c>
      <c r="W60" s="1"/>
      <c r="X60" s="1">
        <f t="shared" si="42"/>
        <v>687.81999999999971</v>
      </c>
      <c r="Y60" s="1"/>
      <c r="Z60" s="5">
        <f t="shared" si="43"/>
        <v>0.17195499999999991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1502.95</v>
      </c>
      <c r="E61" s="2"/>
      <c r="F61" s="7">
        <f t="shared" si="36"/>
        <v>9.7145356911504804E-3</v>
      </c>
      <c r="G61" s="2"/>
      <c r="H61" s="6">
        <v>1000</v>
      </c>
      <c r="I61" s="2"/>
      <c r="J61" s="7">
        <f t="shared" si="37"/>
        <v>5.6022408963585435E-3</v>
      </c>
      <c r="K61" s="2"/>
      <c r="L61" s="6">
        <f t="shared" si="38"/>
        <v>502.95000000000005</v>
      </c>
      <c r="M61" s="2"/>
      <c r="N61" s="7">
        <f t="shared" si="39"/>
        <v>0.50295000000000001</v>
      </c>
      <c r="O61" s="11"/>
      <c r="P61" s="6">
        <v>4687.82</v>
      </c>
      <c r="Q61" s="2"/>
      <c r="R61" s="7">
        <f t="shared" si="40"/>
        <v>1.4387175918183667E-2</v>
      </c>
      <c r="S61" s="2"/>
      <c r="T61" s="6">
        <v>4000</v>
      </c>
      <c r="U61" s="2"/>
      <c r="V61" s="7">
        <f t="shared" si="41"/>
        <v>9.1261692904403384E-3</v>
      </c>
      <c r="W61" s="2"/>
      <c r="X61" s="6">
        <f t="shared" si="42"/>
        <v>687.81999999999971</v>
      </c>
      <c r="Y61" s="2"/>
      <c r="Z61" s="7">
        <f t="shared" si="43"/>
        <v>0.17195499999999991</v>
      </c>
    </row>
    <row r="62" spans="1:26" s="26" customFormat="1" outlineLevel="1" collapsed="1" x14ac:dyDescent="0.25">
      <c r="A62" s="25"/>
      <c r="B62" s="13" t="str">
        <f>CONCATENATE("     ","Rent                                              ")</f>
        <v xml:space="preserve">     Rent                                              </v>
      </c>
      <c r="C62" s="13"/>
      <c r="D62" s="1">
        <f>SUM(OSRRefD22_9x_0)</f>
        <v>1850</v>
      </c>
      <c r="E62" s="1"/>
      <c r="F62" s="5">
        <f t="shared" si="36"/>
        <v>1.1957743789632647E-2</v>
      </c>
      <c r="G62" s="1"/>
      <c r="H62" s="1">
        <f>SUM(OSRRefH22_9x_0)</f>
        <v>1850</v>
      </c>
      <c r="I62" s="1"/>
      <c r="J62" s="5">
        <f t="shared" si="37"/>
        <v>1.0364145658263305E-2</v>
      </c>
      <c r="K62" s="1"/>
      <c r="L62" s="1">
        <f t="shared" si="38"/>
        <v>0</v>
      </c>
      <c r="M62" s="1"/>
      <c r="N62" s="5">
        <f t="shared" si="39"/>
        <v>0</v>
      </c>
      <c r="O62" s="13"/>
      <c r="P62" s="1">
        <f>SUM(OSRRefP22_9x_0)</f>
        <v>7400</v>
      </c>
      <c r="Q62" s="1"/>
      <c r="R62" s="5">
        <f t="shared" si="40"/>
        <v>2.2711004644922192E-2</v>
      </c>
      <c r="S62" s="1"/>
      <c r="T62" s="1">
        <f>SUM(OSRRefT22_9x_0)</f>
        <v>7400</v>
      </c>
      <c r="U62" s="1"/>
      <c r="V62" s="5">
        <f t="shared" si="41"/>
        <v>1.6883413187314626E-2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7"/>
      <c r="B63" s="11" t="str">
        <f>CONCATENATE("          ", "6273", " - ", "RENT")</f>
        <v xml:space="preserve">          6273 - RENT</v>
      </c>
      <c r="C63" s="11"/>
      <c r="D63" s="6">
        <v>1850</v>
      </c>
      <c r="E63" s="2"/>
      <c r="F63" s="7">
        <f t="shared" si="36"/>
        <v>1.1957743789632647E-2</v>
      </c>
      <c r="G63" s="2"/>
      <c r="H63" s="6">
        <v>1850</v>
      </c>
      <c r="I63" s="2"/>
      <c r="J63" s="7">
        <f t="shared" si="37"/>
        <v>1.0364145658263305E-2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7400</v>
      </c>
      <c r="Q63" s="2"/>
      <c r="R63" s="7">
        <f t="shared" si="40"/>
        <v>2.2711004644922192E-2</v>
      </c>
      <c r="S63" s="2"/>
      <c r="T63" s="6">
        <v>7400</v>
      </c>
      <c r="U63" s="2"/>
      <c r="V63" s="7">
        <f t="shared" si="41"/>
        <v>1.6883413187314626E-2</v>
      </c>
      <c r="W63" s="2"/>
      <c r="X63" s="6">
        <f t="shared" si="42"/>
        <v>0</v>
      </c>
      <c r="Y63" s="2"/>
      <c r="Z63" s="7">
        <f t="shared" si="43"/>
        <v>0</v>
      </c>
    </row>
    <row r="64" spans="1:26" s="26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2497.9499999999998</v>
      </c>
      <c r="E64" s="1"/>
      <c r="F64" s="5">
        <f t="shared" si="36"/>
        <v>1.6145862756385333E-2</v>
      </c>
      <c r="G64" s="1"/>
      <c r="H64" s="1">
        <f>SUM(OSRRefH22_10x_0)</f>
        <v>1000</v>
      </c>
      <c r="I64" s="1"/>
      <c r="J64" s="5">
        <f t="shared" si="37"/>
        <v>5.6022408963585435E-3</v>
      </c>
      <c r="K64" s="1"/>
      <c r="L64" s="1">
        <f t="shared" si="38"/>
        <v>1497.9499999999998</v>
      </c>
      <c r="M64" s="1"/>
      <c r="N64" s="5">
        <f t="shared" si="39"/>
        <v>1.4979499999999999</v>
      </c>
      <c r="O64" s="13"/>
      <c r="P64" s="1">
        <f>SUM(OSRRefP22_10x_0)</f>
        <v>13104.67</v>
      </c>
      <c r="Q64" s="1"/>
      <c r="R64" s="5">
        <f t="shared" si="40"/>
        <v>4.0218948816239525E-2</v>
      </c>
      <c r="S64" s="1"/>
      <c r="T64" s="1">
        <f>SUM(OSRRefT22_10x_0)</f>
        <v>4800</v>
      </c>
      <c r="U64" s="1"/>
      <c r="V64" s="5">
        <f t="shared" si="41"/>
        <v>1.0951403148528405E-2</v>
      </c>
      <c r="W64" s="1"/>
      <c r="X64" s="1">
        <f t="shared" si="42"/>
        <v>8304.67</v>
      </c>
      <c r="Y64" s="1"/>
      <c r="Z64" s="5">
        <f t="shared" si="43"/>
        <v>1.7301395833333333</v>
      </c>
    </row>
    <row r="65" spans="1:26" s="24" customFormat="1" hidden="1" outlineLevel="2" x14ac:dyDescent="0.25">
      <c r="A65" s="27"/>
      <c r="B65" s="11" t="str">
        <f>CONCATENATE("          ", "6372", " - ", "COMPUTER HARDWARE MAINTENANCE")</f>
        <v xml:space="preserve">          6372 - COMPUTER HARDWARE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200</v>
      </c>
      <c r="U65" s="2"/>
      <c r="V65" s="7">
        <f t="shared" si="41"/>
        <v>4.5630846452201688E-4</v>
      </c>
      <c r="W65" s="2"/>
      <c r="X65" s="6">
        <f t="shared" si="42"/>
        <v>-200</v>
      </c>
      <c r="Y65" s="2"/>
      <c r="Z65" s="7">
        <f t="shared" si="43"/>
        <v>-1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6">
        <v>1856.06</v>
      </c>
      <c r="E66" s="2"/>
      <c r="F66" s="7">
        <f t="shared" si="36"/>
        <v>1.1996913480100308E-2</v>
      </c>
      <c r="G66" s="2"/>
      <c r="H66" s="6">
        <v>1000</v>
      </c>
      <c r="I66" s="2"/>
      <c r="J66" s="7">
        <f t="shared" si="37"/>
        <v>5.6022408963585435E-3</v>
      </c>
      <c r="K66" s="2"/>
      <c r="L66" s="6">
        <f t="shared" si="38"/>
        <v>856.06</v>
      </c>
      <c r="M66" s="2"/>
      <c r="N66" s="7">
        <f t="shared" si="39"/>
        <v>0.85605999999999993</v>
      </c>
      <c r="O66" s="11"/>
      <c r="P66" s="6">
        <v>7252.06</v>
      </c>
      <c r="Q66" s="2"/>
      <c r="R66" s="7">
        <f t="shared" si="40"/>
        <v>2.2256968695304653E-2</v>
      </c>
      <c r="S66" s="2"/>
      <c r="T66" s="6">
        <v>4000</v>
      </c>
      <c r="U66" s="2"/>
      <c r="V66" s="7">
        <f t="shared" si="41"/>
        <v>9.1261692904403384E-3</v>
      </c>
      <c r="W66" s="2"/>
      <c r="X66" s="6">
        <f t="shared" si="42"/>
        <v>3252.0600000000004</v>
      </c>
      <c r="Y66" s="2"/>
      <c r="Z66" s="7">
        <f t="shared" si="43"/>
        <v>0.81301500000000015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641.89</v>
      </c>
      <c r="E67" s="2"/>
      <c r="F67" s="7">
        <f t="shared" si="36"/>
        <v>4.1489492762850268E-3</v>
      </c>
      <c r="G67" s="2"/>
      <c r="H67" s="6"/>
      <c r="I67" s="2"/>
      <c r="J67" s="7">
        <f t="shared" si="37"/>
        <v>0</v>
      </c>
      <c r="K67" s="2"/>
      <c r="L67" s="6">
        <f t="shared" si="38"/>
        <v>641.89</v>
      </c>
      <c r="M67" s="2"/>
      <c r="N67" s="7">
        <f t="shared" si="39"/>
        <v>0</v>
      </c>
      <c r="O67" s="11"/>
      <c r="P67" s="6">
        <v>5852.61</v>
      </c>
      <c r="Q67" s="2"/>
      <c r="R67" s="7">
        <f t="shared" si="40"/>
        <v>1.7961980120934872E-2</v>
      </c>
      <c r="S67" s="2"/>
      <c r="T67" s="6">
        <v>600</v>
      </c>
      <c r="U67" s="2"/>
      <c r="V67" s="7">
        <f t="shared" si="41"/>
        <v>1.3689253935660506E-3</v>
      </c>
      <c r="W67" s="2"/>
      <c r="X67" s="6">
        <f t="shared" si="42"/>
        <v>5252.61</v>
      </c>
      <c r="Y67" s="2"/>
      <c r="Z67" s="7">
        <f t="shared" si="43"/>
        <v>8.7543499999999987</v>
      </c>
    </row>
    <row r="68" spans="1:26" s="26" customFormat="1" outlineLevel="1" collapsed="1" x14ac:dyDescent="0.25">
      <c r="A68" s="25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SUM(OSRRefD22_11x_0)</f>
        <v>12376.88</v>
      </c>
      <c r="E68" s="1"/>
      <c r="F68" s="5">
        <f t="shared" ref="F68:F73" si="44">IF(D$12=0,0,D68/D$12)</f>
        <v>7.9999762137853245E-2</v>
      </c>
      <c r="G68" s="1"/>
      <c r="H68" s="1">
        <f>SUM(OSRRefH22_11x_0)</f>
        <v>14280</v>
      </c>
      <c r="I68" s="1"/>
      <c r="J68" s="5">
        <f t="shared" ref="J68:J73" si="45">IF(H$12=0,0,H68/H$12)</f>
        <v>0.08</v>
      </c>
      <c r="K68" s="1"/>
      <c r="L68" s="1">
        <f t="shared" ref="L68:L73" si="46">+D68-H68</f>
        <v>-1903.1200000000008</v>
      </c>
      <c r="M68" s="1"/>
      <c r="N68" s="5">
        <f t="shared" ref="N68:N73" si="47">IF(H68=0,0,L68/H68)</f>
        <v>-0.13327170868347343</v>
      </c>
      <c r="O68" s="13"/>
      <c r="P68" s="1">
        <f>SUM(OSRRefP22_11x_0)</f>
        <v>28839.84</v>
      </c>
      <c r="Q68" s="1"/>
      <c r="R68" s="5">
        <f t="shared" ref="R68:R73" si="48">IF(P$12=0,0,P68/P$12)</f>
        <v>8.8511045972812535E-2</v>
      </c>
      <c r="S68" s="1"/>
      <c r="T68" s="1">
        <f>SUM(OSRRefT22_11x_0)</f>
        <v>35064</v>
      </c>
      <c r="U68" s="1"/>
      <c r="V68" s="5">
        <f t="shared" ref="V68:V73" si="49">IF(T$12=0,0,T68/T$12)</f>
        <v>0.08</v>
      </c>
      <c r="W68" s="1"/>
      <c r="X68" s="1">
        <f t="shared" ref="X68:X73" si="50">+P68-T68</f>
        <v>-6224.16</v>
      </c>
      <c r="Y68" s="1"/>
      <c r="Z68" s="5">
        <f t="shared" ref="Z68:Z73" si="51">IF(T68=0,0,X68/T68)</f>
        <v>-0.17750855578370978</v>
      </c>
    </row>
    <row r="69" spans="1:26" s="24" customFormat="1" hidden="1" outlineLevel="2" x14ac:dyDescent="0.25">
      <c r="A69" s="27"/>
      <c r="B69" s="11" t="str">
        <f>CONCATENATE("          ", "6259", " - ", "ROYALTY &amp; COMMISSIONS")</f>
        <v xml:space="preserve">          6259 - ROYALTY &amp; COMMISSIONS</v>
      </c>
      <c r="C69" s="11"/>
      <c r="D69" s="6">
        <v>12376.88</v>
      </c>
      <c r="E69" s="2"/>
      <c r="F69" s="7">
        <f t="shared" si="44"/>
        <v>7.9999762137853245E-2</v>
      </c>
      <c r="G69" s="2"/>
      <c r="H69" s="6">
        <v>14280</v>
      </c>
      <c r="I69" s="2"/>
      <c r="J69" s="7">
        <f t="shared" si="45"/>
        <v>0.08</v>
      </c>
      <c r="K69" s="2"/>
      <c r="L69" s="6">
        <f t="shared" si="46"/>
        <v>-1903.1200000000008</v>
      </c>
      <c r="M69" s="2"/>
      <c r="N69" s="7">
        <f t="shared" si="47"/>
        <v>-0.13327170868347343</v>
      </c>
      <c r="O69" s="11"/>
      <c r="P69" s="6">
        <v>28839.84</v>
      </c>
      <c r="Q69" s="2"/>
      <c r="R69" s="7">
        <f t="shared" si="48"/>
        <v>8.8511045972812535E-2</v>
      </c>
      <c r="S69" s="2"/>
      <c r="T69" s="6">
        <v>35064</v>
      </c>
      <c r="U69" s="2"/>
      <c r="V69" s="7">
        <f t="shared" si="49"/>
        <v>0.08</v>
      </c>
      <c r="W69" s="2"/>
      <c r="X69" s="6">
        <f t="shared" si="50"/>
        <v>-6224.16</v>
      </c>
      <c r="Y69" s="2"/>
      <c r="Z69" s="7">
        <f t="shared" si="51"/>
        <v>-0.17750855578370978</v>
      </c>
    </row>
    <row r="70" spans="1:26" s="26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402.96999999999997</v>
      </c>
      <c r="E70" s="1"/>
      <c r="F70" s="5">
        <f t="shared" si="44"/>
        <v>2.6046551431936583E-3</v>
      </c>
      <c r="G70" s="1"/>
      <c r="H70" s="1">
        <f>SUM(OSRRefH22_12x_0)</f>
        <v>360</v>
      </c>
      <c r="I70" s="1"/>
      <c r="J70" s="5">
        <f t="shared" si="45"/>
        <v>2.0168067226890756E-3</v>
      </c>
      <c r="K70" s="1"/>
      <c r="L70" s="1">
        <f t="shared" si="46"/>
        <v>42.96999999999997</v>
      </c>
      <c r="M70" s="1"/>
      <c r="N70" s="5">
        <f t="shared" si="47"/>
        <v>0.11936111111111103</v>
      </c>
      <c r="O70" s="13"/>
      <c r="P70" s="1">
        <f>SUM(OSRRefP22_12x_0)</f>
        <v>1494.55</v>
      </c>
      <c r="Q70" s="1"/>
      <c r="R70" s="5">
        <f t="shared" si="48"/>
        <v>4.5868556746038458E-3</v>
      </c>
      <c r="S70" s="1"/>
      <c r="T70" s="1">
        <f>SUM(OSRRefT22_12x_0)</f>
        <v>1440</v>
      </c>
      <c r="U70" s="1"/>
      <c r="V70" s="5">
        <f t="shared" si="49"/>
        <v>3.2854209445585215E-3</v>
      </c>
      <c r="W70" s="1"/>
      <c r="X70" s="1">
        <f t="shared" si="50"/>
        <v>54.549999999999955</v>
      </c>
      <c r="Y70" s="1"/>
      <c r="Z70" s="5">
        <f t="shared" si="51"/>
        <v>3.7881944444444413E-2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96.96</v>
      </c>
      <c r="E71" s="2"/>
      <c r="F71" s="7">
        <f t="shared" si="44"/>
        <v>6.2671504748258451E-4</v>
      </c>
      <c r="G71" s="2"/>
      <c r="H71" s="6">
        <v>100</v>
      </c>
      <c r="I71" s="2"/>
      <c r="J71" s="7">
        <f t="shared" si="45"/>
        <v>5.602240896358543E-4</v>
      </c>
      <c r="K71" s="2"/>
      <c r="L71" s="6">
        <f t="shared" si="46"/>
        <v>-3.0400000000000063</v>
      </c>
      <c r="M71" s="2"/>
      <c r="N71" s="7">
        <f t="shared" si="47"/>
        <v>-3.0400000000000062E-2</v>
      </c>
      <c r="O71" s="11"/>
      <c r="P71" s="6">
        <v>387.84</v>
      </c>
      <c r="Q71" s="2"/>
      <c r="R71" s="7">
        <f t="shared" si="48"/>
        <v>1.1903021677684624E-3</v>
      </c>
      <c r="S71" s="2"/>
      <c r="T71" s="6">
        <v>400</v>
      </c>
      <c r="U71" s="2"/>
      <c r="V71" s="7">
        <f t="shared" si="49"/>
        <v>9.1261692904403375E-4</v>
      </c>
      <c r="W71" s="2"/>
      <c r="X71" s="6">
        <f t="shared" si="50"/>
        <v>-12.160000000000025</v>
      </c>
      <c r="Y71" s="2"/>
      <c r="Z71" s="7">
        <f t="shared" si="51"/>
        <v>-3.0400000000000062E-2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>
        <v>94</v>
      </c>
      <c r="E72" s="2"/>
      <c r="F72" s="7">
        <f t="shared" si="44"/>
        <v>6.0758265741917233E-4</v>
      </c>
      <c r="G72" s="2"/>
      <c r="H72" s="6">
        <v>40</v>
      </c>
      <c r="I72" s="2"/>
      <c r="J72" s="7">
        <f t="shared" si="45"/>
        <v>2.2408963585434174E-4</v>
      </c>
      <c r="K72" s="2"/>
      <c r="L72" s="6">
        <f t="shared" si="46"/>
        <v>54</v>
      </c>
      <c r="M72" s="2"/>
      <c r="N72" s="7">
        <f t="shared" si="47"/>
        <v>1.35</v>
      </c>
      <c r="O72" s="11"/>
      <c r="P72" s="6">
        <v>188</v>
      </c>
      <c r="Q72" s="2"/>
      <c r="R72" s="7">
        <f t="shared" si="48"/>
        <v>5.7698228016829349E-4</v>
      </c>
      <c r="S72" s="2"/>
      <c r="T72" s="6">
        <v>160</v>
      </c>
      <c r="U72" s="2"/>
      <c r="V72" s="7">
        <f t="shared" si="49"/>
        <v>3.650467716176135E-4</v>
      </c>
      <c r="W72" s="2"/>
      <c r="X72" s="6">
        <f t="shared" si="50"/>
        <v>28</v>
      </c>
      <c r="Y72" s="2"/>
      <c r="Z72" s="7">
        <f t="shared" si="51"/>
        <v>0.17499999999999999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6">
        <v>212.01</v>
      </c>
      <c r="E73" s="2"/>
      <c r="F73" s="7">
        <f t="shared" si="44"/>
        <v>1.3703574382919013E-3</v>
      </c>
      <c r="G73" s="2"/>
      <c r="H73" s="6">
        <v>220</v>
      </c>
      <c r="I73" s="2"/>
      <c r="J73" s="7">
        <f t="shared" si="45"/>
        <v>1.2324929971988796E-3</v>
      </c>
      <c r="K73" s="2"/>
      <c r="L73" s="6">
        <f t="shared" si="46"/>
        <v>-7.9900000000000091</v>
      </c>
      <c r="M73" s="2"/>
      <c r="N73" s="7">
        <f t="shared" si="47"/>
        <v>-3.6318181818181861E-2</v>
      </c>
      <c r="O73" s="11"/>
      <c r="P73" s="6">
        <v>918.71</v>
      </c>
      <c r="Q73" s="2"/>
      <c r="R73" s="7">
        <f t="shared" si="48"/>
        <v>2.8195712266670899E-3</v>
      </c>
      <c r="S73" s="2"/>
      <c r="T73" s="6">
        <v>880</v>
      </c>
      <c r="U73" s="2"/>
      <c r="V73" s="7">
        <f t="shared" si="49"/>
        <v>2.0077572438968743E-3</v>
      </c>
      <c r="W73" s="2"/>
      <c r="X73" s="6">
        <f t="shared" si="50"/>
        <v>38.710000000000036</v>
      </c>
      <c r="Y73" s="2"/>
      <c r="Z73" s="7">
        <f t="shared" si="51"/>
        <v>4.3988636363636403E-2</v>
      </c>
    </row>
    <row r="74" spans="1:26" s="26" customFormat="1" outlineLevel="1" collapsed="1" x14ac:dyDescent="0.25">
      <c r="A74" s="25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SUM(OSRRefD22_13x_0)</f>
        <v>0</v>
      </c>
      <c r="E74" s="1"/>
      <c r="F74" s="5">
        <f t="shared" ref="F74:F85" si="52">IF(D$12=0,0,D74/D$12)</f>
        <v>0</v>
      </c>
      <c r="G74" s="1"/>
      <c r="H74" s="1">
        <f>SUM(OSRRefH22_13x_0)</f>
        <v>0</v>
      </c>
      <c r="I74" s="1"/>
      <c r="J74" s="5">
        <f t="shared" ref="J74:J85" si="53">IF(H$12=0,0,H74/H$12)</f>
        <v>0</v>
      </c>
      <c r="K74" s="1"/>
      <c r="L74" s="1">
        <f t="shared" ref="L74:L85" si="54">+D74-H74</f>
        <v>0</v>
      </c>
      <c r="M74" s="1"/>
      <c r="N74" s="5">
        <f t="shared" ref="N74:N85" si="55">IF(H74=0,0,L74/H74)</f>
        <v>0</v>
      </c>
      <c r="O74" s="13"/>
      <c r="P74" s="1">
        <f>SUM(OSRRefP22_13x_0)</f>
        <v>61.36</v>
      </c>
      <c r="Q74" s="1"/>
      <c r="R74" s="5">
        <f t="shared" ref="R74:R85" si="56">IF(P$12=0,0,P74/P$12)</f>
        <v>1.883171952719494E-4</v>
      </c>
      <c r="S74" s="1"/>
      <c r="T74" s="1">
        <f>SUM(OSRRefT22_13x_0)</f>
        <v>0</v>
      </c>
      <c r="U74" s="1"/>
      <c r="V74" s="5">
        <f t="shared" ref="V74:V85" si="57">IF(T$12=0,0,T74/T$12)</f>
        <v>0</v>
      </c>
      <c r="W74" s="1"/>
      <c r="X74" s="1">
        <f t="shared" ref="X74:X85" si="58">+P74-T74</f>
        <v>61.36</v>
      </c>
      <c r="Y74" s="1"/>
      <c r="Z74" s="5">
        <f t="shared" ref="Z74:Z85" si="59">IF(T74=0,0,X74/T74)</f>
        <v>0</v>
      </c>
    </row>
    <row r="75" spans="1:26" s="24" customFormat="1" hidden="1" outlineLevel="2" x14ac:dyDescent="0.25">
      <c r="A75" s="27"/>
      <c r="B75" s="11" t="str">
        <f>CONCATENATE("          ", "6275", " - ", "SUBSCRIPTIONS")</f>
        <v xml:space="preserve">          6275 - SUBSCRIPTIONS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61.36</v>
      </c>
      <c r="Q75" s="2"/>
      <c r="R75" s="7">
        <f t="shared" si="56"/>
        <v>1.883171952719494E-4</v>
      </c>
      <c r="S75" s="2"/>
      <c r="T75" s="6"/>
      <c r="U75" s="2"/>
      <c r="V75" s="7">
        <f t="shared" si="57"/>
        <v>0</v>
      </c>
      <c r="W75" s="2"/>
      <c r="X75" s="6">
        <f t="shared" si="58"/>
        <v>61.36</v>
      </c>
      <c r="Y75" s="2"/>
      <c r="Z75" s="7">
        <f t="shared" si="59"/>
        <v>0</v>
      </c>
    </row>
    <row r="76" spans="1:26" s="26" customFormat="1" outlineLevel="1" collapsed="1" x14ac:dyDescent="0.25">
      <c r="A76" s="25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SUM(OSRRefD22_14x_0)</f>
        <v>1127.79</v>
      </c>
      <c r="E76" s="1"/>
      <c r="F76" s="5">
        <f t="shared" si="52"/>
        <v>7.2896345235188122E-3</v>
      </c>
      <c r="G76" s="1"/>
      <c r="H76" s="1">
        <f>SUM(OSRRefH22_14x_0)</f>
        <v>400</v>
      </c>
      <c r="I76" s="1"/>
      <c r="J76" s="5">
        <f t="shared" si="53"/>
        <v>2.2408963585434172E-3</v>
      </c>
      <c r="K76" s="1"/>
      <c r="L76" s="1">
        <f t="shared" si="54"/>
        <v>727.79</v>
      </c>
      <c r="M76" s="1"/>
      <c r="N76" s="5">
        <f t="shared" si="55"/>
        <v>1.819475</v>
      </c>
      <c r="O76" s="13"/>
      <c r="P76" s="1">
        <f>SUM(OSRRefP22_14x_0)</f>
        <v>7174.2499999999991</v>
      </c>
      <c r="Q76" s="1"/>
      <c r="R76" s="5">
        <f t="shared" si="56"/>
        <v>2.2018165550517974E-2</v>
      </c>
      <c r="S76" s="1"/>
      <c r="T76" s="1">
        <f>SUM(OSRRefT22_14x_0)</f>
        <v>8950</v>
      </c>
      <c r="U76" s="1"/>
      <c r="V76" s="5">
        <f t="shared" si="57"/>
        <v>2.0419803787360257E-2</v>
      </c>
      <c r="W76" s="1"/>
      <c r="X76" s="1">
        <f t="shared" si="58"/>
        <v>-1775.7500000000009</v>
      </c>
      <c r="Y76" s="1"/>
      <c r="Z76" s="5">
        <f t="shared" si="59"/>
        <v>-0.19840782122905037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146.09</v>
      </c>
      <c r="E77" s="2"/>
      <c r="F77" s="7">
        <f t="shared" si="52"/>
        <v>9.4427394066347759E-4</v>
      </c>
      <c r="G77" s="2"/>
      <c r="H77" s="6">
        <v>100</v>
      </c>
      <c r="I77" s="2"/>
      <c r="J77" s="7">
        <f t="shared" si="53"/>
        <v>5.602240896358543E-4</v>
      </c>
      <c r="K77" s="2"/>
      <c r="L77" s="6">
        <f t="shared" si="54"/>
        <v>46.09</v>
      </c>
      <c r="M77" s="2"/>
      <c r="N77" s="7">
        <f t="shared" si="55"/>
        <v>0.46090000000000003</v>
      </c>
      <c r="O77" s="11"/>
      <c r="P77" s="6">
        <v>744.97</v>
      </c>
      <c r="Q77" s="2"/>
      <c r="R77" s="7">
        <f t="shared" si="56"/>
        <v>2.2863536662604978E-3</v>
      </c>
      <c r="S77" s="2"/>
      <c r="T77" s="6">
        <v>400</v>
      </c>
      <c r="U77" s="2"/>
      <c r="V77" s="7">
        <f t="shared" si="57"/>
        <v>9.1261692904403375E-4</v>
      </c>
      <c r="W77" s="2"/>
      <c r="X77" s="6">
        <f t="shared" si="58"/>
        <v>344.97</v>
      </c>
      <c r="Y77" s="2"/>
      <c r="Z77" s="7">
        <f t="shared" si="59"/>
        <v>0.86242500000000011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>
        <v>262.23</v>
      </c>
      <c r="E78" s="2"/>
      <c r="F78" s="7">
        <f t="shared" si="52"/>
        <v>1.6949617048407403E-3</v>
      </c>
      <c r="G78" s="2"/>
      <c r="H78" s="6"/>
      <c r="I78" s="2"/>
      <c r="J78" s="7">
        <f t="shared" si="53"/>
        <v>0</v>
      </c>
      <c r="K78" s="2"/>
      <c r="L78" s="6">
        <f t="shared" si="54"/>
        <v>262.23</v>
      </c>
      <c r="M78" s="2"/>
      <c r="N78" s="7">
        <f t="shared" si="55"/>
        <v>0</v>
      </c>
      <c r="O78" s="11"/>
      <c r="P78" s="6">
        <v>3380.93</v>
      </c>
      <c r="Q78" s="2"/>
      <c r="R78" s="7">
        <f t="shared" si="56"/>
        <v>1.0376259045156322E-2</v>
      </c>
      <c r="S78" s="2"/>
      <c r="T78" s="6">
        <v>4900</v>
      </c>
      <c r="U78" s="2"/>
      <c r="V78" s="7">
        <f t="shared" si="57"/>
        <v>1.1179557380789414E-2</v>
      </c>
      <c r="W78" s="2"/>
      <c r="X78" s="6">
        <f t="shared" si="58"/>
        <v>-1519.0700000000002</v>
      </c>
      <c r="Y78" s="2"/>
      <c r="Z78" s="7">
        <f t="shared" si="59"/>
        <v>-0.31001428571428574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31.4</v>
      </c>
      <c r="E79" s="2"/>
      <c r="F79" s="7">
        <f t="shared" si="52"/>
        <v>2.0295846215917033E-4</v>
      </c>
      <c r="G79" s="2"/>
      <c r="H79" s="6">
        <v>100</v>
      </c>
      <c r="I79" s="2"/>
      <c r="J79" s="7">
        <f t="shared" si="53"/>
        <v>5.602240896358543E-4</v>
      </c>
      <c r="K79" s="2"/>
      <c r="L79" s="6">
        <f t="shared" si="54"/>
        <v>-68.599999999999994</v>
      </c>
      <c r="M79" s="2"/>
      <c r="N79" s="7">
        <f t="shared" si="55"/>
        <v>-0.68599999999999994</v>
      </c>
      <c r="O79" s="11"/>
      <c r="P79" s="6">
        <v>699.58</v>
      </c>
      <c r="Q79" s="2"/>
      <c r="R79" s="7">
        <f t="shared" si="56"/>
        <v>2.1470492742560361E-3</v>
      </c>
      <c r="S79" s="2"/>
      <c r="T79" s="6">
        <v>450</v>
      </c>
      <c r="U79" s="2"/>
      <c r="V79" s="7">
        <f t="shared" si="57"/>
        <v>1.026694045174538E-3</v>
      </c>
      <c r="W79" s="2"/>
      <c r="X79" s="6">
        <f t="shared" si="58"/>
        <v>249.58000000000004</v>
      </c>
      <c r="Y79" s="2"/>
      <c r="Z79" s="7">
        <f t="shared" si="59"/>
        <v>0.55462222222222235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>
        <v>518.15</v>
      </c>
      <c r="E80" s="2"/>
      <c r="F80" s="7">
        <f t="shared" si="52"/>
        <v>3.3491378078908951E-3</v>
      </c>
      <c r="G80" s="2"/>
      <c r="H80" s="6"/>
      <c r="I80" s="2"/>
      <c r="J80" s="7">
        <f t="shared" si="53"/>
        <v>0</v>
      </c>
      <c r="K80" s="2"/>
      <c r="L80" s="6">
        <f t="shared" si="54"/>
        <v>518.15</v>
      </c>
      <c r="M80" s="2"/>
      <c r="N80" s="7">
        <f t="shared" si="55"/>
        <v>0</v>
      </c>
      <c r="O80" s="11"/>
      <c r="P80" s="6">
        <v>2817.49</v>
      </c>
      <c r="Q80" s="2"/>
      <c r="R80" s="7">
        <f t="shared" si="56"/>
        <v>8.6470308752732185E-3</v>
      </c>
      <c r="S80" s="2"/>
      <c r="T80" s="6"/>
      <c r="U80" s="2"/>
      <c r="V80" s="7">
        <f t="shared" si="57"/>
        <v>0</v>
      </c>
      <c r="W80" s="2"/>
      <c r="X80" s="6">
        <f t="shared" si="58"/>
        <v>2817.49</v>
      </c>
      <c r="Y80" s="2"/>
      <c r="Z80" s="7">
        <f t="shared" si="59"/>
        <v>0</v>
      </c>
    </row>
    <row r="81" spans="1:26" s="24" customFormat="1" hidden="1" outlineLevel="2" x14ac:dyDescent="0.25">
      <c r="A81" s="27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52"/>
        <v>0</v>
      </c>
      <c r="G81" s="2"/>
      <c r="H81" s="6">
        <v>50</v>
      </c>
      <c r="I81" s="2"/>
      <c r="J81" s="7">
        <f t="shared" si="53"/>
        <v>2.8011204481792715E-4</v>
      </c>
      <c r="K81" s="2"/>
      <c r="L81" s="6">
        <f t="shared" si="54"/>
        <v>-50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200</v>
      </c>
      <c r="U81" s="2"/>
      <c r="V81" s="7">
        <f t="shared" si="57"/>
        <v>4.5630846452201688E-4</v>
      </c>
      <c r="W81" s="2"/>
      <c r="X81" s="6">
        <f t="shared" si="58"/>
        <v>-200</v>
      </c>
      <c r="Y81" s="2"/>
      <c r="Z81" s="7">
        <f t="shared" si="59"/>
        <v>-1</v>
      </c>
    </row>
    <row r="82" spans="1:26" s="24" customFormat="1" hidden="1" outlineLevel="2" x14ac:dyDescent="0.25">
      <c r="A82" s="27"/>
      <c r="B82" s="11" t="str">
        <f>CONCATENATE("          ", "6245", " - ", "PRINTING")</f>
        <v xml:space="preserve">          6245 - PRINTING</v>
      </c>
      <c r="C82" s="11"/>
      <c r="D82" s="6">
        <v>27.93</v>
      </c>
      <c r="E82" s="2"/>
      <c r="F82" s="7">
        <f t="shared" si="52"/>
        <v>1.8052961299699452E-4</v>
      </c>
      <c r="G82" s="2"/>
      <c r="H82" s="6">
        <v>50</v>
      </c>
      <c r="I82" s="2"/>
      <c r="J82" s="7">
        <f t="shared" si="53"/>
        <v>2.8011204481792715E-4</v>
      </c>
      <c r="K82" s="2"/>
      <c r="L82" s="6">
        <f t="shared" si="54"/>
        <v>-22.07</v>
      </c>
      <c r="M82" s="2"/>
      <c r="N82" s="7">
        <f t="shared" si="55"/>
        <v>-0.44140000000000001</v>
      </c>
      <c r="O82" s="11"/>
      <c r="P82" s="6">
        <v>50.94</v>
      </c>
      <c r="Q82" s="2"/>
      <c r="R82" s="7">
        <f t="shared" si="56"/>
        <v>1.5633764548815356E-4</v>
      </c>
      <c r="S82" s="2"/>
      <c r="T82" s="6">
        <v>250</v>
      </c>
      <c r="U82" s="2"/>
      <c r="V82" s="7">
        <f t="shared" si="57"/>
        <v>5.7038558065252115E-4</v>
      </c>
      <c r="W82" s="2"/>
      <c r="X82" s="6">
        <f t="shared" si="58"/>
        <v>-199.06</v>
      </c>
      <c r="Y82" s="2"/>
      <c r="Z82" s="7">
        <f t="shared" si="59"/>
        <v>-0.79624000000000006</v>
      </c>
    </row>
    <row r="83" spans="1:26" s="24" customFormat="1" hidden="1" outlineLevel="2" x14ac:dyDescent="0.25">
      <c r="A83" s="27"/>
      <c r="B83" s="11" t="str">
        <f>CONCATENATE("          ", "6246", " - ", "REPLACEMENTS")</f>
        <v xml:space="preserve">          6246 - REPLACEMENTS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/>
      <c r="Q83" s="2"/>
      <c r="R83" s="7">
        <f t="shared" si="56"/>
        <v>0</v>
      </c>
      <c r="S83" s="2"/>
      <c r="T83" s="6">
        <v>2400</v>
      </c>
      <c r="U83" s="2"/>
      <c r="V83" s="7">
        <f t="shared" si="57"/>
        <v>5.4757015742642025E-3</v>
      </c>
      <c r="W83" s="2"/>
      <c r="X83" s="6">
        <f t="shared" si="58"/>
        <v>-2400</v>
      </c>
      <c r="Y83" s="2"/>
      <c r="Z83" s="7">
        <f t="shared" si="59"/>
        <v>-1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6">
        <v>25.51</v>
      </c>
      <c r="E84" s="2"/>
      <c r="F84" s="7">
        <f t="shared" si="52"/>
        <v>1.6488759139109667E-4</v>
      </c>
      <c r="G84" s="2"/>
      <c r="H84" s="6">
        <v>100</v>
      </c>
      <c r="I84" s="2"/>
      <c r="J84" s="7">
        <f t="shared" si="53"/>
        <v>5.602240896358543E-4</v>
      </c>
      <c r="K84" s="2"/>
      <c r="L84" s="6">
        <f t="shared" si="54"/>
        <v>-74.489999999999995</v>
      </c>
      <c r="M84" s="2"/>
      <c r="N84" s="7">
        <f t="shared" si="55"/>
        <v>-0.7448999999999999</v>
      </c>
      <c r="O84" s="11"/>
      <c r="P84" s="6">
        <v>-653.74</v>
      </c>
      <c r="Q84" s="2"/>
      <c r="R84" s="7">
        <f t="shared" si="56"/>
        <v>-2.0063638076447884E-3</v>
      </c>
      <c r="S84" s="2"/>
      <c r="T84" s="6">
        <v>350</v>
      </c>
      <c r="U84" s="2"/>
      <c r="V84" s="7">
        <f t="shared" si="57"/>
        <v>7.9853981291352959E-4</v>
      </c>
      <c r="W84" s="2"/>
      <c r="X84" s="6">
        <f t="shared" si="58"/>
        <v>-1003.74</v>
      </c>
      <c r="Y84" s="2"/>
      <c r="Z84" s="7">
        <f t="shared" si="59"/>
        <v>-2.8678285714285714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6">
        <v>116.48</v>
      </c>
      <c r="E85" s="2"/>
      <c r="F85" s="7">
        <f t="shared" si="52"/>
        <v>7.5288540357643823E-4</v>
      </c>
      <c r="G85" s="2"/>
      <c r="H85" s="6"/>
      <c r="I85" s="2"/>
      <c r="J85" s="7">
        <f t="shared" si="53"/>
        <v>0</v>
      </c>
      <c r="K85" s="2"/>
      <c r="L85" s="6">
        <f t="shared" si="54"/>
        <v>116.48</v>
      </c>
      <c r="M85" s="2"/>
      <c r="N85" s="7">
        <f t="shared" si="55"/>
        <v>0</v>
      </c>
      <c r="O85" s="11"/>
      <c r="P85" s="6">
        <v>134.08000000000001</v>
      </c>
      <c r="Q85" s="2"/>
      <c r="R85" s="7">
        <f t="shared" si="56"/>
        <v>4.1149885172853617E-4</v>
      </c>
      <c r="S85" s="2"/>
      <c r="T85" s="6"/>
      <c r="U85" s="2"/>
      <c r="V85" s="7">
        <f t="shared" si="57"/>
        <v>0</v>
      </c>
      <c r="W85" s="2"/>
      <c r="X85" s="6">
        <f t="shared" si="58"/>
        <v>134.08000000000001</v>
      </c>
      <c r="Y85" s="2"/>
      <c r="Z85" s="7">
        <f t="shared" si="59"/>
        <v>0</v>
      </c>
    </row>
    <row r="86" spans="1:26" s="26" customFormat="1" outlineLevel="1" collapsed="1" x14ac:dyDescent="0.25">
      <c r="A86" s="25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78.150000000000006</v>
      </c>
      <c r="E86" s="1"/>
      <c r="F86" s="5">
        <f t="shared" ref="F86:F91" si="60">IF(D$12=0,0,D86/D$12)</f>
        <v>5.0513387954583325E-4</v>
      </c>
      <c r="G86" s="1"/>
      <c r="H86" s="1">
        <f>SUM(OSRRefH22_15x_0)</f>
        <v>50</v>
      </c>
      <c r="I86" s="1"/>
      <c r="J86" s="5">
        <f t="shared" ref="J86:J91" si="61">IF(H$12=0,0,H86/H$12)</f>
        <v>2.8011204481792715E-4</v>
      </c>
      <c r="K86" s="1"/>
      <c r="L86" s="1">
        <f t="shared" ref="L86:L91" si="62">+D86-H86</f>
        <v>28.150000000000006</v>
      </c>
      <c r="M86" s="1"/>
      <c r="N86" s="5">
        <f t="shared" ref="N86:N91" si="63">IF(H86=0,0,L86/H86)</f>
        <v>0.56300000000000017</v>
      </c>
      <c r="O86" s="13"/>
      <c r="P86" s="1">
        <f>SUM(OSRRefP22_15x_0)</f>
        <v>346.1</v>
      </c>
      <c r="Q86" s="1"/>
      <c r="R86" s="5">
        <f t="shared" ref="R86:R91" si="64">IF(P$12=0,0,P86/P$12)</f>
        <v>1.0621998253523743E-3</v>
      </c>
      <c r="S86" s="1"/>
      <c r="T86" s="1">
        <f>SUM(OSRRefT22_15x_0)</f>
        <v>200</v>
      </c>
      <c r="U86" s="1"/>
      <c r="V86" s="5">
        <f t="shared" ref="V86:V91" si="65">IF(T$12=0,0,T86/T$12)</f>
        <v>4.5630846452201688E-4</v>
      </c>
      <c r="W86" s="1"/>
      <c r="X86" s="1">
        <f t="shared" ref="X86:X91" si="66">+P86-T86</f>
        <v>146.10000000000002</v>
      </c>
      <c r="Y86" s="1"/>
      <c r="Z86" s="5">
        <f t="shared" ref="Z86:Z91" si="67">IF(T86=0,0,X86/T86)</f>
        <v>0.73050000000000015</v>
      </c>
    </row>
    <row r="87" spans="1:26" s="24" customFormat="1" hidden="1" outlineLevel="2" x14ac:dyDescent="0.25">
      <c r="A87" s="27"/>
      <c r="B87" s="11" t="str">
        <f>CONCATENATE("          ", "6309", " - ", "TELEPHONE")</f>
        <v xml:space="preserve">          6309 - TELEPHONE</v>
      </c>
      <c r="C87" s="11"/>
      <c r="D87" s="6">
        <v>78.150000000000006</v>
      </c>
      <c r="E87" s="2"/>
      <c r="F87" s="7">
        <f t="shared" si="60"/>
        <v>5.0513387954583325E-4</v>
      </c>
      <c r="G87" s="2"/>
      <c r="H87" s="6">
        <v>50</v>
      </c>
      <c r="I87" s="2"/>
      <c r="J87" s="7">
        <f t="shared" si="61"/>
        <v>2.8011204481792715E-4</v>
      </c>
      <c r="K87" s="2"/>
      <c r="L87" s="6">
        <f t="shared" si="62"/>
        <v>28.150000000000006</v>
      </c>
      <c r="M87" s="2"/>
      <c r="N87" s="7">
        <f t="shared" si="63"/>
        <v>0.56300000000000017</v>
      </c>
      <c r="O87" s="11"/>
      <c r="P87" s="6">
        <v>346.1</v>
      </c>
      <c r="Q87" s="2"/>
      <c r="R87" s="7">
        <f t="shared" si="64"/>
        <v>1.0621998253523743E-3</v>
      </c>
      <c r="S87" s="2"/>
      <c r="T87" s="6">
        <v>200</v>
      </c>
      <c r="U87" s="2"/>
      <c r="V87" s="7">
        <f t="shared" si="65"/>
        <v>4.5630846452201688E-4</v>
      </c>
      <c r="W87" s="2"/>
      <c r="X87" s="6">
        <f t="shared" si="66"/>
        <v>146.10000000000002</v>
      </c>
      <c r="Y87" s="2"/>
      <c r="Z87" s="7">
        <f t="shared" si="67"/>
        <v>0.73050000000000015</v>
      </c>
    </row>
    <row r="88" spans="1:26" s="26" customFormat="1" outlineLevel="1" collapsed="1" x14ac:dyDescent="0.25">
      <c r="A88" s="25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SUM(OSRRefD22_16x_0)</f>
        <v>0</v>
      </c>
      <c r="E88" s="1"/>
      <c r="F88" s="5">
        <f t="shared" si="60"/>
        <v>0</v>
      </c>
      <c r="G88" s="1"/>
      <c r="H88" s="1">
        <f>SUM(OSRRefH22_16x_0)</f>
        <v>0</v>
      </c>
      <c r="I88" s="1"/>
      <c r="J88" s="5">
        <f t="shared" si="61"/>
        <v>0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SUM(OSRRefP22_16x_0)</f>
        <v>380.65</v>
      </c>
      <c r="Q88" s="1"/>
      <c r="R88" s="5">
        <f t="shared" si="64"/>
        <v>1.168235664606707E-3</v>
      </c>
      <c r="S88" s="1"/>
      <c r="T88" s="1">
        <f>SUM(OSRRefT22_16x_0)</f>
        <v>500</v>
      </c>
      <c r="U88" s="1"/>
      <c r="V88" s="5">
        <f t="shared" si="65"/>
        <v>1.1407711613050423E-3</v>
      </c>
      <c r="W88" s="1"/>
      <c r="X88" s="1">
        <f t="shared" si="66"/>
        <v>-119.35000000000002</v>
      </c>
      <c r="Y88" s="1"/>
      <c r="Z88" s="5">
        <f t="shared" si="67"/>
        <v>-0.23870000000000005</v>
      </c>
    </row>
    <row r="89" spans="1:26" s="24" customFormat="1" hidden="1" outlineLevel="2" x14ac:dyDescent="0.25">
      <c r="A89" s="27"/>
      <c r="B89" s="11" t="str">
        <f>CONCATENATE("          ", "6376", " - ", "TRAINING")</f>
        <v xml:space="preserve">          6376 - TRAINING</v>
      </c>
      <c r="C89" s="11"/>
      <c r="D89" s="6"/>
      <c r="E89" s="2"/>
      <c r="F89" s="7">
        <f t="shared" si="60"/>
        <v>0</v>
      </c>
      <c r="G89" s="2"/>
      <c r="H89" s="6"/>
      <c r="I89" s="2"/>
      <c r="J89" s="7">
        <f t="shared" si="61"/>
        <v>0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380.65</v>
      </c>
      <c r="Q89" s="2"/>
      <c r="R89" s="7">
        <f t="shared" si="64"/>
        <v>1.168235664606707E-3</v>
      </c>
      <c r="S89" s="2"/>
      <c r="T89" s="6">
        <v>500</v>
      </c>
      <c r="U89" s="2"/>
      <c r="V89" s="7">
        <f t="shared" si="65"/>
        <v>1.1407711613050423E-3</v>
      </c>
      <c r="W89" s="2"/>
      <c r="X89" s="6">
        <f t="shared" si="66"/>
        <v>-119.35000000000002</v>
      </c>
      <c r="Y89" s="2"/>
      <c r="Z89" s="7">
        <f t="shared" si="67"/>
        <v>-0.23870000000000005</v>
      </c>
    </row>
    <row r="90" spans="1:26" s="26" customFormat="1" outlineLevel="1" collapsed="1" x14ac:dyDescent="0.25">
      <c r="A90" s="25"/>
      <c r="B90" s="13" t="str">
        <f>CONCATENATE("     ","Utilities                                         ")</f>
        <v xml:space="preserve">     Utilities                                         </v>
      </c>
      <c r="C90" s="13"/>
      <c r="D90" s="1">
        <f>SUM(OSRRefD22_17x_0)</f>
        <v>306</v>
      </c>
      <c r="E90" s="1"/>
      <c r="F90" s="5">
        <f t="shared" si="60"/>
        <v>1.9778754592581567E-3</v>
      </c>
      <c r="G90" s="1"/>
      <c r="H90" s="1">
        <f>SUM(OSRRefH22_17x_0)</f>
        <v>350</v>
      </c>
      <c r="I90" s="1"/>
      <c r="J90" s="5">
        <f t="shared" si="61"/>
        <v>1.9607843137254902E-3</v>
      </c>
      <c r="K90" s="1"/>
      <c r="L90" s="1">
        <f t="shared" si="62"/>
        <v>-44</v>
      </c>
      <c r="M90" s="1"/>
      <c r="N90" s="5">
        <f t="shared" si="63"/>
        <v>-0.12571428571428572</v>
      </c>
      <c r="O90" s="13"/>
      <c r="P90" s="1">
        <f>SUM(OSRRefP22_17x_0)</f>
        <v>1012</v>
      </c>
      <c r="Q90" s="1"/>
      <c r="R90" s="5">
        <f t="shared" si="64"/>
        <v>3.1058833379271969E-3</v>
      </c>
      <c r="S90" s="1"/>
      <c r="T90" s="1">
        <f>SUM(OSRRefT22_17x_0)</f>
        <v>1400</v>
      </c>
      <c r="U90" s="1"/>
      <c r="V90" s="5">
        <f t="shared" si="65"/>
        <v>3.1941592516541184E-3</v>
      </c>
      <c r="W90" s="1"/>
      <c r="X90" s="1">
        <f t="shared" si="66"/>
        <v>-388</v>
      </c>
      <c r="Y90" s="1"/>
      <c r="Z90" s="5">
        <f t="shared" si="67"/>
        <v>-0.27714285714285714</v>
      </c>
    </row>
    <row r="91" spans="1:26" s="24" customFormat="1" hidden="1" outlineLevel="2" x14ac:dyDescent="0.25">
      <c r="A91" s="27"/>
      <c r="B91" s="11" t="str">
        <f>CONCATENATE("          ", "6274", " - ", "UTILITIES")</f>
        <v xml:space="preserve">          6274 - UTILITIES</v>
      </c>
      <c r="C91" s="11"/>
      <c r="D91" s="6">
        <v>306</v>
      </c>
      <c r="E91" s="2"/>
      <c r="F91" s="7">
        <f t="shared" si="60"/>
        <v>1.9778754592581567E-3</v>
      </c>
      <c r="G91" s="2"/>
      <c r="H91" s="6">
        <v>350</v>
      </c>
      <c r="I91" s="2"/>
      <c r="J91" s="7">
        <f t="shared" si="61"/>
        <v>1.9607843137254902E-3</v>
      </c>
      <c r="K91" s="2"/>
      <c r="L91" s="6">
        <f t="shared" si="62"/>
        <v>-44</v>
      </c>
      <c r="M91" s="2"/>
      <c r="N91" s="7">
        <f t="shared" si="63"/>
        <v>-0.12571428571428572</v>
      </c>
      <c r="O91" s="11"/>
      <c r="P91" s="6">
        <v>1012</v>
      </c>
      <c r="Q91" s="2"/>
      <c r="R91" s="7">
        <f t="shared" si="64"/>
        <v>3.1058833379271969E-3</v>
      </c>
      <c r="S91" s="2"/>
      <c r="T91" s="6">
        <v>1400</v>
      </c>
      <c r="U91" s="2"/>
      <c r="V91" s="7">
        <f t="shared" si="65"/>
        <v>3.1941592516541184E-3</v>
      </c>
      <c r="W91" s="2"/>
      <c r="X91" s="6">
        <f t="shared" si="66"/>
        <v>-388</v>
      </c>
      <c r="Y91" s="2"/>
      <c r="Z91" s="7">
        <f t="shared" si="67"/>
        <v>-0.27714285714285714</v>
      </c>
    </row>
    <row r="92" spans="1:26" s="61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9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2">
        <f>+D22-D24+D93</f>
        <v>33611.860000000073</v>
      </c>
      <c r="E95" s="14"/>
      <c r="F95" s="20">
        <f>IF(D$12=0,0,D95/D$12)</f>
        <v>0.2172551406340556</v>
      </c>
      <c r="G95" s="14"/>
      <c r="H95" s="22">
        <f>+H22-H24+H93</f>
        <v>50632.356163000004</v>
      </c>
      <c r="I95" s="14"/>
      <c r="J95" s="20">
        <f>IF(H$12=0,0,H95/H$12)</f>
        <v>0.28365465637535014</v>
      </c>
      <c r="K95" s="16"/>
      <c r="L95" s="22">
        <f>+D95-H95</f>
        <v>-17020.496162999931</v>
      </c>
      <c r="M95" s="16"/>
      <c r="N95" s="20">
        <f>IF(H95=0,0,L95/H95)</f>
        <v>-0.33615848545949739</v>
      </c>
      <c r="O95" s="29"/>
      <c r="P95" s="22">
        <f>+P22-P24+P93</f>
        <v>-25451.819999999949</v>
      </c>
      <c r="Q95" s="14"/>
      <c r="R95" s="20">
        <f>IF(P$12=0,0,P95/P$12)</f>
        <v>-7.8113027329962476E-2</v>
      </c>
      <c r="S95" s="14"/>
      <c r="T95" s="22">
        <f>+T22-T24+T93</f>
        <v>69243.849386799993</v>
      </c>
      <c r="U95" s="14"/>
      <c r="V95" s="20">
        <f>IF(T$12=0,0,T95/T$12)</f>
        <v>0.15798277295642252</v>
      </c>
      <c r="W95" s="16"/>
      <c r="X95" s="22">
        <f>+P95-T95</f>
        <v>-94695.669386799942</v>
      </c>
      <c r="Y95" s="16"/>
      <c r="Z95" s="20">
        <f>IF(T95=0,0,X95/T95)</f>
        <v>-1.367567953332933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14418.45</v>
      </c>
      <c r="E97" s="4"/>
      <c r="F97" s="12">
        <f>IF(D$12=0,0,D97/D$12)</f>
        <v>9.3195746456015596E-2</v>
      </c>
      <c r="G97" s="4"/>
      <c r="H97" s="4">
        <v>19921</v>
      </c>
      <c r="I97" s="4"/>
      <c r="J97" s="12">
        <f>IF(H$12=0,0,H97/H$12)</f>
        <v>0.11160224089635855</v>
      </c>
      <c r="K97" s="4"/>
      <c r="L97" s="4">
        <f>+D97-H97</f>
        <v>-5502.5499999999993</v>
      </c>
      <c r="M97" s="4"/>
      <c r="N97" s="12">
        <f>IF(H97=0,0,L97/H97)</f>
        <v>-0.27621856332513423</v>
      </c>
      <c r="O97" s="10"/>
      <c r="P97" s="4">
        <v>32799.199999999997</v>
      </c>
      <c r="Q97" s="4"/>
      <c r="R97" s="12">
        <f>IF(P$12=0,0,P97/P$12)</f>
        <v>0.10066253831753133</v>
      </c>
      <c r="S97" s="4"/>
      <c r="T97" s="4">
        <v>52782</v>
      </c>
      <c r="U97" s="4"/>
      <c r="V97" s="12">
        <f>IF(T$12=0,0,T97/T$12)</f>
        <v>0.12042436687200547</v>
      </c>
      <c r="W97" s="4"/>
      <c r="X97" s="4">
        <f>+P97-T97</f>
        <v>-19982.800000000003</v>
      </c>
      <c r="Y97" s="4"/>
      <c r="Z97" s="12">
        <f>IF(T97=0,0,X97/T97)</f>
        <v>-0.37859118638929945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1">
        <f>+D95-D97</f>
        <v>19193.410000000073</v>
      </c>
      <c r="E99" s="14"/>
      <c r="F99" s="33">
        <f>IF(D$12=0,0,D99/D$12)</f>
        <v>0.12405939417804002</v>
      </c>
      <c r="G99" s="14"/>
      <c r="H99" s="31">
        <f>+H95-H97</f>
        <v>30711.356163000004</v>
      </c>
      <c r="I99" s="14"/>
      <c r="J99" s="33">
        <f>IF(H$12=0,0,H99/H$12)</f>
        <v>0.17205241547899161</v>
      </c>
      <c r="K99" s="16"/>
      <c r="L99" s="31">
        <f>D99-H99</f>
        <v>-11517.946162999931</v>
      </c>
      <c r="M99" s="16"/>
      <c r="N99" s="33">
        <f>IF(H99=0,0,L99/H99)</f>
        <v>-0.37503866979590961</v>
      </c>
      <c r="O99" s="29"/>
      <c r="P99" s="31">
        <f>+P95-P97</f>
        <v>-58251.019999999946</v>
      </c>
      <c r="Q99" s="14"/>
      <c r="R99" s="33">
        <f>IF(P$12=0,0,P99/P$12)</f>
        <v>-0.17877556564749381</v>
      </c>
      <c r="S99" s="14"/>
      <c r="T99" s="31">
        <f>+T95-T97</f>
        <v>16461.849386799993</v>
      </c>
      <c r="U99" s="14"/>
      <c r="V99" s="33">
        <f>IF(T$12=0,0,T99/T$12)</f>
        <v>3.7558406084417052E-2</v>
      </c>
      <c r="W99" s="16"/>
      <c r="X99" s="31">
        <f>P99-T99</f>
        <v>-74712.869386799939</v>
      </c>
      <c r="Y99" s="16"/>
      <c r="Z99" s="33">
        <f>IF(T99=0,0,X99/T99)</f>
        <v>-4.5385465284786761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2">
        <f>SUM(D99:D101)</f>
        <v>19193.410000000073</v>
      </c>
      <c r="E102" s="14"/>
      <c r="F102" s="34">
        <f>IF(D$12=0,0,D102/D$12)</f>
        <v>0.12405939417804002</v>
      </c>
      <c r="G102" s="14"/>
      <c r="H102" s="32">
        <f>SUM(H99:H101)</f>
        <v>30711.356163000004</v>
      </c>
      <c r="I102" s="14"/>
      <c r="J102" s="34">
        <f>IF(H$12=0,0,H102/H$12)</f>
        <v>0.17205241547899161</v>
      </c>
      <c r="K102" s="16"/>
      <c r="L102" s="32">
        <f>+D102-H102</f>
        <v>-11517.946162999931</v>
      </c>
      <c r="M102" s="16"/>
      <c r="N102" s="34">
        <f>IF(H102=0,0,L102/H102)</f>
        <v>-0.37503866979590961</v>
      </c>
      <c r="O102" s="29"/>
      <c r="P102" s="32">
        <f>SUM(P99:P101)</f>
        <v>-58251.019999999946</v>
      </c>
      <c r="Q102" s="14"/>
      <c r="R102" s="34">
        <f>IF(P$12=0,0,P102/P$12)</f>
        <v>-0.17877556564749381</v>
      </c>
      <c r="S102" s="14"/>
      <c r="T102" s="32">
        <f>SUM(T99:T101)</f>
        <v>16461.849386799993</v>
      </c>
      <c r="U102" s="14"/>
      <c r="V102" s="34">
        <f>IF(T$12=0,0,T102/T$12)</f>
        <v>3.7558406084417052E-2</v>
      </c>
      <c r="W102" s="16"/>
      <c r="X102" s="32">
        <f>+P102-T102</f>
        <v>-74712.869386799939</v>
      </c>
      <c r="Y102" s="16"/>
      <c r="Z102" s="34">
        <f>IF(T102=0,0,X102/T102)</f>
        <v>-4.5385465284786761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60">
        <v>43791.348429745369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4" t="s">
        <v>314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5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43350.97</v>
      </c>
      <c r="E12" s="4"/>
      <c r="F12" s="12"/>
      <c r="G12" s="4"/>
      <c r="H12" s="4">
        <f>SUM(OSRRefH13x_0)</f>
        <v>57000</v>
      </c>
      <c r="I12" s="4"/>
      <c r="J12" s="12"/>
      <c r="K12" s="4"/>
      <c r="L12" s="4">
        <f t="shared" ref="L12:L16" si="0">+D12-H12</f>
        <v>-13649.029999999999</v>
      </c>
      <c r="M12" s="4"/>
      <c r="N12" s="12">
        <f t="shared" ref="N12:N16" si="1">IF(H12=0,0,L12/H12)</f>
        <v>-0.23945666666666665</v>
      </c>
      <c r="O12" s="10"/>
      <c r="P12" s="4">
        <f>SUM(OSRRefP13x_0)</f>
        <v>99092.28</v>
      </c>
      <c r="Q12" s="4"/>
      <c r="R12" s="12"/>
      <c r="S12" s="4"/>
      <c r="T12" s="4">
        <f>SUM(OSRRefT13x_0)</f>
        <v>146000</v>
      </c>
      <c r="U12" s="4"/>
      <c r="V12" s="12"/>
      <c r="W12" s="4"/>
      <c r="X12" s="4">
        <f t="shared" ref="X12:X16" si="2">+P12-T12</f>
        <v>-46907.72</v>
      </c>
      <c r="Y12" s="4"/>
      <c r="Z12" s="12">
        <f t="shared" ref="Z12:Z16" si="3">IF(T12=0,0,X12/T12)</f>
        <v>-0.32128575342465754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7000</v>
      </c>
      <c r="I13" s="2"/>
      <c r="J13" s="19"/>
      <c r="K13" s="2"/>
      <c r="L13" s="2">
        <f t="shared" si="0"/>
        <v>-7000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25000</v>
      </c>
      <c r="U13" s="2"/>
      <c r="V13" s="19"/>
      <c r="W13" s="2"/>
      <c r="X13" s="2">
        <f t="shared" si="2"/>
        <v>-25000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--10152.62</f>
        <v>10152.620000000001</v>
      </c>
      <c r="E14" s="2"/>
      <c r="F14" s="19"/>
      <c r="G14" s="2"/>
      <c r="H14" s="2"/>
      <c r="I14" s="2"/>
      <c r="J14" s="19"/>
      <c r="K14" s="2"/>
      <c r="L14" s="2">
        <f t="shared" si="0"/>
        <v>10152.620000000001</v>
      </c>
      <c r="M14" s="2"/>
      <c r="N14" s="19">
        <f t="shared" si="1"/>
        <v>0</v>
      </c>
      <c r="O14" s="11"/>
      <c r="P14" s="2">
        <f>--24641.87</f>
        <v>24641.87</v>
      </c>
      <c r="Q14" s="2"/>
      <c r="R14" s="19"/>
      <c r="S14" s="2"/>
      <c r="T14" s="2"/>
      <c r="U14" s="2"/>
      <c r="V14" s="19"/>
      <c r="W14" s="2"/>
      <c r="X14" s="2">
        <f t="shared" si="2"/>
        <v>24641.87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50000</v>
      </c>
      <c r="I15" s="2"/>
      <c r="J15" s="19"/>
      <c r="K15" s="2"/>
      <c r="L15" s="2">
        <f t="shared" si="0"/>
        <v>-50000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121000</v>
      </c>
      <c r="U15" s="2"/>
      <c r="V15" s="19"/>
      <c r="W15" s="2"/>
      <c r="X15" s="2">
        <f t="shared" si="2"/>
        <v>-121000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--33198.35</f>
        <v>33198.35</v>
      </c>
      <c r="E16" s="2"/>
      <c r="F16" s="19"/>
      <c r="G16" s="2"/>
      <c r="H16" s="2"/>
      <c r="I16" s="2"/>
      <c r="J16" s="19"/>
      <c r="K16" s="2"/>
      <c r="L16" s="2">
        <f t="shared" si="0"/>
        <v>33198.35</v>
      </c>
      <c r="M16" s="2"/>
      <c r="N16" s="19">
        <f t="shared" si="1"/>
        <v>0</v>
      </c>
      <c r="O16" s="11"/>
      <c r="P16" s="2">
        <f>--74450.41</f>
        <v>74450.41</v>
      </c>
      <c r="Q16" s="2"/>
      <c r="R16" s="19"/>
      <c r="S16" s="2"/>
      <c r="T16" s="2"/>
      <c r="U16" s="2"/>
      <c r="V16" s="19"/>
      <c r="W16" s="2"/>
      <c r="X16" s="2">
        <f t="shared" si="2"/>
        <v>74450.41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14893.62</v>
      </c>
      <c r="E18" s="4"/>
      <c r="F18" s="12">
        <f t="shared" ref="F18:F21" si="4">IF(D$12=0,0,D18/D$12)</f>
        <v>0.34355909452545125</v>
      </c>
      <c r="G18" s="4"/>
      <c r="H18" s="4">
        <f>SUM(OSRRefH16x_0)</f>
        <v>18240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-3346.3799999999992</v>
      </c>
      <c r="M18" s="4"/>
      <c r="N18" s="12">
        <f t="shared" ref="N18:N21" si="7">IF(H18=0,0,L18/H18)</f>
        <v>-0.18346381578947363</v>
      </c>
      <c r="O18" s="10"/>
      <c r="P18" s="4">
        <f>SUM(OSRRefP16x_0)</f>
        <v>33639.449999999997</v>
      </c>
      <c r="Q18" s="4"/>
      <c r="R18" s="12">
        <f t="shared" ref="R18:R21" si="8">IF(P$12=0,0,P18/P$12)</f>
        <v>0.33947599146976937</v>
      </c>
      <c r="S18" s="4"/>
      <c r="T18" s="4">
        <f>SUM(OSRRefT16x_0)</f>
        <v>46720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-13080.550000000003</v>
      </c>
      <c r="Y18" s="4"/>
      <c r="Z18" s="12">
        <f t="shared" ref="Z18:Z21" si="11">IF(T18=0,0,X18/T18)</f>
        <v>-0.27997752568493156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18240</v>
      </c>
      <c r="I19" s="2"/>
      <c r="J19" s="19">
        <f t="shared" si="5"/>
        <v>0.32</v>
      </c>
      <c r="K19" s="2"/>
      <c r="L19" s="2">
        <f t="shared" si="6"/>
        <v>-18240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46720</v>
      </c>
      <c r="U19" s="2"/>
      <c r="V19" s="19">
        <f t="shared" si="9"/>
        <v>0.32</v>
      </c>
      <c r="W19" s="2"/>
      <c r="X19" s="2">
        <f t="shared" si="10"/>
        <v>-46720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14933.62</v>
      </c>
      <c r="E20" s="2"/>
      <c r="F20" s="19">
        <f t="shared" si="4"/>
        <v>0.34448179590906503</v>
      </c>
      <c r="G20" s="2"/>
      <c r="H20" s="2"/>
      <c r="I20" s="2"/>
      <c r="J20" s="19">
        <f t="shared" si="5"/>
        <v>0</v>
      </c>
      <c r="K20" s="2"/>
      <c r="L20" s="2">
        <f t="shared" si="6"/>
        <v>14933.62</v>
      </c>
      <c r="M20" s="2"/>
      <c r="N20" s="19">
        <f t="shared" si="7"/>
        <v>0</v>
      </c>
      <c r="O20" s="11"/>
      <c r="P20" s="2">
        <v>37764.449999999997</v>
      </c>
      <c r="Q20" s="2"/>
      <c r="R20" s="19">
        <f t="shared" si="8"/>
        <v>0.38110385592096574</v>
      </c>
      <c r="S20" s="2"/>
      <c r="T20" s="2"/>
      <c r="U20" s="2"/>
      <c r="V20" s="19">
        <f t="shared" si="9"/>
        <v>0</v>
      </c>
      <c r="W20" s="2"/>
      <c r="X20" s="2">
        <f t="shared" si="10"/>
        <v>37764.449999999997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-40</v>
      </c>
      <c r="E21" s="2"/>
      <c r="F21" s="19">
        <f t="shared" si="4"/>
        <v>-9.2270138361379226E-4</v>
      </c>
      <c r="G21" s="2"/>
      <c r="H21" s="2"/>
      <c r="I21" s="2"/>
      <c r="J21" s="19">
        <f t="shared" si="5"/>
        <v>0</v>
      </c>
      <c r="K21" s="2"/>
      <c r="L21" s="2">
        <f t="shared" si="6"/>
        <v>-40</v>
      </c>
      <c r="M21" s="2"/>
      <c r="N21" s="19">
        <f t="shared" si="7"/>
        <v>0</v>
      </c>
      <c r="O21" s="11"/>
      <c r="P21" s="2">
        <v>-4125</v>
      </c>
      <c r="Q21" s="2"/>
      <c r="R21" s="19">
        <f t="shared" si="8"/>
        <v>-4.16278644511964E-2</v>
      </c>
      <c r="S21" s="2"/>
      <c r="T21" s="2"/>
      <c r="U21" s="2"/>
      <c r="V21" s="19">
        <f t="shared" si="9"/>
        <v>0</v>
      </c>
      <c r="W21" s="2"/>
      <c r="X21" s="2">
        <f t="shared" si="10"/>
        <v>-4125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28457.35</v>
      </c>
      <c r="E23" s="14"/>
      <c r="F23" s="20">
        <f>IF(D$12=0,0,D23/D$12)</f>
        <v>0.6564409054745487</v>
      </c>
      <c r="G23" s="14"/>
      <c r="H23" s="22">
        <f>H12-H18</f>
        <v>38760</v>
      </c>
      <c r="I23" s="14"/>
      <c r="J23" s="20">
        <f>IF(H$12=0,0,H23/H$12)</f>
        <v>0.68</v>
      </c>
      <c r="K23" s="16"/>
      <c r="L23" s="22">
        <f>+D23-H23</f>
        <v>-10302.650000000001</v>
      </c>
      <c r="M23" s="16"/>
      <c r="N23" s="20">
        <f>IF(H23=0,0,L23/H23)</f>
        <v>-0.26580624355005161</v>
      </c>
      <c r="O23" s="29"/>
      <c r="P23" s="22">
        <f>P12-P18</f>
        <v>65452.83</v>
      </c>
      <c r="Q23" s="14"/>
      <c r="R23" s="20">
        <f>IF(P$12=0,0,P23/P$12)</f>
        <v>0.66052400853023063</v>
      </c>
      <c r="S23" s="14"/>
      <c r="T23" s="22">
        <f>T12-T18</f>
        <v>99280</v>
      </c>
      <c r="U23" s="14"/>
      <c r="V23" s="20">
        <f>IF(T$12=0,0,T23/T$12)</f>
        <v>0.68</v>
      </c>
      <c r="W23" s="16"/>
      <c r="X23" s="22">
        <f>+P23-T23</f>
        <v>-33827.17</v>
      </c>
      <c r="Y23" s="16"/>
      <c r="Z23" s="20">
        <f>IF(T23=0,0,X23/T23)</f>
        <v>-0.34072491941982269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29349.58</v>
      </c>
      <c r="E25" s="21"/>
      <c r="F25" s="35">
        <f t="shared" ref="F25:F35" si="12">IF(D$12=0,0,D25/D$12)</f>
        <v>0.6770224518620922</v>
      </c>
      <c r="G25" s="21"/>
      <c r="H25" s="21">
        <f>SUM(OSRRefH22x_0)</f>
        <v>21689.181975000003</v>
      </c>
      <c r="I25" s="21"/>
      <c r="J25" s="35">
        <f t="shared" ref="J25:J35" si="13">IF(H$12=0,0,H25/H$12)</f>
        <v>0.38051196447368424</v>
      </c>
      <c r="K25" s="4"/>
      <c r="L25" s="21">
        <f t="shared" ref="L25:L35" si="14">+D25-H25</f>
        <v>7660.3980249999986</v>
      </c>
      <c r="M25" s="4"/>
      <c r="N25" s="35">
        <f t="shared" ref="N25:N35" si="15">IF(H25=0,0,L25/H25)</f>
        <v>0.35318980834914582</v>
      </c>
      <c r="O25" s="10"/>
      <c r="P25" s="21">
        <f>SUM(OSRRefP22x_0)</f>
        <v>88431.080000000031</v>
      </c>
      <c r="Q25" s="21"/>
      <c r="R25" s="35">
        <f t="shared" ref="R25:R35" si="16">IF(P$12=0,0,P25/P$12)</f>
        <v>0.89241139673040148</v>
      </c>
      <c r="S25" s="21"/>
      <c r="T25" s="21">
        <f>SUM(OSRRefT22x_0)</f>
        <v>72686.518150000004</v>
      </c>
      <c r="U25" s="21"/>
      <c r="V25" s="35">
        <f t="shared" ref="V25:V35" si="17">IF(T$12=0,0,T25/T$12)</f>
        <v>0.49785286404109591</v>
      </c>
      <c r="W25" s="4"/>
      <c r="X25" s="21">
        <f t="shared" ref="X25:X35" si="18">+P25-T25</f>
        <v>15744.561850000027</v>
      </c>
      <c r="Y25" s="4"/>
      <c r="Z25" s="35">
        <f t="shared" ref="Z25:Z35" si="19">IF(T25=0,0,X25/T25)</f>
        <v>0.2166091078610845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2646.1299999999997</v>
      </c>
      <c r="E26" s="1"/>
      <c r="F26" s="5">
        <f t="shared" si="12"/>
        <v>6.1039695305549091E-2</v>
      </c>
      <c r="G26" s="1"/>
      <c r="H26" s="1">
        <f>SUM(OSRRefH22_0x_0)</f>
        <v>2745.5088980769228</v>
      </c>
      <c r="I26" s="1"/>
      <c r="J26" s="5">
        <f t="shared" si="13"/>
        <v>4.8166822773279348E-2</v>
      </c>
      <c r="K26" s="1"/>
      <c r="L26" s="1">
        <f t="shared" si="14"/>
        <v>-99.378898076923178</v>
      </c>
      <c r="M26" s="1"/>
      <c r="N26" s="5">
        <f t="shared" si="15"/>
        <v>-3.6196895281065233E-2</v>
      </c>
      <c r="O26" s="13"/>
      <c r="P26" s="1">
        <f>SUM(OSRRefP22_0x_0)</f>
        <v>8649.16</v>
      </c>
      <c r="Q26" s="1"/>
      <c r="R26" s="5">
        <f t="shared" si="16"/>
        <v>8.728389335677815E-2</v>
      </c>
      <c r="S26" s="1"/>
      <c r="T26" s="1">
        <f>SUM(OSRRefT22_0x_0)</f>
        <v>8987.0950730769218</v>
      </c>
      <c r="U26" s="1"/>
      <c r="V26" s="5">
        <f t="shared" si="17"/>
        <v>6.1555445706006316E-2</v>
      </c>
      <c r="W26" s="1"/>
      <c r="X26" s="1">
        <f t="shared" si="18"/>
        <v>-337.93507307692198</v>
      </c>
      <c r="Y26" s="1"/>
      <c r="Z26" s="5">
        <f t="shared" si="19"/>
        <v>-3.7602258608489689E-2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1471.27</v>
      </c>
      <c r="E27" s="2"/>
      <c r="F27" s="7">
        <f t="shared" si="12"/>
        <v>3.39385716167366E-2</v>
      </c>
      <c r="G27" s="2"/>
      <c r="H27" s="6">
        <v>732.02416730769198</v>
      </c>
      <c r="I27" s="2"/>
      <c r="J27" s="7">
        <f t="shared" si="13"/>
        <v>1.284252925101214E-2</v>
      </c>
      <c r="K27" s="2"/>
      <c r="L27" s="6">
        <f t="shared" si="14"/>
        <v>739.245832692308</v>
      </c>
      <c r="M27" s="2"/>
      <c r="N27" s="7">
        <f t="shared" si="15"/>
        <v>1.0098653373852076</v>
      </c>
      <c r="O27" s="11"/>
      <c r="P27" s="6">
        <v>3192.23</v>
      </c>
      <c r="Q27" s="2"/>
      <c r="R27" s="7">
        <f t="shared" si="16"/>
        <v>3.2214719451404285E-2</v>
      </c>
      <c r="S27" s="2"/>
      <c r="T27" s="6">
        <v>2277.7388423076923</v>
      </c>
      <c r="U27" s="2"/>
      <c r="V27" s="7">
        <f t="shared" si="17"/>
        <v>1.5600950974710221E-2</v>
      </c>
      <c r="W27" s="2"/>
      <c r="X27" s="6">
        <f t="shared" si="18"/>
        <v>914.49115769230775</v>
      </c>
      <c r="Y27" s="2"/>
      <c r="Z27" s="7">
        <f t="shared" si="19"/>
        <v>0.40149078582063891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25.87</v>
      </c>
      <c r="E28" s="2"/>
      <c r="F28" s="7">
        <f t="shared" si="12"/>
        <v>5.9675711985222011E-4</v>
      </c>
      <c r="G28" s="2"/>
      <c r="H28" s="6">
        <v>534.08946153846205</v>
      </c>
      <c r="I28" s="2"/>
      <c r="J28" s="7">
        <f t="shared" si="13"/>
        <v>9.369990553306352E-3</v>
      </c>
      <c r="K28" s="2"/>
      <c r="L28" s="6">
        <f t="shared" si="14"/>
        <v>-508.21946153846204</v>
      </c>
      <c r="M28" s="2"/>
      <c r="N28" s="7">
        <f t="shared" si="15"/>
        <v>-0.95156242191059037</v>
      </c>
      <c r="O28" s="11"/>
      <c r="P28" s="6">
        <v>1270.69</v>
      </c>
      <c r="Q28" s="2"/>
      <c r="R28" s="7">
        <f t="shared" si="16"/>
        <v>1.2823299655634123E-2</v>
      </c>
      <c r="S28" s="2"/>
      <c r="T28" s="6">
        <v>1597.1124615384622</v>
      </c>
      <c r="U28" s="2"/>
      <c r="V28" s="7">
        <f t="shared" si="17"/>
        <v>1.0939126448893577E-2</v>
      </c>
      <c r="W28" s="2"/>
      <c r="X28" s="6">
        <f t="shared" si="18"/>
        <v>-326.42246153846213</v>
      </c>
      <c r="Y28" s="2"/>
      <c r="Z28" s="7">
        <f t="shared" si="19"/>
        <v>-0.20438289062250931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34.97</v>
      </c>
      <c r="E29" s="2"/>
      <c r="F29" s="7">
        <f t="shared" si="12"/>
        <v>8.0667168462435787E-4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34.97</v>
      </c>
      <c r="M29" s="2"/>
      <c r="N29" s="7">
        <f t="shared" si="15"/>
        <v>0</v>
      </c>
      <c r="O29" s="11"/>
      <c r="P29" s="6">
        <v>139.88</v>
      </c>
      <c r="Q29" s="2"/>
      <c r="R29" s="7">
        <f t="shared" si="16"/>
        <v>1.4116134980444491E-3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139.88</v>
      </c>
      <c r="Y29" s="2"/>
      <c r="Z29" s="7">
        <f t="shared" si="19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52.24</v>
      </c>
      <c r="E30" s="2"/>
      <c r="F30" s="7">
        <f t="shared" si="12"/>
        <v>1.2050480069996127E-3</v>
      </c>
      <c r="G30" s="2"/>
      <c r="H30" s="6">
        <v>35.789499999999997</v>
      </c>
      <c r="I30" s="2"/>
      <c r="J30" s="7">
        <f t="shared" si="13"/>
        <v>6.2788596491228062E-4</v>
      </c>
      <c r="K30" s="2"/>
      <c r="L30" s="6">
        <f t="shared" si="14"/>
        <v>16.450500000000005</v>
      </c>
      <c r="M30" s="2"/>
      <c r="N30" s="7">
        <f t="shared" si="15"/>
        <v>0.4596459855544226</v>
      </c>
      <c r="O30" s="11"/>
      <c r="P30" s="6">
        <v>135.65</v>
      </c>
      <c r="Q30" s="2"/>
      <c r="R30" s="7">
        <f t="shared" si="16"/>
        <v>1.3689260152254042E-3</v>
      </c>
      <c r="S30" s="2"/>
      <c r="T30" s="6">
        <v>107.023</v>
      </c>
      <c r="U30" s="2"/>
      <c r="V30" s="7">
        <f t="shared" si="17"/>
        <v>7.3303424657534242E-4</v>
      </c>
      <c r="W30" s="2"/>
      <c r="X30" s="6">
        <f t="shared" si="18"/>
        <v>28.62700000000001</v>
      </c>
      <c r="Y30" s="2"/>
      <c r="Z30" s="7">
        <f t="shared" si="19"/>
        <v>0.26748455939377525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315.45</v>
      </c>
      <c r="E31" s="2"/>
      <c r="F31" s="7">
        <f t="shared" si="12"/>
        <v>7.2766537865242686E-3</v>
      </c>
      <c r="G31" s="2"/>
      <c r="H31" s="6">
        <v>485.486538461539</v>
      </c>
      <c r="I31" s="2"/>
      <c r="J31" s="7">
        <f t="shared" si="13"/>
        <v>8.5173076923077025E-3</v>
      </c>
      <c r="K31" s="2"/>
      <c r="L31" s="6">
        <f t="shared" si="14"/>
        <v>-170.03653846153901</v>
      </c>
      <c r="M31" s="2"/>
      <c r="N31" s="7">
        <f t="shared" si="15"/>
        <v>-0.35023945051158112</v>
      </c>
      <c r="O31" s="11"/>
      <c r="P31" s="6">
        <v>1261.8</v>
      </c>
      <c r="Q31" s="2"/>
      <c r="R31" s="7">
        <f t="shared" si="16"/>
        <v>1.2733585300489604E-2</v>
      </c>
      <c r="S31" s="2"/>
      <c r="T31" s="6">
        <v>1747.7515384615399</v>
      </c>
      <c r="U31" s="2"/>
      <c r="V31" s="7">
        <f t="shared" si="17"/>
        <v>1.1970900948366711E-2</v>
      </c>
      <c r="W31" s="2"/>
      <c r="X31" s="6">
        <f t="shared" si="18"/>
        <v>-485.95153846153994</v>
      </c>
      <c r="Y31" s="2"/>
      <c r="Z31" s="7">
        <f t="shared" si="19"/>
        <v>-0.27804383390175658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260.82</v>
      </c>
      <c r="E33" s="2"/>
      <c r="F33" s="7">
        <f t="shared" si="12"/>
        <v>6.0164743718537318E-3</v>
      </c>
      <c r="G33" s="2"/>
      <c r="H33" s="6">
        <v>282.25961538461502</v>
      </c>
      <c r="I33" s="2"/>
      <c r="J33" s="7">
        <f t="shared" si="13"/>
        <v>4.9519230769230708E-3</v>
      </c>
      <c r="K33" s="2"/>
      <c r="L33" s="6">
        <f t="shared" si="14"/>
        <v>-21.439615384615024</v>
      </c>
      <c r="M33" s="2"/>
      <c r="N33" s="7">
        <f t="shared" si="15"/>
        <v>-7.5957077158915531E-2</v>
      </c>
      <c r="O33" s="11"/>
      <c r="P33" s="6">
        <v>852.41</v>
      </c>
      <c r="Q33" s="2"/>
      <c r="R33" s="7">
        <f t="shared" si="16"/>
        <v>8.6021837422652903E-3</v>
      </c>
      <c r="S33" s="2"/>
      <c r="T33" s="6">
        <v>1016.1346153846141</v>
      </c>
      <c r="U33" s="2"/>
      <c r="V33" s="7">
        <f t="shared" si="17"/>
        <v>6.9598261327713292E-3</v>
      </c>
      <c r="W33" s="2"/>
      <c r="X33" s="6">
        <f t="shared" si="18"/>
        <v>-163.72461538461414</v>
      </c>
      <c r="Y33" s="2"/>
      <c r="Z33" s="7">
        <f t="shared" si="19"/>
        <v>-0.16112492666401609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312.45</v>
      </c>
      <c r="E34" s="2"/>
      <c r="F34" s="7">
        <f t="shared" si="12"/>
        <v>7.2074511827532346E-3</v>
      </c>
      <c r="G34" s="2"/>
      <c r="H34" s="6">
        <v>525.85961538461504</v>
      </c>
      <c r="I34" s="2"/>
      <c r="J34" s="7">
        <f t="shared" si="13"/>
        <v>9.2256072874493875E-3</v>
      </c>
      <c r="K34" s="2"/>
      <c r="L34" s="6">
        <f t="shared" si="14"/>
        <v>-213.40961538461505</v>
      </c>
      <c r="M34" s="2"/>
      <c r="N34" s="7">
        <f t="shared" si="15"/>
        <v>-0.4058300145914927</v>
      </c>
      <c r="O34" s="11"/>
      <c r="P34" s="6">
        <v>1059.18</v>
      </c>
      <c r="Q34" s="2"/>
      <c r="R34" s="7">
        <f t="shared" si="16"/>
        <v>1.0688824598646838E-2</v>
      </c>
      <c r="S34" s="2"/>
      <c r="T34" s="6">
        <v>1641.3346153846142</v>
      </c>
      <c r="U34" s="2"/>
      <c r="V34" s="7">
        <f t="shared" si="17"/>
        <v>1.1242017913593248E-2</v>
      </c>
      <c r="W34" s="2"/>
      <c r="X34" s="6">
        <f t="shared" si="18"/>
        <v>-582.15461538461409</v>
      </c>
      <c r="Y34" s="2"/>
      <c r="Z34" s="7">
        <f t="shared" si="19"/>
        <v>-0.35468368846178128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173.06</v>
      </c>
      <c r="E35" s="2"/>
      <c r="F35" s="7">
        <f t="shared" si="12"/>
        <v>3.9920675362050718E-3</v>
      </c>
      <c r="G35" s="2"/>
      <c r="H35" s="6">
        <v>150</v>
      </c>
      <c r="I35" s="2"/>
      <c r="J35" s="7">
        <f t="shared" si="13"/>
        <v>2.631578947368421E-3</v>
      </c>
      <c r="K35" s="2"/>
      <c r="L35" s="6">
        <f t="shared" si="14"/>
        <v>23.060000000000002</v>
      </c>
      <c r="M35" s="2"/>
      <c r="N35" s="7">
        <f t="shared" si="15"/>
        <v>0.15373333333333336</v>
      </c>
      <c r="O35" s="11"/>
      <c r="P35" s="6">
        <v>737.32</v>
      </c>
      <c r="Q35" s="2"/>
      <c r="R35" s="7">
        <f t="shared" si="16"/>
        <v>7.4407410950681529E-3</v>
      </c>
      <c r="S35" s="2"/>
      <c r="T35" s="6">
        <v>600</v>
      </c>
      <c r="U35" s="2"/>
      <c r="V35" s="7">
        <f t="shared" si="17"/>
        <v>4.10958904109589E-3</v>
      </c>
      <c r="W35" s="2"/>
      <c r="X35" s="6">
        <f t="shared" si="18"/>
        <v>137.32000000000005</v>
      </c>
      <c r="Y35" s="2"/>
      <c r="Z35" s="7">
        <f t="shared" si="19"/>
        <v>0.22886666666666675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18973.2</v>
      </c>
      <c r="E36" s="1"/>
      <c r="F36" s="5">
        <f t="shared" ref="F36:F46" si="20">IF(D$12=0,0,D36/D$12)</f>
        <v>0.43766494728953009</v>
      </c>
      <c r="G36" s="1"/>
      <c r="H36" s="1">
        <f>SUM(OSRRefH22_1x_0)</f>
        <v>13200.67307692308</v>
      </c>
      <c r="I36" s="1"/>
      <c r="J36" s="5">
        <f t="shared" ref="J36:J46" si="21">IF(H$12=0,0,H36/H$12)</f>
        <v>0.23159075573549262</v>
      </c>
      <c r="K36" s="1"/>
      <c r="L36" s="1">
        <f t="shared" ref="L36:L46" si="22">+D36-H36</f>
        <v>5772.5269230769209</v>
      </c>
      <c r="M36" s="1"/>
      <c r="N36" s="5">
        <f t="shared" ref="N36:N46" si="23">IF(H36=0,0,L36/H36)</f>
        <v>0.4372903479571989</v>
      </c>
      <c r="O36" s="13"/>
      <c r="P36" s="1">
        <f>SUM(OSRRefP22_1x_0)</f>
        <v>52950.320000000007</v>
      </c>
      <c r="Q36" s="1"/>
      <c r="R36" s="5">
        <f t="shared" ref="R36:R46" si="24">IF(P$12=0,0,P36/P$12)</f>
        <v>0.53435363481393316</v>
      </c>
      <c r="S36" s="1"/>
      <c r="T36" s="1">
        <f>SUM(OSRRefT22_1x_0)</f>
        <v>39130.423076923078</v>
      </c>
      <c r="U36" s="1"/>
      <c r="V36" s="5">
        <f t="shared" ref="V36:V46" si="25">IF(T$12=0,0,T36/T$12)</f>
        <v>0.26801659641728137</v>
      </c>
      <c r="W36" s="1"/>
      <c r="X36" s="1">
        <f t="shared" ref="X36:X46" si="26">+P36-T36</f>
        <v>13819.896923076929</v>
      </c>
      <c r="Y36" s="1"/>
      <c r="Z36" s="5">
        <f t="shared" ref="Z36:Z46" si="27">IF(T36=0,0,X36/T36)</f>
        <v>0.35317524924045929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5080.6730769230799</v>
      </c>
      <c r="I37" s="2"/>
      <c r="J37" s="7">
        <f t="shared" si="21"/>
        <v>8.9134615384615437E-2</v>
      </c>
      <c r="K37" s="2"/>
      <c r="L37" s="6">
        <f t="shared" si="22"/>
        <v>-5080.6730769230799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18290.423076923082</v>
      </c>
      <c r="U37" s="2"/>
      <c r="V37" s="7">
        <f t="shared" si="25"/>
        <v>0.12527687038988411</v>
      </c>
      <c r="W37" s="2"/>
      <c r="X37" s="6">
        <f t="shared" si="26"/>
        <v>-18290.423076923082</v>
      </c>
      <c r="Y37" s="2"/>
      <c r="Z37" s="7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5062.88</v>
      </c>
      <c r="E38" s="2"/>
      <c r="F38" s="7">
        <f t="shared" si="20"/>
        <v>0.11678815952676491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5062.88</v>
      </c>
      <c r="M38" s="2"/>
      <c r="N38" s="7">
        <f t="shared" si="23"/>
        <v>0</v>
      </c>
      <c r="O38" s="11"/>
      <c r="P38" s="6">
        <v>18589.75</v>
      </c>
      <c r="Q38" s="2"/>
      <c r="R38" s="7">
        <f t="shared" si="24"/>
        <v>0.18760038622584929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18589.75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3920</v>
      </c>
      <c r="I40" s="2"/>
      <c r="J40" s="7">
        <f t="shared" si="21"/>
        <v>6.8771929824561401E-2</v>
      </c>
      <c r="K40" s="2"/>
      <c r="L40" s="6">
        <f t="shared" si="22"/>
        <v>-3920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9440</v>
      </c>
      <c r="U40" s="2"/>
      <c r="V40" s="7">
        <f t="shared" si="25"/>
        <v>6.4657534246575346E-2</v>
      </c>
      <c r="W40" s="2"/>
      <c r="X40" s="6">
        <f t="shared" si="26"/>
        <v>-9440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8154.32</v>
      </c>
      <c r="E41" s="2"/>
      <c r="F41" s="7">
        <f t="shared" si="20"/>
        <v>0.18810005866074045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8154.32</v>
      </c>
      <c r="M41" s="2"/>
      <c r="N41" s="7">
        <f t="shared" si="23"/>
        <v>0</v>
      </c>
      <c r="O41" s="11"/>
      <c r="P41" s="6">
        <v>17129.070000000003</v>
      </c>
      <c r="Q41" s="2"/>
      <c r="R41" s="7">
        <f t="shared" si="24"/>
        <v>0.17285978282061937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17129.070000000003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110.5</v>
      </c>
      <c r="Q42" s="2"/>
      <c r="R42" s="7">
        <f t="shared" si="24"/>
        <v>1.1151221871168976E-3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110.5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5114</v>
      </c>
      <c r="E43" s="2"/>
      <c r="F43" s="7">
        <f t="shared" si="20"/>
        <v>0.11796737189502333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5114</v>
      </c>
      <c r="M43" s="2"/>
      <c r="N43" s="7">
        <f t="shared" si="23"/>
        <v>0</v>
      </c>
      <c r="O43" s="11"/>
      <c r="P43" s="6">
        <v>15825</v>
      </c>
      <c r="Q43" s="2"/>
      <c r="R43" s="7">
        <f t="shared" si="24"/>
        <v>0.15969962544004437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15825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642</v>
      </c>
      <c r="E44" s="2"/>
      <c r="F44" s="7">
        <f t="shared" si="20"/>
        <v>1.4809357207001366E-2</v>
      </c>
      <c r="G44" s="2"/>
      <c r="H44" s="6">
        <v>4200</v>
      </c>
      <c r="I44" s="2"/>
      <c r="J44" s="7">
        <f t="shared" si="21"/>
        <v>7.3684210526315783E-2</v>
      </c>
      <c r="K44" s="2"/>
      <c r="L44" s="6">
        <f t="shared" si="22"/>
        <v>-3558</v>
      </c>
      <c r="M44" s="2"/>
      <c r="N44" s="7">
        <f t="shared" si="23"/>
        <v>-0.8471428571428572</v>
      </c>
      <c r="O44" s="11"/>
      <c r="P44" s="6">
        <v>1296</v>
      </c>
      <c r="Q44" s="2"/>
      <c r="R44" s="7">
        <f t="shared" si="24"/>
        <v>1.3078718140303159E-2</v>
      </c>
      <c r="S44" s="2"/>
      <c r="T44" s="6">
        <v>11400</v>
      </c>
      <c r="U44" s="2"/>
      <c r="V44" s="7">
        <f t="shared" si="25"/>
        <v>7.8082191780821916E-2</v>
      </c>
      <c r="W44" s="2"/>
      <c r="X44" s="6">
        <f t="shared" si="26"/>
        <v>-10104</v>
      </c>
      <c r="Y44" s="2"/>
      <c r="Z44" s="7">
        <f t="shared" si="27"/>
        <v>-0.88631578947368417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338.91</v>
      </c>
      <c r="E47" s="1"/>
      <c r="F47" s="5">
        <f t="shared" ref="F47:F55" si="28">IF(D$12=0,0,D47/D$12)</f>
        <v>7.8178181480137582E-3</v>
      </c>
      <c r="G47" s="1"/>
      <c r="H47" s="1">
        <f>SUM(OSRRefH22_2x_0)</f>
        <v>200</v>
      </c>
      <c r="I47" s="1"/>
      <c r="J47" s="5">
        <f t="shared" ref="J47:J55" si="29">IF(H$12=0,0,H47/H$12)</f>
        <v>3.5087719298245615E-3</v>
      </c>
      <c r="K47" s="1"/>
      <c r="L47" s="1">
        <f t="shared" ref="L47:L55" si="30">+D47-H47</f>
        <v>138.91000000000003</v>
      </c>
      <c r="M47" s="1"/>
      <c r="N47" s="5">
        <f t="shared" ref="N47:N55" si="31">IF(H47=0,0,L47/H47)</f>
        <v>0.69455000000000011</v>
      </c>
      <c r="O47" s="13"/>
      <c r="P47" s="1">
        <f>SUM(OSRRefP22_2x_0)</f>
        <v>898.23</v>
      </c>
      <c r="Q47" s="1"/>
      <c r="R47" s="5">
        <f t="shared" ref="R47:R55" si="32">IF(P$12=0,0,P47/P$12)</f>
        <v>9.0645810147874286E-3</v>
      </c>
      <c r="S47" s="1"/>
      <c r="T47" s="1">
        <f>SUM(OSRRefT22_2x_0)</f>
        <v>600</v>
      </c>
      <c r="U47" s="1"/>
      <c r="V47" s="5">
        <f t="shared" ref="V47:V55" si="33">IF(T$12=0,0,T47/T$12)</f>
        <v>4.10958904109589E-3</v>
      </c>
      <c r="W47" s="1"/>
      <c r="X47" s="1">
        <f t="shared" ref="X47:X55" si="34">+P47-T47</f>
        <v>298.23</v>
      </c>
      <c r="Y47" s="1"/>
      <c r="Z47" s="5">
        <f t="shared" ref="Z47:Z55" si="35">IF(T47=0,0,X47/T47)</f>
        <v>0.49705000000000005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338.91</v>
      </c>
      <c r="E48" s="2"/>
      <c r="F48" s="7">
        <f t="shared" si="28"/>
        <v>7.8178181480137582E-3</v>
      </c>
      <c r="G48" s="2"/>
      <c r="H48" s="6">
        <v>200</v>
      </c>
      <c r="I48" s="2"/>
      <c r="J48" s="7">
        <f t="shared" si="29"/>
        <v>3.5087719298245615E-3</v>
      </c>
      <c r="K48" s="2"/>
      <c r="L48" s="6">
        <f t="shared" si="30"/>
        <v>138.91000000000003</v>
      </c>
      <c r="M48" s="2"/>
      <c r="N48" s="7">
        <f t="shared" si="31"/>
        <v>0.69455000000000011</v>
      </c>
      <c r="O48" s="11"/>
      <c r="P48" s="6">
        <v>898.23</v>
      </c>
      <c r="Q48" s="2"/>
      <c r="R48" s="7">
        <f t="shared" si="32"/>
        <v>9.0645810147874286E-3</v>
      </c>
      <c r="S48" s="2"/>
      <c r="T48" s="6">
        <v>600</v>
      </c>
      <c r="U48" s="2"/>
      <c r="V48" s="7">
        <f t="shared" si="33"/>
        <v>4.10958904109589E-3</v>
      </c>
      <c r="W48" s="2"/>
      <c r="X48" s="6">
        <f t="shared" si="34"/>
        <v>298.23</v>
      </c>
      <c r="Y48" s="2"/>
      <c r="Z48" s="7">
        <f t="shared" si="35"/>
        <v>0.49705000000000005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6.9</v>
      </c>
      <c r="E49" s="1"/>
      <c r="F49" s="5">
        <f t="shared" si="28"/>
        <v>1.5916598867337918E-4</v>
      </c>
      <c r="G49" s="1"/>
      <c r="H49" s="1">
        <f>SUM(OSRRefH22_3x_0)</f>
        <v>25</v>
      </c>
      <c r="I49" s="1"/>
      <c r="J49" s="5">
        <f t="shared" si="29"/>
        <v>4.3859649122807018E-4</v>
      </c>
      <c r="K49" s="1"/>
      <c r="L49" s="1">
        <f t="shared" si="30"/>
        <v>-18.100000000000001</v>
      </c>
      <c r="M49" s="1"/>
      <c r="N49" s="5">
        <f t="shared" si="31"/>
        <v>-0.72400000000000009</v>
      </c>
      <c r="O49" s="13"/>
      <c r="P49" s="1">
        <f>SUM(OSRRefP22_3x_0)</f>
        <v>-13.53</v>
      </c>
      <c r="Q49" s="1"/>
      <c r="R49" s="5">
        <f t="shared" si="32"/>
        <v>-1.3653939539992418E-4</v>
      </c>
      <c r="S49" s="1"/>
      <c r="T49" s="1">
        <f>SUM(OSRRefT22_3x_0)</f>
        <v>75</v>
      </c>
      <c r="U49" s="1"/>
      <c r="V49" s="5">
        <f t="shared" si="33"/>
        <v>5.1369863013698625E-4</v>
      </c>
      <c r="W49" s="1"/>
      <c r="X49" s="1">
        <f t="shared" si="34"/>
        <v>-88.53</v>
      </c>
      <c r="Y49" s="1"/>
      <c r="Z49" s="5">
        <f t="shared" si="35"/>
        <v>-1.1804000000000001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6.9</v>
      </c>
      <c r="E50" s="2"/>
      <c r="F50" s="7">
        <f t="shared" si="28"/>
        <v>1.5916598867337918E-4</v>
      </c>
      <c r="G50" s="2"/>
      <c r="H50" s="6">
        <v>25</v>
      </c>
      <c r="I50" s="2"/>
      <c r="J50" s="7">
        <f t="shared" si="29"/>
        <v>4.3859649122807018E-4</v>
      </c>
      <c r="K50" s="2"/>
      <c r="L50" s="6">
        <f t="shared" si="30"/>
        <v>-18.100000000000001</v>
      </c>
      <c r="M50" s="2"/>
      <c r="N50" s="7">
        <f t="shared" si="31"/>
        <v>-0.72400000000000009</v>
      </c>
      <c r="O50" s="11"/>
      <c r="P50" s="6">
        <v>-13.53</v>
      </c>
      <c r="Q50" s="2"/>
      <c r="R50" s="7">
        <f t="shared" si="32"/>
        <v>-1.3653939539992418E-4</v>
      </c>
      <c r="S50" s="2"/>
      <c r="T50" s="6">
        <v>75</v>
      </c>
      <c r="U50" s="2"/>
      <c r="V50" s="7">
        <f t="shared" si="33"/>
        <v>5.1369863013698625E-4</v>
      </c>
      <c r="W50" s="2"/>
      <c r="X50" s="6">
        <f t="shared" si="34"/>
        <v>-88.53</v>
      </c>
      <c r="Y50" s="2"/>
      <c r="Z50" s="7">
        <f t="shared" si="35"/>
        <v>-1.1804000000000001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1626.78</v>
      </c>
      <c r="E51" s="1"/>
      <c r="F51" s="5">
        <f t="shared" si="28"/>
        <v>3.7525803920881125E-2</v>
      </c>
      <c r="G51" s="1"/>
      <c r="H51" s="1">
        <f>SUM(OSRRefH22_4x_0)</f>
        <v>1410</v>
      </c>
      <c r="I51" s="1"/>
      <c r="J51" s="5">
        <f t="shared" si="29"/>
        <v>2.4736842105263158E-2</v>
      </c>
      <c r="K51" s="1"/>
      <c r="L51" s="1">
        <f t="shared" si="30"/>
        <v>216.77999999999997</v>
      </c>
      <c r="M51" s="1"/>
      <c r="N51" s="5">
        <f t="shared" si="31"/>
        <v>0.1537446808510638</v>
      </c>
      <c r="O51" s="13"/>
      <c r="P51" s="1">
        <f>SUM(OSRRefP22_4x_0)</f>
        <v>3528.96</v>
      </c>
      <c r="Q51" s="1"/>
      <c r="R51" s="5">
        <f t="shared" si="32"/>
        <v>3.5612865099077344E-2</v>
      </c>
      <c r="S51" s="1"/>
      <c r="T51" s="1">
        <f>SUM(OSRRefT22_4x_0)</f>
        <v>3512</v>
      </c>
      <c r="U51" s="1"/>
      <c r="V51" s="5">
        <f t="shared" si="33"/>
        <v>2.4054794520547946E-2</v>
      </c>
      <c r="W51" s="1"/>
      <c r="X51" s="1">
        <f t="shared" si="34"/>
        <v>16.960000000000036</v>
      </c>
      <c r="Y51" s="1"/>
      <c r="Z51" s="5">
        <f t="shared" si="35"/>
        <v>4.8291571753986432E-3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1626.78</v>
      </c>
      <c r="E52" s="2"/>
      <c r="F52" s="7">
        <f t="shared" si="28"/>
        <v>3.7525803920881125E-2</v>
      </c>
      <c r="G52" s="2"/>
      <c r="H52" s="6">
        <v>1410</v>
      </c>
      <c r="I52" s="2"/>
      <c r="J52" s="7">
        <f t="shared" si="29"/>
        <v>2.4736842105263158E-2</v>
      </c>
      <c r="K52" s="2"/>
      <c r="L52" s="6">
        <f t="shared" si="30"/>
        <v>216.77999999999997</v>
      </c>
      <c r="M52" s="2"/>
      <c r="N52" s="7">
        <f t="shared" si="31"/>
        <v>0.1537446808510638</v>
      </c>
      <c r="O52" s="11"/>
      <c r="P52" s="6">
        <v>3528.96</v>
      </c>
      <c r="Q52" s="2"/>
      <c r="R52" s="7">
        <f t="shared" si="32"/>
        <v>3.5612865099077344E-2</v>
      </c>
      <c r="S52" s="2"/>
      <c r="T52" s="6">
        <v>3512</v>
      </c>
      <c r="U52" s="2"/>
      <c r="V52" s="7">
        <f t="shared" si="33"/>
        <v>2.4054794520547946E-2</v>
      </c>
      <c r="W52" s="2"/>
      <c r="X52" s="6">
        <f t="shared" si="34"/>
        <v>16.960000000000036</v>
      </c>
      <c r="Y52" s="2"/>
      <c r="Z52" s="7">
        <f t="shared" si="35"/>
        <v>4.8291571753986432E-3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6.4019790099275747E-2</v>
      </c>
      <c r="G53" s="1"/>
      <c r="H53" s="1">
        <f>SUM(OSRRefH22_5x_0)</f>
        <v>2906</v>
      </c>
      <c r="I53" s="1"/>
      <c r="J53" s="5">
        <f t="shared" si="29"/>
        <v>5.0982456140350879E-2</v>
      </c>
      <c r="K53" s="1"/>
      <c r="L53" s="1">
        <f t="shared" si="30"/>
        <v>-130.67999999999984</v>
      </c>
      <c r="M53" s="1"/>
      <c r="N53" s="5">
        <f t="shared" si="31"/>
        <v>-4.4969029593943506E-2</v>
      </c>
      <c r="O53" s="13"/>
      <c r="P53" s="1">
        <f>SUM(OSRRefP22_5x_0)</f>
        <v>11101.28</v>
      </c>
      <c r="Q53" s="1"/>
      <c r="R53" s="5">
        <f t="shared" si="32"/>
        <v>0.11202971613934003</v>
      </c>
      <c r="S53" s="1"/>
      <c r="T53" s="1">
        <f>SUM(OSRRefT22_5x_0)</f>
        <v>10874</v>
      </c>
      <c r="U53" s="1"/>
      <c r="V53" s="5">
        <f t="shared" si="33"/>
        <v>7.4479452054794518E-2</v>
      </c>
      <c r="W53" s="1"/>
      <c r="X53" s="1">
        <f t="shared" si="34"/>
        <v>227.28000000000065</v>
      </c>
      <c r="Y53" s="1"/>
      <c r="Z53" s="5">
        <f t="shared" si="35"/>
        <v>2.0901232297222794E-2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2775.32</v>
      </c>
      <c r="E54" s="2"/>
      <c r="F54" s="7">
        <f t="shared" si="28"/>
        <v>6.4019790099275747E-2</v>
      </c>
      <c r="G54" s="2"/>
      <c r="H54" s="6">
        <v>2656</v>
      </c>
      <c r="I54" s="2"/>
      <c r="J54" s="7">
        <f t="shared" si="29"/>
        <v>4.6596491228070178E-2</v>
      </c>
      <c r="K54" s="2"/>
      <c r="L54" s="6">
        <f t="shared" si="30"/>
        <v>119.32000000000016</v>
      </c>
      <c r="M54" s="2"/>
      <c r="N54" s="7">
        <f t="shared" si="31"/>
        <v>4.4924698795180781E-2</v>
      </c>
      <c r="O54" s="11"/>
      <c r="P54" s="6">
        <v>11101.28</v>
      </c>
      <c r="Q54" s="2"/>
      <c r="R54" s="7">
        <f t="shared" si="32"/>
        <v>0.11202971613934003</v>
      </c>
      <c r="S54" s="2"/>
      <c r="T54" s="6">
        <v>10624</v>
      </c>
      <c r="U54" s="2"/>
      <c r="V54" s="7">
        <f t="shared" si="33"/>
        <v>7.2767123287671237E-2</v>
      </c>
      <c r="W54" s="2"/>
      <c r="X54" s="6">
        <f t="shared" si="34"/>
        <v>477.28000000000065</v>
      </c>
      <c r="Y54" s="2"/>
      <c r="Z54" s="7">
        <f t="shared" si="35"/>
        <v>4.4924698795180781E-2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250</v>
      </c>
      <c r="I55" s="2"/>
      <c r="J55" s="7">
        <f t="shared" si="29"/>
        <v>4.3859649122807015E-3</v>
      </c>
      <c r="K55" s="2"/>
      <c r="L55" s="6">
        <f t="shared" si="30"/>
        <v>-250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250</v>
      </c>
      <c r="U55" s="2"/>
      <c r="V55" s="7">
        <f t="shared" si="33"/>
        <v>1.7123287671232876E-3</v>
      </c>
      <c r="W55" s="2"/>
      <c r="X55" s="6">
        <f t="shared" si="34"/>
        <v>-250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SUM(OSRRefD22_6x_0)</f>
        <v>253.02</v>
      </c>
      <c r="E56" s="1"/>
      <c r="F56" s="5">
        <f t="shared" ref="F56:F63" si="36">IF(D$12=0,0,D56/D$12)</f>
        <v>5.8365476020490427E-3</v>
      </c>
      <c r="G56" s="1"/>
      <c r="H56" s="1">
        <f>SUM(OSRRefH22_6x_0)</f>
        <v>0</v>
      </c>
      <c r="I56" s="1"/>
      <c r="J56" s="5">
        <f t="shared" ref="J56:J63" si="37">IF(H$12=0,0,H56/H$12)</f>
        <v>0</v>
      </c>
      <c r="K56" s="1"/>
      <c r="L56" s="1">
        <f t="shared" ref="L56:L63" si="38">+D56-H56</f>
        <v>253.02</v>
      </c>
      <c r="M56" s="1"/>
      <c r="N56" s="5">
        <f t="shared" ref="N56:N63" si="39">IF(H56=0,0,L56/H56)</f>
        <v>0</v>
      </c>
      <c r="O56" s="13"/>
      <c r="P56" s="1">
        <f>SUM(OSRRefP22_6x_0)</f>
        <v>461.72</v>
      </c>
      <c r="Q56" s="1"/>
      <c r="R56" s="5">
        <f t="shared" ref="R56:R63" si="40">IF(P$12=0,0,P56/P$12)</f>
        <v>4.6594951695530674E-3</v>
      </c>
      <c r="S56" s="1"/>
      <c r="T56" s="1">
        <f>SUM(OSRRefT22_6x_0)</f>
        <v>0</v>
      </c>
      <c r="U56" s="1"/>
      <c r="V56" s="5">
        <f t="shared" ref="V56:V63" si="41">IF(T$12=0,0,T56/T$12)</f>
        <v>0</v>
      </c>
      <c r="W56" s="1"/>
      <c r="X56" s="1">
        <f t="shared" ref="X56:X63" si="42">+P56-T56</f>
        <v>461.72</v>
      </c>
      <c r="Y56" s="1"/>
      <c r="Z56" s="5">
        <f t="shared" ref="Z56:Z63" si="43">IF(T56=0,0,X56/T56)</f>
        <v>0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253.02</v>
      </c>
      <c r="E57" s="2"/>
      <c r="F57" s="7">
        <f t="shared" si="36"/>
        <v>5.8365476020490427E-3</v>
      </c>
      <c r="G57" s="2"/>
      <c r="H57" s="6"/>
      <c r="I57" s="2"/>
      <c r="J57" s="7">
        <f t="shared" si="37"/>
        <v>0</v>
      </c>
      <c r="K57" s="2"/>
      <c r="L57" s="6">
        <f t="shared" si="38"/>
        <v>253.02</v>
      </c>
      <c r="M57" s="2"/>
      <c r="N57" s="7">
        <f t="shared" si="39"/>
        <v>0</v>
      </c>
      <c r="O57" s="11"/>
      <c r="P57" s="6">
        <v>461.72</v>
      </c>
      <c r="Q57" s="2"/>
      <c r="R57" s="7">
        <f t="shared" si="40"/>
        <v>4.6594951695530674E-3</v>
      </c>
      <c r="S57" s="2"/>
      <c r="T57" s="6"/>
      <c r="U57" s="2"/>
      <c r="V57" s="7">
        <f t="shared" si="41"/>
        <v>0</v>
      </c>
      <c r="W57" s="2"/>
      <c r="X57" s="6">
        <f t="shared" si="42"/>
        <v>461.72</v>
      </c>
      <c r="Y57" s="2"/>
      <c r="Z57" s="7">
        <f t="shared" si="43"/>
        <v>0</v>
      </c>
    </row>
    <row r="58" spans="1:26" s="26" customFormat="1" outlineLevel="1" collapsed="1" x14ac:dyDescent="0.25">
      <c r="A58" s="25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749.55</v>
      </c>
      <c r="Q58" s="1"/>
      <c r="R58" s="5">
        <f t="shared" si="40"/>
        <v>7.5641614059137599E-3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749.55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749.55</v>
      </c>
      <c r="Q59" s="2"/>
      <c r="R59" s="7">
        <f t="shared" si="40"/>
        <v>7.5641614059137599E-3</v>
      </c>
      <c r="S59" s="2"/>
      <c r="T59" s="6"/>
      <c r="U59" s="2"/>
      <c r="V59" s="7">
        <f t="shared" si="41"/>
        <v>0</v>
      </c>
      <c r="W59" s="2"/>
      <c r="X59" s="6">
        <f t="shared" si="42"/>
        <v>749.55</v>
      </c>
      <c r="Y59" s="2"/>
      <c r="Z59" s="7">
        <f t="shared" si="43"/>
        <v>0</v>
      </c>
    </row>
    <row r="60" spans="1:26" s="26" customFormat="1" outlineLevel="1" collapsed="1" x14ac:dyDescent="0.25">
      <c r="A60" s="25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335.99</v>
      </c>
      <c r="E60" s="1"/>
      <c r="F60" s="5">
        <f t="shared" si="36"/>
        <v>7.7504609470099512E-3</v>
      </c>
      <c r="G60" s="1"/>
      <c r="H60" s="1">
        <f>SUM(OSRRefH22_8x_0)</f>
        <v>50</v>
      </c>
      <c r="I60" s="1"/>
      <c r="J60" s="5">
        <f t="shared" si="37"/>
        <v>8.7719298245614037E-4</v>
      </c>
      <c r="K60" s="1"/>
      <c r="L60" s="1">
        <f t="shared" si="38"/>
        <v>285.99</v>
      </c>
      <c r="M60" s="1"/>
      <c r="N60" s="5">
        <f t="shared" si="39"/>
        <v>5.7198000000000002</v>
      </c>
      <c r="O60" s="13"/>
      <c r="P60" s="1">
        <f>SUM(OSRRefP22_8x_0)</f>
        <v>4631.76</v>
      </c>
      <c r="Q60" s="1"/>
      <c r="R60" s="5">
        <f t="shared" si="40"/>
        <v>4.6741885442539016E-2</v>
      </c>
      <c r="S60" s="1"/>
      <c r="T60" s="1">
        <f>SUM(OSRRefT22_8x_0)</f>
        <v>600</v>
      </c>
      <c r="U60" s="1"/>
      <c r="V60" s="5">
        <f t="shared" si="41"/>
        <v>4.10958904109589E-3</v>
      </c>
      <c r="W60" s="1"/>
      <c r="X60" s="1">
        <f t="shared" si="42"/>
        <v>4031.76</v>
      </c>
      <c r="Y60" s="1"/>
      <c r="Z60" s="5">
        <f t="shared" si="43"/>
        <v>6.7196000000000007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36"/>
        <v>0</v>
      </c>
      <c r="G61" s="2"/>
      <c r="H61" s="6">
        <v>50</v>
      </c>
      <c r="I61" s="2"/>
      <c r="J61" s="7">
        <f t="shared" si="37"/>
        <v>8.7719298245614037E-4</v>
      </c>
      <c r="K61" s="2"/>
      <c r="L61" s="6">
        <f t="shared" si="38"/>
        <v>-50</v>
      </c>
      <c r="M61" s="2"/>
      <c r="N61" s="7">
        <f t="shared" si="39"/>
        <v>-1</v>
      </c>
      <c r="O61" s="11"/>
      <c r="P61" s="6">
        <v>2186.54</v>
      </c>
      <c r="Q61" s="2"/>
      <c r="R61" s="7">
        <f t="shared" si="40"/>
        <v>2.2065694724150056E-2</v>
      </c>
      <c r="S61" s="2"/>
      <c r="T61" s="6">
        <v>200</v>
      </c>
      <c r="U61" s="2"/>
      <c r="V61" s="7">
        <f t="shared" si="41"/>
        <v>1.3698630136986301E-3</v>
      </c>
      <c r="W61" s="2"/>
      <c r="X61" s="6">
        <f t="shared" si="42"/>
        <v>1986.54</v>
      </c>
      <c r="Y61" s="2"/>
      <c r="Z61" s="7">
        <f t="shared" si="43"/>
        <v>9.9327000000000005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65.989999999999995</v>
      </c>
      <c r="E62" s="2"/>
      <c r="F62" s="7">
        <f t="shared" si="36"/>
        <v>1.5222266076168535E-3</v>
      </c>
      <c r="G62" s="2"/>
      <c r="H62" s="6"/>
      <c r="I62" s="2"/>
      <c r="J62" s="7">
        <f t="shared" si="37"/>
        <v>0</v>
      </c>
      <c r="K62" s="2"/>
      <c r="L62" s="6">
        <f t="shared" si="38"/>
        <v>65.989999999999995</v>
      </c>
      <c r="M62" s="2"/>
      <c r="N62" s="7">
        <f t="shared" si="39"/>
        <v>0</v>
      </c>
      <c r="O62" s="11"/>
      <c r="P62" s="6">
        <v>65.989999999999995</v>
      </c>
      <c r="Q62" s="2"/>
      <c r="R62" s="7">
        <f t="shared" si="40"/>
        <v>6.6594491518410918E-4</v>
      </c>
      <c r="S62" s="2"/>
      <c r="T62" s="6"/>
      <c r="U62" s="2"/>
      <c r="V62" s="7">
        <f t="shared" si="41"/>
        <v>0</v>
      </c>
      <c r="W62" s="2"/>
      <c r="X62" s="6">
        <f t="shared" si="42"/>
        <v>65.989999999999995</v>
      </c>
      <c r="Y62" s="2"/>
      <c r="Z62" s="7">
        <f t="shared" si="43"/>
        <v>0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270</v>
      </c>
      <c r="E63" s="2"/>
      <c r="F63" s="7">
        <f t="shared" si="36"/>
        <v>6.2282343393930979E-3</v>
      </c>
      <c r="G63" s="2"/>
      <c r="H63" s="6"/>
      <c r="I63" s="2"/>
      <c r="J63" s="7">
        <f t="shared" si="37"/>
        <v>0</v>
      </c>
      <c r="K63" s="2"/>
      <c r="L63" s="6">
        <f t="shared" si="38"/>
        <v>270</v>
      </c>
      <c r="M63" s="2"/>
      <c r="N63" s="7">
        <f t="shared" si="39"/>
        <v>0</v>
      </c>
      <c r="O63" s="11"/>
      <c r="P63" s="6">
        <v>2379.23</v>
      </c>
      <c r="Q63" s="2"/>
      <c r="R63" s="7">
        <f t="shared" si="40"/>
        <v>2.4010245803204853E-2</v>
      </c>
      <c r="S63" s="2"/>
      <c r="T63" s="6">
        <v>400</v>
      </c>
      <c r="U63" s="2"/>
      <c r="V63" s="7">
        <f t="shared" si="41"/>
        <v>2.7397260273972603E-3</v>
      </c>
      <c r="W63" s="2"/>
      <c r="X63" s="6">
        <f t="shared" si="42"/>
        <v>1979.23</v>
      </c>
      <c r="Y63" s="2"/>
      <c r="Z63" s="7">
        <f t="shared" si="43"/>
        <v>4.9480750000000002</v>
      </c>
    </row>
    <row r="64" spans="1:26" s="26" customFormat="1" outlineLevel="1" collapsed="1" x14ac:dyDescent="0.25">
      <c r="A64" s="25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SUM(OSRRefD22_9x_0)</f>
        <v>147.6</v>
      </c>
      <c r="E64" s="1"/>
      <c r="F64" s="5">
        <f t="shared" ref="F64:F67" si="44">IF(D$12=0,0,D64/D$12)</f>
        <v>3.4047681055348932E-3</v>
      </c>
      <c r="G64" s="1"/>
      <c r="H64" s="1">
        <f>SUM(OSRRefH22_9x_0)</f>
        <v>546</v>
      </c>
      <c r="I64" s="1"/>
      <c r="J64" s="5">
        <f t="shared" ref="J64:J67" si="45">IF(H$12=0,0,H64/H$12)</f>
        <v>9.5789473684210532E-3</v>
      </c>
      <c r="K64" s="1"/>
      <c r="L64" s="1">
        <f t="shared" ref="L64:L67" si="46">+D64-H64</f>
        <v>-398.4</v>
      </c>
      <c r="M64" s="1"/>
      <c r="N64" s="5">
        <f t="shared" ref="N64:N67" si="47">IF(H64=0,0,L64/H64)</f>
        <v>-0.72967032967032963</v>
      </c>
      <c r="O64" s="13"/>
      <c r="P64" s="1">
        <f>SUM(OSRRefP22_9x_0)</f>
        <v>188.52</v>
      </c>
      <c r="Q64" s="1"/>
      <c r="R64" s="5">
        <f t="shared" ref="R64:R67" si="48">IF(P$12=0,0,P64/P$12)</f>
        <v>1.9024690924459506E-3</v>
      </c>
      <c r="S64" s="1"/>
      <c r="T64" s="1">
        <f>SUM(OSRRefT22_9x_0)</f>
        <v>2184</v>
      </c>
      <c r="U64" s="1"/>
      <c r="V64" s="5">
        <f t="shared" ref="V64:V67" si="49">IF(T$12=0,0,T64/T$12)</f>
        <v>1.4958904109589041E-2</v>
      </c>
      <c r="W64" s="1"/>
      <c r="X64" s="1">
        <f t="shared" ref="X64:X67" si="50">+P64-T64</f>
        <v>-1995.48</v>
      </c>
      <c r="Y64" s="1"/>
      <c r="Z64" s="5">
        <f t="shared" ref="Z64:Z67" si="51">IF(T64=0,0,X64/T64)</f>
        <v>-0.91368131868131874</v>
      </c>
    </row>
    <row r="65" spans="1:26" s="24" customFormat="1" hidden="1" outlineLevel="2" x14ac:dyDescent="0.25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6"/>
      <c r="E65" s="2"/>
      <c r="F65" s="7">
        <f t="shared" si="44"/>
        <v>0</v>
      </c>
      <c r="G65" s="2"/>
      <c r="H65" s="6">
        <v>50</v>
      </c>
      <c r="I65" s="2"/>
      <c r="J65" s="7">
        <f t="shared" si="45"/>
        <v>8.7719298245614037E-4</v>
      </c>
      <c r="K65" s="2"/>
      <c r="L65" s="6">
        <f t="shared" si="46"/>
        <v>-50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200</v>
      </c>
      <c r="U65" s="2"/>
      <c r="V65" s="7">
        <f t="shared" si="49"/>
        <v>1.3698630136986301E-3</v>
      </c>
      <c r="W65" s="2"/>
      <c r="X65" s="6">
        <f t="shared" si="50"/>
        <v>-200</v>
      </c>
      <c r="Y65" s="2"/>
      <c r="Z65" s="7">
        <f t="shared" si="51"/>
        <v>-1</v>
      </c>
    </row>
    <row r="66" spans="1:26" s="24" customFormat="1" hidden="1" outlineLevel="2" x14ac:dyDescent="0.25">
      <c r="A66" s="27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44"/>
        <v>0</v>
      </c>
      <c r="G66" s="2"/>
      <c r="H66" s="6">
        <v>396</v>
      </c>
      <c r="I66" s="2"/>
      <c r="J66" s="7">
        <f t="shared" si="45"/>
        <v>6.9473684210526318E-3</v>
      </c>
      <c r="K66" s="2"/>
      <c r="L66" s="6">
        <f t="shared" si="46"/>
        <v>-396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1584</v>
      </c>
      <c r="U66" s="2"/>
      <c r="V66" s="7">
        <f t="shared" si="49"/>
        <v>1.084931506849315E-2</v>
      </c>
      <c r="W66" s="2"/>
      <c r="X66" s="6">
        <f t="shared" si="50"/>
        <v>-1584</v>
      </c>
      <c r="Y66" s="2"/>
      <c r="Z66" s="7">
        <f t="shared" si="51"/>
        <v>-1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6">
        <v>147.6</v>
      </c>
      <c r="E67" s="2"/>
      <c r="F67" s="7">
        <f t="shared" si="44"/>
        <v>3.4047681055348932E-3</v>
      </c>
      <c r="G67" s="2"/>
      <c r="H67" s="6">
        <v>100</v>
      </c>
      <c r="I67" s="2"/>
      <c r="J67" s="7">
        <f t="shared" si="45"/>
        <v>1.7543859649122807E-3</v>
      </c>
      <c r="K67" s="2"/>
      <c r="L67" s="6">
        <f t="shared" si="46"/>
        <v>47.599999999999994</v>
      </c>
      <c r="M67" s="2"/>
      <c r="N67" s="7">
        <f t="shared" si="47"/>
        <v>0.47599999999999992</v>
      </c>
      <c r="O67" s="11"/>
      <c r="P67" s="6">
        <v>188.52</v>
      </c>
      <c r="Q67" s="2"/>
      <c r="R67" s="7">
        <f t="shared" si="48"/>
        <v>1.9024690924459506E-3</v>
      </c>
      <c r="S67" s="2"/>
      <c r="T67" s="6">
        <v>400</v>
      </c>
      <c r="U67" s="2"/>
      <c r="V67" s="7">
        <f t="shared" si="49"/>
        <v>2.7397260273972603E-3</v>
      </c>
      <c r="W67" s="2"/>
      <c r="X67" s="6">
        <f t="shared" si="50"/>
        <v>-211.48</v>
      </c>
      <c r="Y67" s="2"/>
      <c r="Z67" s="7">
        <f t="shared" si="51"/>
        <v>-0.52869999999999995</v>
      </c>
    </row>
    <row r="68" spans="1:26" s="26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SUM(OSRRefD22_10x_0)</f>
        <v>2159.73</v>
      </c>
      <c r="E68" s="1"/>
      <c r="F68" s="5">
        <f t="shared" ref="F68:F74" si="52">IF(D$12=0,0,D68/D$12)</f>
        <v>4.9819646480805391E-2</v>
      </c>
      <c r="G68" s="1"/>
      <c r="H68" s="1">
        <f>SUM(OSRRefH22_10x_0)</f>
        <v>511</v>
      </c>
      <c r="I68" s="1"/>
      <c r="J68" s="5">
        <f t="shared" ref="J68:J74" si="53">IF(H$12=0,0,H68/H$12)</f>
        <v>8.9649122807017537E-3</v>
      </c>
      <c r="K68" s="1"/>
      <c r="L68" s="1">
        <f t="shared" ref="L68:L74" si="54">+D68-H68</f>
        <v>1648.73</v>
      </c>
      <c r="M68" s="1"/>
      <c r="N68" s="5">
        <f t="shared" ref="N68:N74" si="55">IF(H68=0,0,L68/H68)</f>
        <v>3.2264774951076323</v>
      </c>
      <c r="O68" s="13"/>
      <c r="P68" s="1">
        <f>SUM(OSRRefP22_10x_0)</f>
        <v>4783.16</v>
      </c>
      <c r="Q68" s="1"/>
      <c r="R68" s="5">
        <f t="shared" ref="R68:R74" si="56">IF(P$12=0,0,P68/P$12)</f>
        <v>4.8269754212941711E-2</v>
      </c>
      <c r="S68" s="1"/>
      <c r="T68" s="1">
        <f>SUM(OSRRefT22_10x_0)</f>
        <v>2344</v>
      </c>
      <c r="U68" s="1"/>
      <c r="V68" s="5">
        <f t="shared" ref="V68:V74" si="57">IF(T$12=0,0,T68/T$12)</f>
        <v>1.6054794520547946E-2</v>
      </c>
      <c r="W68" s="1"/>
      <c r="X68" s="1">
        <f t="shared" ref="X68:X74" si="58">+P68-T68</f>
        <v>2439.16</v>
      </c>
      <c r="Y68" s="1"/>
      <c r="Z68" s="5">
        <f t="shared" ref="Z68:Z74" si="59">IF(T68=0,0,X68/T68)</f>
        <v>1.0405972696245733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2"/>
        <v>0</v>
      </c>
      <c r="G69" s="2"/>
      <c r="H69" s="6">
        <v>11</v>
      </c>
      <c r="I69" s="2"/>
      <c r="J69" s="7">
        <f t="shared" si="53"/>
        <v>1.9298245614035088E-4</v>
      </c>
      <c r="K69" s="2"/>
      <c r="L69" s="6">
        <f t="shared" si="54"/>
        <v>-11</v>
      </c>
      <c r="M69" s="2"/>
      <c r="N69" s="7">
        <f t="shared" si="55"/>
        <v>-1</v>
      </c>
      <c r="O69" s="11"/>
      <c r="P69" s="6"/>
      <c r="Q69" s="2"/>
      <c r="R69" s="7">
        <f t="shared" si="56"/>
        <v>0</v>
      </c>
      <c r="S69" s="2"/>
      <c r="T69" s="6">
        <v>44</v>
      </c>
      <c r="U69" s="2"/>
      <c r="V69" s="7">
        <f t="shared" si="57"/>
        <v>3.0136986301369865E-4</v>
      </c>
      <c r="W69" s="2"/>
      <c r="X69" s="6">
        <f t="shared" si="58"/>
        <v>-44</v>
      </c>
      <c r="Y69" s="2"/>
      <c r="Z69" s="7">
        <f t="shared" si="59"/>
        <v>-1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6">
        <v>1803.14</v>
      </c>
      <c r="E70" s="2"/>
      <c r="F70" s="7">
        <f t="shared" si="52"/>
        <v>4.1593994321234333E-2</v>
      </c>
      <c r="G70" s="2"/>
      <c r="H70" s="6"/>
      <c r="I70" s="2"/>
      <c r="J70" s="7">
        <f t="shared" si="53"/>
        <v>0</v>
      </c>
      <c r="K70" s="2"/>
      <c r="L70" s="6">
        <f t="shared" si="54"/>
        <v>1803.14</v>
      </c>
      <c r="M70" s="2"/>
      <c r="N70" s="7">
        <f t="shared" si="55"/>
        <v>0</v>
      </c>
      <c r="O70" s="11"/>
      <c r="P70" s="6">
        <v>2672.21</v>
      </c>
      <c r="Q70" s="2"/>
      <c r="R70" s="7">
        <f t="shared" si="56"/>
        <v>2.6966883797607644E-2</v>
      </c>
      <c r="S70" s="2"/>
      <c r="T70" s="6">
        <v>300</v>
      </c>
      <c r="U70" s="2"/>
      <c r="V70" s="7">
        <f t="shared" si="57"/>
        <v>2.054794520547945E-3</v>
      </c>
      <c r="W70" s="2"/>
      <c r="X70" s="6">
        <f t="shared" si="58"/>
        <v>2372.21</v>
      </c>
      <c r="Y70" s="2"/>
      <c r="Z70" s="7">
        <f t="shared" si="59"/>
        <v>7.9073666666666664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6">
        <v>24.07</v>
      </c>
      <c r="E71" s="2"/>
      <c r="F71" s="7">
        <f t="shared" si="52"/>
        <v>5.5523555758959944E-4</v>
      </c>
      <c r="G71" s="2"/>
      <c r="H71" s="6"/>
      <c r="I71" s="2"/>
      <c r="J71" s="7">
        <f t="shared" si="53"/>
        <v>0</v>
      </c>
      <c r="K71" s="2"/>
      <c r="L71" s="6">
        <f t="shared" si="54"/>
        <v>24.07</v>
      </c>
      <c r="M71" s="2"/>
      <c r="N71" s="7">
        <f t="shared" si="55"/>
        <v>0</v>
      </c>
      <c r="O71" s="11"/>
      <c r="P71" s="6">
        <v>489.96</v>
      </c>
      <c r="Q71" s="2"/>
      <c r="R71" s="7">
        <f t="shared" si="56"/>
        <v>4.9444820524868335E-3</v>
      </c>
      <c r="S71" s="2"/>
      <c r="T71" s="6"/>
      <c r="U71" s="2"/>
      <c r="V71" s="7">
        <f t="shared" si="57"/>
        <v>0</v>
      </c>
      <c r="W71" s="2"/>
      <c r="X71" s="6">
        <f t="shared" si="58"/>
        <v>489.96</v>
      </c>
      <c r="Y71" s="2"/>
      <c r="Z71" s="7">
        <f t="shared" si="59"/>
        <v>0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6">
        <v>332.52</v>
      </c>
      <c r="E72" s="2"/>
      <c r="F72" s="7">
        <f t="shared" si="52"/>
        <v>7.6704166019814545E-3</v>
      </c>
      <c r="G72" s="2"/>
      <c r="H72" s="6">
        <v>500</v>
      </c>
      <c r="I72" s="2"/>
      <c r="J72" s="7">
        <f t="shared" si="53"/>
        <v>8.771929824561403E-3</v>
      </c>
      <c r="K72" s="2"/>
      <c r="L72" s="6">
        <f t="shared" si="54"/>
        <v>-167.48000000000002</v>
      </c>
      <c r="M72" s="2"/>
      <c r="N72" s="7">
        <f t="shared" si="55"/>
        <v>-0.33496000000000004</v>
      </c>
      <c r="O72" s="11"/>
      <c r="P72" s="6">
        <v>881.32</v>
      </c>
      <c r="Q72" s="2"/>
      <c r="R72" s="7">
        <f t="shared" si="56"/>
        <v>8.8939319995462816E-3</v>
      </c>
      <c r="S72" s="2"/>
      <c r="T72" s="6">
        <v>1400</v>
      </c>
      <c r="U72" s="2"/>
      <c r="V72" s="7">
        <f t="shared" si="57"/>
        <v>9.5890410958904115E-3</v>
      </c>
      <c r="W72" s="2"/>
      <c r="X72" s="6">
        <f t="shared" si="58"/>
        <v>-518.67999999999995</v>
      </c>
      <c r="Y72" s="2"/>
      <c r="Z72" s="7">
        <f t="shared" si="59"/>
        <v>-0.37048571428571425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102.64</v>
      </c>
      <c r="Q73" s="2"/>
      <c r="R73" s="7">
        <f t="shared" si="56"/>
        <v>1.0358021835807996E-3</v>
      </c>
      <c r="S73" s="2"/>
      <c r="T73" s="6"/>
      <c r="U73" s="2"/>
      <c r="V73" s="7">
        <f t="shared" si="57"/>
        <v>0</v>
      </c>
      <c r="W73" s="2"/>
      <c r="X73" s="6">
        <f t="shared" si="58"/>
        <v>102.64</v>
      </c>
      <c r="Y73" s="2"/>
      <c r="Z73" s="7">
        <f t="shared" si="59"/>
        <v>0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>
        <v>637.03</v>
      </c>
      <c r="Q74" s="2"/>
      <c r="R74" s="7">
        <f t="shared" si="56"/>
        <v>6.4286541797201552E-3</v>
      </c>
      <c r="S74" s="2"/>
      <c r="T74" s="6">
        <v>600</v>
      </c>
      <c r="U74" s="2"/>
      <c r="V74" s="7">
        <f t="shared" si="57"/>
        <v>4.10958904109589E-3</v>
      </c>
      <c r="W74" s="2"/>
      <c r="X74" s="6">
        <f t="shared" si="58"/>
        <v>37.029999999999973</v>
      </c>
      <c r="Y74" s="2"/>
      <c r="Z74" s="7">
        <f t="shared" si="59"/>
        <v>6.1716666666666621E-2</v>
      </c>
    </row>
    <row r="75" spans="1:26" s="26" customFormat="1" outlineLevel="1" collapsed="1" x14ac:dyDescent="0.25">
      <c r="A75" s="25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SUM(OSRRefD22_11x_0)</f>
        <v>86</v>
      </c>
      <c r="E75" s="1"/>
      <c r="F75" s="5">
        <f t="shared" ref="F75:F77" si="60">IF(D$12=0,0,D75/D$12)</f>
        <v>1.9838079747696532E-3</v>
      </c>
      <c r="G75" s="1"/>
      <c r="H75" s="1">
        <f>SUM(OSRRefH22_11x_0)</f>
        <v>95</v>
      </c>
      <c r="I75" s="1"/>
      <c r="J75" s="5">
        <f t="shared" ref="J75:J77" si="61">IF(H$12=0,0,H75/H$12)</f>
        <v>1.6666666666666668E-3</v>
      </c>
      <c r="K75" s="1"/>
      <c r="L75" s="1">
        <f t="shared" ref="L75:L77" si="62">+D75-H75</f>
        <v>-9</v>
      </c>
      <c r="M75" s="1"/>
      <c r="N75" s="5">
        <f t="shared" ref="N75:N77" si="63">IF(H75=0,0,L75/H75)</f>
        <v>-9.4736842105263161E-2</v>
      </c>
      <c r="O75" s="13"/>
      <c r="P75" s="1">
        <f>SUM(OSRRefP22_11x_0)</f>
        <v>349</v>
      </c>
      <c r="Q75" s="1"/>
      <c r="R75" s="5">
        <f t="shared" ref="R75:R77" si="64">IF(P$12=0,0,P75/P$12)</f>
        <v>3.5219696226587984E-3</v>
      </c>
      <c r="S75" s="1"/>
      <c r="T75" s="1">
        <f>SUM(OSRRefT22_11x_0)</f>
        <v>380</v>
      </c>
      <c r="U75" s="1"/>
      <c r="V75" s="5">
        <f t="shared" ref="V75:V77" si="65">IF(T$12=0,0,T75/T$12)</f>
        <v>2.6027397260273972E-3</v>
      </c>
      <c r="W75" s="1"/>
      <c r="X75" s="1">
        <f t="shared" ref="X75:X77" si="66">+P75-T75</f>
        <v>-31</v>
      </c>
      <c r="Y75" s="1"/>
      <c r="Z75" s="5">
        <f t="shared" ref="Z75:Z77" si="67">IF(T75=0,0,X75/T75)</f>
        <v>-8.1578947368421056E-2</v>
      </c>
    </row>
    <row r="76" spans="1:26" s="24" customFormat="1" hidden="1" outlineLevel="2" x14ac:dyDescent="0.25">
      <c r="A76" s="27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0"/>
        <v>0</v>
      </c>
      <c r="G76" s="2"/>
      <c r="H76" s="6">
        <v>50</v>
      </c>
      <c r="I76" s="2"/>
      <c r="J76" s="7">
        <f t="shared" si="61"/>
        <v>8.7719298245614037E-4</v>
      </c>
      <c r="K76" s="2"/>
      <c r="L76" s="6">
        <f t="shared" si="62"/>
        <v>-50</v>
      </c>
      <c r="M76" s="2"/>
      <c r="N76" s="7">
        <f t="shared" si="63"/>
        <v>-1</v>
      </c>
      <c r="O76" s="11"/>
      <c r="P76" s="6"/>
      <c r="Q76" s="2"/>
      <c r="R76" s="7">
        <f t="shared" si="64"/>
        <v>0</v>
      </c>
      <c r="S76" s="2"/>
      <c r="T76" s="6">
        <v>200</v>
      </c>
      <c r="U76" s="2"/>
      <c r="V76" s="7">
        <f t="shared" si="65"/>
        <v>1.3698630136986301E-3</v>
      </c>
      <c r="W76" s="2"/>
      <c r="X76" s="6">
        <f t="shared" si="66"/>
        <v>-200</v>
      </c>
      <c r="Y76" s="2"/>
      <c r="Z76" s="7">
        <f t="shared" si="67"/>
        <v>-1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86</v>
      </c>
      <c r="E77" s="2"/>
      <c r="F77" s="7">
        <f t="shared" si="60"/>
        <v>1.9838079747696532E-3</v>
      </c>
      <c r="G77" s="2"/>
      <c r="H77" s="6">
        <v>45</v>
      </c>
      <c r="I77" s="2"/>
      <c r="J77" s="7">
        <f t="shared" si="61"/>
        <v>7.894736842105263E-4</v>
      </c>
      <c r="K77" s="2"/>
      <c r="L77" s="6">
        <f t="shared" si="62"/>
        <v>41</v>
      </c>
      <c r="M77" s="2"/>
      <c r="N77" s="7">
        <f t="shared" si="63"/>
        <v>0.91111111111111109</v>
      </c>
      <c r="O77" s="11"/>
      <c r="P77" s="6">
        <v>349</v>
      </c>
      <c r="Q77" s="2"/>
      <c r="R77" s="7">
        <f t="shared" si="64"/>
        <v>3.5219696226587984E-3</v>
      </c>
      <c r="S77" s="2"/>
      <c r="T77" s="6">
        <v>180</v>
      </c>
      <c r="U77" s="2"/>
      <c r="V77" s="7">
        <f t="shared" si="65"/>
        <v>1.2328767123287671E-3</v>
      </c>
      <c r="W77" s="2"/>
      <c r="X77" s="6">
        <f t="shared" si="66"/>
        <v>169</v>
      </c>
      <c r="Y77" s="2"/>
      <c r="Z77" s="7">
        <f t="shared" si="67"/>
        <v>0.93888888888888888</v>
      </c>
    </row>
    <row r="78" spans="1:26" s="26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SUM(OSRRefD22_12x_0)</f>
        <v>0</v>
      </c>
      <c r="E78" s="1"/>
      <c r="F78" s="5">
        <f t="shared" ref="F78:F81" si="68">IF(D$12=0,0,D78/D$12)</f>
        <v>0</v>
      </c>
      <c r="G78" s="1"/>
      <c r="H78" s="1">
        <f>SUM(OSRRefH22_12x_0)</f>
        <v>0</v>
      </c>
      <c r="I78" s="1"/>
      <c r="J78" s="5">
        <f t="shared" ref="J78:J81" si="69">IF(H$12=0,0,H78/H$12)</f>
        <v>0</v>
      </c>
      <c r="K78" s="1"/>
      <c r="L78" s="1">
        <f t="shared" ref="L78:L81" si="70">+D78-H78</f>
        <v>0</v>
      </c>
      <c r="M78" s="1"/>
      <c r="N78" s="5">
        <f t="shared" ref="N78:N81" si="71">IF(H78=0,0,L78/H78)</f>
        <v>0</v>
      </c>
      <c r="O78" s="13"/>
      <c r="P78" s="1">
        <f>SUM(OSRRefP22_12x_0)</f>
        <v>152.94999999999999</v>
      </c>
      <c r="Q78" s="1"/>
      <c r="R78" s="5">
        <f t="shared" ref="R78:R81" si="72">IF(P$12=0,0,P78/P$12)</f>
        <v>1.5435107558328459E-3</v>
      </c>
      <c r="S78" s="1"/>
      <c r="T78" s="1">
        <f>SUM(OSRRefT22_12x_0)</f>
        <v>2000</v>
      </c>
      <c r="U78" s="1"/>
      <c r="V78" s="5">
        <f t="shared" ref="V78:V81" si="73">IF(T$12=0,0,T78/T$12)</f>
        <v>1.3698630136986301E-2</v>
      </c>
      <c r="W78" s="1"/>
      <c r="X78" s="1">
        <f t="shared" ref="X78:X81" si="74">+P78-T78</f>
        <v>-1847.05</v>
      </c>
      <c r="Y78" s="1"/>
      <c r="Z78" s="5">
        <f t="shared" ref="Z78:Z81" si="75">IF(T78=0,0,X78/T78)</f>
        <v>-0.92352499999999993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8"/>
        <v>0</v>
      </c>
      <c r="G79" s="2"/>
      <c r="H79" s="6"/>
      <c r="I79" s="2"/>
      <c r="J79" s="7">
        <f t="shared" si="69"/>
        <v>0</v>
      </c>
      <c r="K79" s="2"/>
      <c r="L79" s="6">
        <f t="shared" si="70"/>
        <v>0</v>
      </c>
      <c r="M79" s="2"/>
      <c r="N79" s="7">
        <f t="shared" si="71"/>
        <v>0</v>
      </c>
      <c r="O79" s="11"/>
      <c r="P79" s="6">
        <v>152.94999999999999</v>
      </c>
      <c r="Q79" s="2"/>
      <c r="R79" s="7">
        <f t="shared" si="72"/>
        <v>1.5435107558328459E-3</v>
      </c>
      <c r="S79" s="2"/>
      <c r="T79" s="6">
        <v>2000</v>
      </c>
      <c r="U79" s="2"/>
      <c r="V79" s="7">
        <f t="shared" si="73"/>
        <v>1.3698630136986301E-2</v>
      </c>
      <c r="W79" s="2"/>
      <c r="X79" s="6">
        <f t="shared" si="74"/>
        <v>-1847.05</v>
      </c>
      <c r="Y79" s="2"/>
      <c r="Z79" s="7">
        <f t="shared" si="75"/>
        <v>-0.92352499999999993</v>
      </c>
    </row>
    <row r="80" spans="1:26" s="26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SUM(OSRRefD22_13x_0)</f>
        <v>0</v>
      </c>
      <c r="E80" s="1"/>
      <c r="F80" s="5">
        <f t="shared" si="68"/>
        <v>0</v>
      </c>
      <c r="G80" s="1"/>
      <c r="H80" s="1">
        <f>SUM(OSRRefH22_13x_0)</f>
        <v>0</v>
      </c>
      <c r="I80" s="1"/>
      <c r="J80" s="5">
        <f t="shared" si="69"/>
        <v>0</v>
      </c>
      <c r="K80" s="1"/>
      <c r="L80" s="1">
        <f t="shared" si="70"/>
        <v>0</v>
      </c>
      <c r="M80" s="1"/>
      <c r="N80" s="5">
        <f t="shared" si="71"/>
        <v>0</v>
      </c>
      <c r="O80" s="13"/>
      <c r="P80" s="1">
        <f>SUM(OSRRefP22_13x_0)</f>
        <v>0</v>
      </c>
      <c r="Q80" s="1"/>
      <c r="R80" s="5">
        <f t="shared" si="72"/>
        <v>0</v>
      </c>
      <c r="S80" s="1"/>
      <c r="T80" s="1">
        <f>SUM(OSRRefT22_13x_0)</f>
        <v>2000</v>
      </c>
      <c r="U80" s="1"/>
      <c r="V80" s="5">
        <f t="shared" si="73"/>
        <v>1.3698630136986301E-2</v>
      </c>
      <c r="W80" s="1"/>
      <c r="X80" s="1">
        <f t="shared" si="74"/>
        <v>-2000</v>
      </c>
      <c r="Y80" s="1"/>
      <c r="Z80" s="5">
        <f t="shared" si="75"/>
        <v>-1</v>
      </c>
    </row>
    <row r="81" spans="1:26" s="24" customFormat="1" hidden="1" outlineLevel="2" x14ac:dyDescent="0.25">
      <c r="A81" s="27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68"/>
        <v>0</v>
      </c>
      <c r="G81" s="2"/>
      <c r="H81" s="6"/>
      <c r="I81" s="2"/>
      <c r="J81" s="7">
        <f t="shared" si="69"/>
        <v>0</v>
      </c>
      <c r="K81" s="2"/>
      <c r="L81" s="6">
        <f t="shared" si="70"/>
        <v>0</v>
      </c>
      <c r="M81" s="2"/>
      <c r="N81" s="7">
        <f t="shared" si="71"/>
        <v>0</v>
      </c>
      <c r="O81" s="11"/>
      <c r="P81" s="6"/>
      <c r="Q81" s="2"/>
      <c r="R81" s="7">
        <f t="shared" si="72"/>
        <v>0</v>
      </c>
      <c r="S81" s="2"/>
      <c r="T81" s="6">
        <v>2000</v>
      </c>
      <c r="U81" s="2"/>
      <c r="V81" s="7">
        <f t="shared" si="73"/>
        <v>1.3698630136986301E-2</v>
      </c>
      <c r="W81" s="2"/>
      <c r="X81" s="6">
        <f t="shared" si="74"/>
        <v>-2000</v>
      </c>
      <c r="Y81" s="2"/>
      <c r="Z81" s="7">
        <f t="shared" si="75"/>
        <v>-1</v>
      </c>
    </row>
    <row r="82" spans="1:26" s="61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2">
        <f>+D23-D25+D83</f>
        <v>-892.2300000000032</v>
      </c>
      <c r="E85" s="14"/>
      <c r="F85" s="20">
        <f>IF(D$12=0,0,D85/D$12)</f>
        <v>-2.058154638754342E-2</v>
      </c>
      <c r="G85" s="14"/>
      <c r="H85" s="22">
        <f>+H23-H25+H83</f>
        <v>17070.818024999997</v>
      </c>
      <c r="I85" s="14"/>
      <c r="J85" s="20">
        <f>IF(H$12=0,0,H85/H$12)</f>
        <v>0.29948803552631575</v>
      </c>
      <c r="K85" s="16"/>
      <c r="L85" s="22">
        <f>+D85-H85</f>
        <v>-17963.048025</v>
      </c>
      <c r="M85" s="16"/>
      <c r="N85" s="20">
        <f>IF(H85=0,0,L85/H85)</f>
        <v>-1.0522663880953651</v>
      </c>
      <c r="O85" s="29"/>
      <c r="P85" s="22">
        <f>+P23-P25+P83</f>
        <v>-22978.250000000029</v>
      </c>
      <c r="Q85" s="14"/>
      <c r="R85" s="20">
        <f>IF(P$12=0,0,P85/P$12)</f>
        <v>-0.23188738820017088</v>
      </c>
      <c r="S85" s="14"/>
      <c r="T85" s="22">
        <f>+T23-T25+T83</f>
        <v>26593.481849999996</v>
      </c>
      <c r="U85" s="14"/>
      <c r="V85" s="20">
        <f>IF(T$12=0,0,T85/T$12)</f>
        <v>0.18214713595890408</v>
      </c>
      <c r="W85" s="16"/>
      <c r="X85" s="22">
        <f>+P85-T85</f>
        <v>-49571.731850000026</v>
      </c>
      <c r="Y85" s="16"/>
      <c r="Z85" s="20">
        <f>IF(T85=0,0,X85/T85)</f>
        <v>-1.8640557159686117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3987.52</v>
      </c>
      <c r="E87" s="4"/>
      <c r="F87" s="12">
        <f>IF(D$12=0,0,D87/D$12)</f>
        <v>9.198225552969172E-2</v>
      </c>
      <c r="G87" s="4"/>
      <c r="H87" s="4">
        <v>6325</v>
      </c>
      <c r="I87" s="4"/>
      <c r="J87" s="12">
        <f>IF(H$12=0,0,H87/H$12)</f>
        <v>0.11096491228070175</v>
      </c>
      <c r="K87" s="4"/>
      <c r="L87" s="4">
        <f>+D87-H87</f>
        <v>-2337.48</v>
      </c>
      <c r="M87" s="4"/>
      <c r="N87" s="12">
        <f>IF(H87=0,0,L87/H87)</f>
        <v>-0.36956205533596836</v>
      </c>
      <c r="O87" s="10"/>
      <c r="P87" s="4">
        <v>9974.8799999999992</v>
      </c>
      <c r="Q87" s="4"/>
      <c r="R87" s="12">
        <f>IF(P$12=0,0,P87/P$12)</f>
        <v>0.10066253395319998</v>
      </c>
      <c r="S87" s="4"/>
      <c r="T87" s="4">
        <v>17582</v>
      </c>
      <c r="U87" s="4"/>
      <c r="V87" s="12">
        <f>IF(T$12=0,0,T87/T$12)</f>
        <v>0.12042465753424658</v>
      </c>
      <c r="W87" s="4"/>
      <c r="X87" s="4">
        <f>+P87-T87</f>
        <v>-7607.1200000000008</v>
      </c>
      <c r="Y87" s="4"/>
      <c r="Z87" s="12">
        <f>IF(T87=0,0,X87/T87)</f>
        <v>-0.43266522579911276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1">
        <f>+D85-D87</f>
        <v>-4879.7500000000036</v>
      </c>
      <c r="E89" s="14"/>
      <c r="F89" s="33">
        <f>IF(D$12=0,0,D89/D$12)</f>
        <v>-0.11256380191723515</v>
      </c>
      <c r="G89" s="14"/>
      <c r="H89" s="31">
        <f>+H85-H87</f>
        <v>10745.818024999997</v>
      </c>
      <c r="I89" s="14"/>
      <c r="J89" s="33">
        <f>IF(H$12=0,0,H89/H$12)</f>
        <v>0.18852312324561399</v>
      </c>
      <c r="K89" s="16"/>
      <c r="L89" s="31">
        <f>D89-H89</f>
        <v>-15625.568025</v>
      </c>
      <c r="M89" s="16"/>
      <c r="N89" s="33">
        <f>IF(H89=0,0,L89/H89)</f>
        <v>-1.4541068896427738</v>
      </c>
      <c r="O89" s="29"/>
      <c r="P89" s="31">
        <f>+P85-P87</f>
        <v>-32953.130000000026</v>
      </c>
      <c r="Q89" s="14"/>
      <c r="R89" s="33">
        <f>IF(P$12=0,0,P89/P$12)</f>
        <v>-0.33254992215337087</v>
      </c>
      <c r="S89" s="14"/>
      <c r="T89" s="31">
        <f>+T85-T87</f>
        <v>9011.4818499999965</v>
      </c>
      <c r="U89" s="14"/>
      <c r="V89" s="33">
        <f>IF(T$12=0,0,T89/T$12)</f>
        <v>6.1722478424657508E-2</v>
      </c>
      <c r="W89" s="16"/>
      <c r="X89" s="31">
        <f>P89-T89</f>
        <v>-41964.611850000023</v>
      </c>
      <c r="Y89" s="16"/>
      <c r="Z89" s="33">
        <f>IF(T89=0,0,X89/T89)</f>
        <v>-4.6567936937031105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2">
        <f>SUM(D89:D91)</f>
        <v>-4879.7500000000036</v>
      </c>
      <c r="E92" s="14"/>
      <c r="F92" s="34">
        <f>IF(D$12=0,0,D92/D$12)</f>
        <v>-0.11256380191723515</v>
      </c>
      <c r="G92" s="14"/>
      <c r="H92" s="32">
        <f>SUM(H89:H91)</f>
        <v>10745.818024999997</v>
      </c>
      <c r="I92" s="14"/>
      <c r="J92" s="34">
        <f>IF(H$12=0,0,H92/H$12)</f>
        <v>0.18852312324561399</v>
      </c>
      <c r="K92" s="16"/>
      <c r="L92" s="32">
        <f>+D92-H92</f>
        <v>-15625.568025</v>
      </c>
      <c r="M92" s="16"/>
      <c r="N92" s="34">
        <f>IF(H92=0,0,L92/H92)</f>
        <v>-1.4541068896427738</v>
      </c>
      <c r="O92" s="29"/>
      <c r="P92" s="32">
        <f>SUM(P89:P91)</f>
        <v>-32953.130000000026</v>
      </c>
      <c r="Q92" s="14"/>
      <c r="R92" s="34">
        <f>IF(P$12=0,0,P92/P$12)</f>
        <v>-0.33254992215337087</v>
      </c>
      <c r="S92" s="14"/>
      <c r="T92" s="32">
        <f>SUM(T89:T91)</f>
        <v>9011.4818499999965</v>
      </c>
      <c r="U92" s="14"/>
      <c r="V92" s="34">
        <f>IF(T$12=0,0,T92/T$12)</f>
        <v>6.1722478424657508E-2</v>
      </c>
      <c r="W92" s="16"/>
      <c r="X92" s="32">
        <f>+P92-T92</f>
        <v>-41964.611850000023</v>
      </c>
      <c r="Y92" s="16"/>
      <c r="Z92" s="34">
        <f>IF(T92=0,0,X92/T92)</f>
        <v>-4.6567936937031105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60">
        <v>43791.348443668983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4" t="s">
        <v>314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5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107180.18999999997</v>
      </c>
      <c r="E18" s="21"/>
      <c r="F18" s="35">
        <f t="shared" ref="F18:F29" si="0">IF(D$12=0,0,D18/D$12)</f>
        <v>0</v>
      </c>
      <c r="G18" s="21"/>
      <c r="H18" s="21">
        <f>SUM(OSRRefH22x_0)</f>
        <v>117795.08048932155</v>
      </c>
      <c r="I18" s="21"/>
      <c r="J18" s="35">
        <f t="shared" ref="J18:J29" si="1">IF(H$12=0,0,H18/H$12)</f>
        <v>0</v>
      </c>
      <c r="K18" s="4"/>
      <c r="L18" s="21">
        <f t="shared" ref="L18:L29" si="2">+D18-H18</f>
        <v>-10614.89048932158</v>
      </c>
      <c r="M18" s="4"/>
      <c r="N18" s="35">
        <f t="shared" ref="N18:N29" si="3">IF(H18=0,0,L18/H18)</f>
        <v>-9.0113190170822532E-2</v>
      </c>
      <c r="O18" s="10"/>
      <c r="P18" s="21">
        <f>SUM(OSRRefP22x_0)</f>
        <v>378670.70999999996</v>
      </c>
      <c r="Q18" s="21"/>
      <c r="R18" s="35">
        <f t="shared" ref="R18:R29" si="4">IF(P$12=0,0,P18/P$12)</f>
        <v>0</v>
      </c>
      <c r="S18" s="21"/>
      <c r="T18" s="21">
        <f>SUM(OSRRefT22x_0)</f>
        <v>421590.38692578155</v>
      </c>
      <c r="U18" s="21"/>
      <c r="V18" s="35">
        <f t="shared" ref="V18:V29" si="5">IF(T$12=0,0,T18/T$12)</f>
        <v>0</v>
      </c>
      <c r="W18" s="4"/>
      <c r="X18" s="21">
        <f t="shared" ref="X18:X29" si="6">+P18-T18</f>
        <v>-42919.67692578159</v>
      </c>
      <c r="Y18" s="4"/>
      <c r="Z18" s="35">
        <f t="shared" ref="Z18:Z29" si="7">IF(T18=0,0,X18/T18)</f>
        <v>-0.10180421152092668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14246.05</v>
      </c>
      <c r="E19" s="1"/>
      <c r="F19" s="5">
        <f t="shared" si="0"/>
        <v>0</v>
      </c>
      <c r="G19" s="1"/>
      <c r="H19" s="1">
        <f>SUM(OSRRefH22_0x_0)</f>
        <v>10293.187143167697</v>
      </c>
      <c r="I19" s="1"/>
      <c r="J19" s="5">
        <f t="shared" si="1"/>
        <v>0</v>
      </c>
      <c r="K19" s="1"/>
      <c r="L19" s="1">
        <f t="shared" si="2"/>
        <v>3952.862856832302</v>
      </c>
      <c r="M19" s="1"/>
      <c r="N19" s="5">
        <f t="shared" si="3"/>
        <v>0.38402710471033175</v>
      </c>
      <c r="O19" s="13"/>
      <c r="P19" s="1">
        <f>SUM(OSRRefP22_0x_0)</f>
        <v>46278.049999999996</v>
      </c>
      <c r="Q19" s="1"/>
      <c r="R19" s="5">
        <f t="shared" si="4"/>
        <v>0</v>
      </c>
      <c r="S19" s="1"/>
      <c r="T19" s="1">
        <f>SUM(OSRRefT22_0x_0)</f>
        <v>38257.454079627685</v>
      </c>
      <c r="U19" s="1"/>
      <c r="V19" s="5">
        <f t="shared" si="5"/>
        <v>0</v>
      </c>
      <c r="W19" s="1"/>
      <c r="X19" s="1">
        <f t="shared" si="6"/>
        <v>8020.5959203723105</v>
      </c>
      <c r="Y19" s="1"/>
      <c r="Z19" s="5">
        <f t="shared" si="7"/>
        <v>0.20964792648456249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4186.57</v>
      </c>
      <c r="E20" s="2"/>
      <c r="F20" s="7">
        <f t="shared" si="0"/>
        <v>0</v>
      </c>
      <c r="G20" s="2"/>
      <c r="H20" s="6">
        <v>1776.8825234446201</v>
      </c>
      <c r="I20" s="2"/>
      <c r="J20" s="7">
        <f t="shared" si="1"/>
        <v>0</v>
      </c>
      <c r="K20" s="2"/>
      <c r="L20" s="6">
        <f t="shared" si="2"/>
        <v>2409.6874765553794</v>
      </c>
      <c r="M20" s="2"/>
      <c r="N20" s="7">
        <f t="shared" si="3"/>
        <v>1.3561321273417779</v>
      </c>
      <c r="O20" s="11"/>
      <c r="P20" s="6">
        <v>10249.77</v>
      </c>
      <c r="Q20" s="2"/>
      <c r="R20" s="7">
        <f t="shared" si="4"/>
        <v>0</v>
      </c>
      <c r="S20" s="2"/>
      <c r="T20" s="6">
        <v>6579.7080291046195</v>
      </c>
      <c r="U20" s="2"/>
      <c r="V20" s="7">
        <f t="shared" si="5"/>
        <v>0</v>
      </c>
      <c r="W20" s="2"/>
      <c r="X20" s="6">
        <f t="shared" si="6"/>
        <v>3670.0619708953809</v>
      </c>
      <c r="Y20" s="2"/>
      <c r="Z20" s="7">
        <f t="shared" si="7"/>
        <v>0.55778492824624781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196.48</v>
      </c>
      <c r="E21" s="2"/>
      <c r="F21" s="7">
        <f t="shared" si="0"/>
        <v>0</v>
      </c>
      <c r="G21" s="2"/>
      <c r="H21" s="6">
        <v>1291.9669545230799</v>
      </c>
      <c r="I21" s="2"/>
      <c r="J21" s="7">
        <f t="shared" si="1"/>
        <v>0</v>
      </c>
      <c r="K21" s="2"/>
      <c r="L21" s="6">
        <f t="shared" si="2"/>
        <v>-1095.4869545230799</v>
      </c>
      <c r="M21" s="2"/>
      <c r="N21" s="7">
        <f t="shared" si="3"/>
        <v>-0.84792180689131547</v>
      </c>
      <c r="O21" s="11"/>
      <c r="P21" s="6">
        <v>2587.7399999999998</v>
      </c>
      <c r="Q21" s="2"/>
      <c r="R21" s="7">
        <f t="shared" si="4"/>
        <v>0</v>
      </c>
      <c r="S21" s="2"/>
      <c r="T21" s="6">
        <v>4769.8989281230797</v>
      </c>
      <c r="U21" s="2"/>
      <c r="V21" s="7">
        <f t="shared" si="5"/>
        <v>0</v>
      </c>
      <c r="W21" s="2"/>
      <c r="X21" s="6">
        <f t="shared" si="6"/>
        <v>-2182.1589281230799</v>
      </c>
      <c r="Y21" s="2"/>
      <c r="Z21" s="7">
        <f t="shared" si="7"/>
        <v>-0.4574853599637474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3654.84</v>
      </c>
      <c r="E22" s="2"/>
      <c r="F22" s="7">
        <f t="shared" si="0"/>
        <v>0</v>
      </c>
      <c r="G22" s="2"/>
      <c r="H22" s="6">
        <v>2919.4615384615399</v>
      </c>
      <c r="I22" s="2"/>
      <c r="J22" s="7">
        <f t="shared" si="1"/>
        <v>0</v>
      </c>
      <c r="K22" s="2"/>
      <c r="L22" s="6">
        <f t="shared" si="2"/>
        <v>735.37846153846021</v>
      </c>
      <c r="M22" s="2"/>
      <c r="N22" s="7">
        <f t="shared" si="3"/>
        <v>0.25188838826970145</v>
      </c>
      <c r="O22" s="11"/>
      <c r="P22" s="6">
        <v>14619.44</v>
      </c>
      <c r="Q22" s="2"/>
      <c r="R22" s="7">
        <f t="shared" si="4"/>
        <v>0</v>
      </c>
      <c r="S22" s="2"/>
      <c r="T22" s="6">
        <v>11040.461538461541</v>
      </c>
      <c r="U22" s="2"/>
      <c r="V22" s="7">
        <f t="shared" si="5"/>
        <v>0</v>
      </c>
      <c r="W22" s="2"/>
      <c r="X22" s="6">
        <f t="shared" si="6"/>
        <v>3578.9784615384597</v>
      </c>
      <c r="Y22" s="2"/>
      <c r="Z22" s="7">
        <f t="shared" si="7"/>
        <v>0.32416927943369123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113.45</v>
      </c>
      <c r="E23" s="2"/>
      <c r="F23" s="7">
        <f t="shared" si="0"/>
        <v>0</v>
      </c>
      <c r="G23" s="2"/>
      <c r="H23" s="6">
        <v>86.575105199999996</v>
      </c>
      <c r="I23" s="2"/>
      <c r="J23" s="7">
        <f t="shared" si="1"/>
        <v>0</v>
      </c>
      <c r="K23" s="2"/>
      <c r="L23" s="6">
        <f t="shared" si="2"/>
        <v>26.874894800000007</v>
      </c>
      <c r="M23" s="2"/>
      <c r="N23" s="7">
        <f t="shared" si="3"/>
        <v>0.31042289510264442</v>
      </c>
      <c r="O23" s="11"/>
      <c r="P23" s="6">
        <v>309.62</v>
      </c>
      <c r="Q23" s="2"/>
      <c r="R23" s="7">
        <f t="shared" si="4"/>
        <v>0</v>
      </c>
      <c r="S23" s="2"/>
      <c r="T23" s="6">
        <v>319.63240239999999</v>
      </c>
      <c r="U23" s="2"/>
      <c r="V23" s="7">
        <f t="shared" si="5"/>
        <v>0</v>
      </c>
      <c r="W23" s="2"/>
      <c r="X23" s="6">
        <f t="shared" si="6"/>
        <v>-10.012402399999985</v>
      </c>
      <c r="Y23" s="2"/>
      <c r="Z23" s="7">
        <f t="shared" si="7"/>
        <v>-3.1324741561933662E-2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2498.5500000000002</v>
      </c>
      <c r="E24" s="2"/>
      <c r="F24" s="7">
        <f t="shared" si="0"/>
        <v>0</v>
      </c>
      <c r="G24" s="2"/>
      <c r="H24" s="6">
        <v>1370.86067307692</v>
      </c>
      <c r="I24" s="2"/>
      <c r="J24" s="7">
        <f t="shared" si="1"/>
        <v>0</v>
      </c>
      <c r="K24" s="2"/>
      <c r="L24" s="6">
        <f t="shared" si="2"/>
        <v>1127.6893269230802</v>
      </c>
      <c r="M24" s="2"/>
      <c r="N24" s="7">
        <f t="shared" si="3"/>
        <v>0.8226141059192853</v>
      </c>
      <c r="O24" s="11"/>
      <c r="P24" s="6">
        <v>6005.82</v>
      </c>
      <c r="Q24" s="2"/>
      <c r="R24" s="7">
        <f t="shared" si="4"/>
        <v>0</v>
      </c>
      <c r="S24" s="2"/>
      <c r="T24" s="6">
        <v>4935.09842307692</v>
      </c>
      <c r="U24" s="2"/>
      <c r="V24" s="7">
        <f t="shared" si="5"/>
        <v>0</v>
      </c>
      <c r="W24" s="2"/>
      <c r="X24" s="6">
        <f t="shared" si="6"/>
        <v>1070.7215769230797</v>
      </c>
      <c r="Y24" s="2"/>
      <c r="Z24" s="7">
        <f t="shared" si="7"/>
        <v>0.2169605315096248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56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56</v>
      </c>
      <c r="M26" s="2"/>
      <c r="N26" s="7">
        <f t="shared" si="3"/>
        <v>0</v>
      </c>
      <c r="O26" s="11"/>
      <c r="P26" s="6">
        <v>252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252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2101.75</v>
      </c>
      <c r="E27" s="2"/>
      <c r="F27" s="7">
        <f t="shared" si="0"/>
        <v>0</v>
      </c>
      <c r="G27" s="2"/>
      <c r="H27" s="6">
        <v>1332.8992307692299</v>
      </c>
      <c r="I27" s="2"/>
      <c r="J27" s="7">
        <f t="shared" si="1"/>
        <v>0</v>
      </c>
      <c r="K27" s="2"/>
      <c r="L27" s="6">
        <f t="shared" si="2"/>
        <v>768.85076923077008</v>
      </c>
      <c r="M27" s="2"/>
      <c r="N27" s="7">
        <f t="shared" si="3"/>
        <v>0.57682587811762664</v>
      </c>
      <c r="O27" s="11"/>
      <c r="P27" s="6">
        <v>6314.59</v>
      </c>
      <c r="Q27" s="2"/>
      <c r="R27" s="7">
        <f t="shared" si="4"/>
        <v>0</v>
      </c>
      <c r="S27" s="2"/>
      <c r="T27" s="6">
        <v>4798.4372307692202</v>
      </c>
      <c r="U27" s="2"/>
      <c r="V27" s="7">
        <f t="shared" si="5"/>
        <v>0</v>
      </c>
      <c r="W27" s="2"/>
      <c r="X27" s="6">
        <f t="shared" si="6"/>
        <v>1516.15276923078</v>
      </c>
      <c r="Y27" s="2"/>
      <c r="Z27" s="7">
        <f t="shared" si="7"/>
        <v>0.31596803215611324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1074.51</v>
      </c>
      <c r="E28" s="2"/>
      <c r="F28" s="7">
        <f t="shared" si="0"/>
        <v>0</v>
      </c>
      <c r="G28" s="2"/>
      <c r="H28" s="6">
        <v>839.54111769230792</v>
      </c>
      <c r="I28" s="2"/>
      <c r="J28" s="7">
        <f t="shared" si="1"/>
        <v>0</v>
      </c>
      <c r="K28" s="2"/>
      <c r="L28" s="6">
        <f t="shared" si="2"/>
        <v>234.96888230769207</v>
      </c>
      <c r="M28" s="2"/>
      <c r="N28" s="7">
        <f t="shared" si="3"/>
        <v>0.2798777538776942</v>
      </c>
      <c r="O28" s="11"/>
      <c r="P28" s="6">
        <v>4469.72</v>
      </c>
      <c r="Q28" s="2"/>
      <c r="R28" s="7">
        <f t="shared" si="4"/>
        <v>0</v>
      </c>
      <c r="S28" s="2"/>
      <c r="T28" s="6">
        <v>3114.2175276923081</v>
      </c>
      <c r="U28" s="2"/>
      <c r="V28" s="7">
        <f t="shared" si="5"/>
        <v>0</v>
      </c>
      <c r="W28" s="2"/>
      <c r="X28" s="6">
        <f t="shared" si="6"/>
        <v>1355.5024723076922</v>
      </c>
      <c r="Y28" s="2"/>
      <c r="Z28" s="7">
        <f t="shared" si="7"/>
        <v>0.43526261741649891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363.9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-311.10000000000002</v>
      </c>
      <c r="M29" s="2"/>
      <c r="N29" s="7">
        <f t="shared" si="3"/>
        <v>-0.4608888888888889</v>
      </c>
      <c r="O29" s="11"/>
      <c r="P29" s="6">
        <v>1469.35</v>
      </c>
      <c r="Q29" s="2"/>
      <c r="R29" s="7">
        <f t="shared" si="4"/>
        <v>0</v>
      </c>
      <c r="S29" s="2"/>
      <c r="T29" s="6">
        <v>2700</v>
      </c>
      <c r="U29" s="2"/>
      <c r="V29" s="7">
        <f t="shared" si="5"/>
        <v>0</v>
      </c>
      <c r="W29" s="2"/>
      <c r="X29" s="6">
        <f t="shared" si="6"/>
        <v>-1230.6500000000001</v>
      </c>
      <c r="Y29" s="2"/>
      <c r="Z29" s="7">
        <f t="shared" si="7"/>
        <v>-0.45579629629629631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31681.440000000002</v>
      </c>
      <c r="E30" s="1"/>
      <c r="F30" s="5">
        <f t="shared" ref="F30:F40" si="8">IF(D$12=0,0,D30/D$12)</f>
        <v>0</v>
      </c>
      <c r="G30" s="1"/>
      <c r="H30" s="1">
        <f>SUM(OSRRefH22_1x_0)</f>
        <v>31559.893346153851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121.54665384615146</v>
      </c>
      <c r="M30" s="1"/>
      <c r="N30" s="5">
        <f t="shared" ref="N30:N40" si="11">IF(H30=0,0,L30/H30)</f>
        <v>3.851301159766566E-3</v>
      </c>
      <c r="O30" s="13"/>
      <c r="P30" s="1">
        <f>SUM(OSRRefP22_1x_0)</f>
        <v>114194.28000000001</v>
      </c>
      <c r="Q30" s="1"/>
      <c r="R30" s="5">
        <f t="shared" ref="R30:R40" si="12">IF(P$12=0,0,P30/P$12)</f>
        <v>0</v>
      </c>
      <c r="S30" s="1"/>
      <c r="T30" s="1">
        <f>SUM(OSRRefT22_1x_0)</f>
        <v>116677.93284615387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-2483.6528461538546</v>
      </c>
      <c r="Y30" s="1"/>
      <c r="Z30" s="5">
        <f t="shared" ref="Z30:Z40" si="15">IF(T30=0,0,X30/T30)</f>
        <v>-2.1286397398115414E-2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7492.27</v>
      </c>
      <c r="E31" s="2"/>
      <c r="F31" s="7">
        <f t="shared" si="8"/>
        <v>0</v>
      </c>
      <c r="G31" s="2"/>
      <c r="H31" s="6">
        <v>9893.9423076923104</v>
      </c>
      <c r="I31" s="2"/>
      <c r="J31" s="7">
        <f t="shared" si="9"/>
        <v>0</v>
      </c>
      <c r="K31" s="2"/>
      <c r="L31" s="6">
        <f t="shared" si="10"/>
        <v>-2401.6723076923099</v>
      </c>
      <c r="M31" s="2"/>
      <c r="N31" s="7">
        <f t="shared" si="11"/>
        <v>-0.24274169314946029</v>
      </c>
      <c r="O31" s="11"/>
      <c r="P31" s="6">
        <v>32611.350000000002</v>
      </c>
      <c r="Q31" s="2"/>
      <c r="R31" s="7">
        <f t="shared" si="12"/>
        <v>0</v>
      </c>
      <c r="S31" s="2"/>
      <c r="T31" s="6">
        <v>35618.192307692319</v>
      </c>
      <c r="U31" s="2"/>
      <c r="V31" s="7">
        <f t="shared" si="13"/>
        <v>0</v>
      </c>
      <c r="W31" s="2"/>
      <c r="X31" s="6">
        <f t="shared" si="14"/>
        <v>-3006.8423076923173</v>
      </c>
      <c r="Y31" s="2"/>
      <c r="Z31" s="7">
        <f t="shared" si="15"/>
        <v>-8.4418722930050039E-2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5319.86</v>
      </c>
      <c r="E32" s="2"/>
      <c r="F32" s="7">
        <f t="shared" si="8"/>
        <v>0</v>
      </c>
      <c r="G32" s="2"/>
      <c r="H32" s="6">
        <v>4452.2740384615399</v>
      </c>
      <c r="I32" s="2"/>
      <c r="J32" s="7">
        <f t="shared" si="9"/>
        <v>0</v>
      </c>
      <c r="K32" s="2"/>
      <c r="L32" s="6">
        <f t="shared" si="10"/>
        <v>867.58596153845974</v>
      </c>
      <c r="M32" s="2"/>
      <c r="N32" s="7">
        <f t="shared" si="11"/>
        <v>0.19486355827240354</v>
      </c>
      <c r="O32" s="11"/>
      <c r="P32" s="6">
        <v>18305.580000000002</v>
      </c>
      <c r="Q32" s="2"/>
      <c r="R32" s="7">
        <f t="shared" si="12"/>
        <v>0</v>
      </c>
      <c r="S32" s="2"/>
      <c r="T32" s="6">
        <v>16028.186538461541</v>
      </c>
      <c r="U32" s="2"/>
      <c r="V32" s="7">
        <f t="shared" si="13"/>
        <v>0</v>
      </c>
      <c r="W32" s="2"/>
      <c r="X32" s="6">
        <f t="shared" si="14"/>
        <v>2277.3934615384605</v>
      </c>
      <c r="Y32" s="2"/>
      <c r="Z32" s="7">
        <f t="shared" si="15"/>
        <v>0.14208678293539845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3460.8</v>
      </c>
      <c r="E34" s="2"/>
      <c r="F34" s="7">
        <f t="shared" si="8"/>
        <v>0</v>
      </c>
      <c r="G34" s="2"/>
      <c r="H34" s="6">
        <v>7133.6769999999997</v>
      </c>
      <c r="I34" s="2"/>
      <c r="J34" s="7">
        <f t="shared" si="9"/>
        <v>0</v>
      </c>
      <c r="K34" s="2"/>
      <c r="L34" s="6">
        <f t="shared" si="10"/>
        <v>-3672.8769999999995</v>
      </c>
      <c r="M34" s="2"/>
      <c r="N34" s="7">
        <f t="shared" si="11"/>
        <v>-0.51486449414516522</v>
      </c>
      <c r="O34" s="11"/>
      <c r="P34" s="6">
        <v>9690.24</v>
      </c>
      <c r="Q34" s="2"/>
      <c r="R34" s="7">
        <f t="shared" si="12"/>
        <v>0</v>
      </c>
      <c r="S34" s="2"/>
      <c r="T34" s="6">
        <v>24711.554</v>
      </c>
      <c r="U34" s="2"/>
      <c r="V34" s="7">
        <f t="shared" si="13"/>
        <v>0</v>
      </c>
      <c r="W34" s="2"/>
      <c r="X34" s="6">
        <f t="shared" si="14"/>
        <v>-15021.314</v>
      </c>
      <c r="Y34" s="2"/>
      <c r="Z34" s="7">
        <f t="shared" si="15"/>
        <v>-0.60786602089047093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16837.009999999998</v>
      </c>
      <c r="E35" s="2"/>
      <c r="F35" s="7">
        <f t="shared" si="8"/>
        <v>0</v>
      </c>
      <c r="G35" s="2"/>
      <c r="H35" s="6">
        <v>8400</v>
      </c>
      <c r="I35" s="2"/>
      <c r="J35" s="7">
        <f t="shared" si="9"/>
        <v>0</v>
      </c>
      <c r="K35" s="2"/>
      <c r="L35" s="6">
        <f t="shared" si="10"/>
        <v>8437.0099999999984</v>
      </c>
      <c r="M35" s="2"/>
      <c r="N35" s="7">
        <f t="shared" si="11"/>
        <v>1.0044059523809521</v>
      </c>
      <c r="O35" s="11"/>
      <c r="P35" s="6">
        <v>44173.29</v>
      </c>
      <c r="Q35" s="2"/>
      <c r="R35" s="7">
        <f t="shared" si="12"/>
        <v>0</v>
      </c>
      <c r="S35" s="2"/>
      <c r="T35" s="6">
        <v>33600</v>
      </c>
      <c r="U35" s="2"/>
      <c r="V35" s="7">
        <f t="shared" si="13"/>
        <v>0</v>
      </c>
      <c r="W35" s="2"/>
      <c r="X35" s="6">
        <f t="shared" si="14"/>
        <v>10573.29</v>
      </c>
      <c r="Y35" s="2"/>
      <c r="Z35" s="7">
        <f t="shared" si="15"/>
        <v>0.31468125000000002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-1428.5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-1428.5</v>
      </c>
      <c r="M37" s="2"/>
      <c r="N37" s="7">
        <f t="shared" si="11"/>
        <v>0</v>
      </c>
      <c r="O37" s="11"/>
      <c r="P37" s="6">
        <v>8176.94</v>
      </c>
      <c r="Q37" s="2"/>
      <c r="R37" s="7">
        <f t="shared" si="12"/>
        <v>0</v>
      </c>
      <c r="S37" s="2"/>
      <c r="T37" s="6">
        <v>3360</v>
      </c>
      <c r="U37" s="2"/>
      <c r="V37" s="7">
        <f t="shared" si="13"/>
        <v>0</v>
      </c>
      <c r="W37" s="2"/>
      <c r="X37" s="6">
        <f t="shared" si="14"/>
        <v>4816.9399999999996</v>
      </c>
      <c r="Y37" s="2"/>
      <c r="Z37" s="7">
        <f t="shared" si="15"/>
        <v>1.4336130952380952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1680</v>
      </c>
      <c r="I38" s="2"/>
      <c r="J38" s="7">
        <f t="shared" si="9"/>
        <v>0</v>
      </c>
      <c r="K38" s="2"/>
      <c r="L38" s="6">
        <f t="shared" si="10"/>
        <v>-1680</v>
      </c>
      <c r="M38" s="2"/>
      <c r="N38" s="7">
        <f t="shared" si="11"/>
        <v>-1</v>
      </c>
      <c r="O38" s="11"/>
      <c r="P38" s="6"/>
      <c r="Q38" s="2"/>
      <c r="R38" s="7">
        <f t="shared" si="12"/>
        <v>0</v>
      </c>
      <c r="S38" s="2"/>
      <c r="T38" s="6">
        <v>3360</v>
      </c>
      <c r="U38" s="2"/>
      <c r="V38" s="7">
        <f t="shared" si="13"/>
        <v>0</v>
      </c>
      <c r="W38" s="2"/>
      <c r="X38" s="6">
        <f t="shared" si="14"/>
        <v>-3360</v>
      </c>
      <c r="Y38" s="2"/>
      <c r="Z38" s="7">
        <f t="shared" si="15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2142.75</v>
      </c>
      <c r="E41" s="1"/>
      <c r="F41" s="5">
        <f t="shared" ref="F41:F47" si="16">IF(D$12=0,0,D41/D$12)</f>
        <v>0</v>
      </c>
      <c r="G41" s="1"/>
      <c r="H41" s="1">
        <f>SUM(OSRRefH22_2x_0)</f>
        <v>200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1942.75</v>
      </c>
      <c r="M41" s="1"/>
      <c r="N41" s="5">
        <f t="shared" ref="N41:N47" si="19">IF(H41=0,0,L41/H41)</f>
        <v>9.7137499999999992</v>
      </c>
      <c r="O41" s="13"/>
      <c r="P41" s="1">
        <f>SUM(OSRRefP22_2x_0)</f>
        <v>2448.56</v>
      </c>
      <c r="Q41" s="1"/>
      <c r="R41" s="5">
        <f t="shared" ref="R41:R47" si="20">IF(P$12=0,0,P41/P$12)</f>
        <v>0</v>
      </c>
      <c r="S41" s="1"/>
      <c r="T41" s="1">
        <f>SUM(OSRRefT22_2x_0)</f>
        <v>1000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1448.56</v>
      </c>
      <c r="Y41" s="1"/>
      <c r="Z41" s="5">
        <f t="shared" ref="Z41:Z47" si="23">IF(T41=0,0,X41/T41)</f>
        <v>1.4485599999999998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2142.75</v>
      </c>
      <c r="E42" s="2"/>
      <c r="F42" s="7">
        <f t="shared" si="16"/>
        <v>0</v>
      </c>
      <c r="G42" s="2"/>
      <c r="H42" s="6">
        <v>200</v>
      </c>
      <c r="I42" s="2"/>
      <c r="J42" s="7">
        <f t="shared" si="17"/>
        <v>0</v>
      </c>
      <c r="K42" s="2"/>
      <c r="L42" s="6">
        <f t="shared" si="18"/>
        <v>1942.75</v>
      </c>
      <c r="M42" s="2"/>
      <c r="N42" s="7">
        <f t="shared" si="19"/>
        <v>9.7137499999999992</v>
      </c>
      <c r="O42" s="11"/>
      <c r="P42" s="6">
        <v>2448.56</v>
      </c>
      <c r="Q42" s="2"/>
      <c r="R42" s="7">
        <f t="shared" si="20"/>
        <v>0</v>
      </c>
      <c r="S42" s="2"/>
      <c r="T42" s="6">
        <v>1000</v>
      </c>
      <c r="U42" s="2"/>
      <c r="V42" s="7">
        <f t="shared" si="21"/>
        <v>0</v>
      </c>
      <c r="W42" s="2"/>
      <c r="X42" s="6">
        <f t="shared" si="22"/>
        <v>1448.56</v>
      </c>
      <c r="Y42" s="2"/>
      <c r="Z42" s="7">
        <f t="shared" si="23"/>
        <v>1.4485599999999998</v>
      </c>
    </row>
    <row r="43" spans="1:26" s="26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6821.6399999999994</v>
      </c>
      <c r="E43" s="1"/>
      <c r="F43" s="5">
        <f t="shared" si="16"/>
        <v>0</v>
      </c>
      <c r="G43" s="1"/>
      <c r="H43" s="1">
        <f>SUM(OSRRefH22_3x_0)</f>
        <v>7307</v>
      </c>
      <c r="I43" s="1"/>
      <c r="J43" s="5">
        <f t="shared" si="17"/>
        <v>0</v>
      </c>
      <c r="K43" s="1"/>
      <c r="L43" s="1">
        <f t="shared" si="18"/>
        <v>-485.36000000000058</v>
      </c>
      <c r="M43" s="1"/>
      <c r="N43" s="5">
        <f t="shared" si="19"/>
        <v>-6.6423977008348234E-2</v>
      </c>
      <c r="O43" s="13"/>
      <c r="P43" s="1">
        <f>SUM(OSRRefP22_3x_0)</f>
        <v>27286.559999999998</v>
      </c>
      <c r="Q43" s="1"/>
      <c r="R43" s="5">
        <f t="shared" si="20"/>
        <v>0</v>
      </c>
      <c r="S43" s="1"/>
      <c r="T43" s="1">
        <f>SUM(OSRRefT22_3x_0)</f>
        <v>25700</v>
      </c>
      <c r="U43" s="1"/>
      <c r="V43" s="5">
        <f t="shared" si="21"/>
        <v>0</v>
      </c>
      <c r="W43" s="1"/>
      <c r="X43" s="1">
        <f t="shared" si="22"/>
        <v>1586.5599999999977</v>
      </c>
      <c r="Y43" s="1"/>
      <c r="Z43" s="5">
        <f t="shared" si="23"/>
        <v>6.1733852140077733E-2</v>
      </c>
    </row>
    <row r="44" spans="1:26" s="24" customFormat="1" hidden="1" outlineLevel="2" x14ac:dyDescent="0.25">
      <c r="A44" s="27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723</v>
      </c>
      <c r="I44" s="2"/>
      <c r="J44" s="7">
        <f t="shared" si="17"/>
        <v>0</v>
      </c>
      <c r="K44" s="2"/>
      <c r="L44" s="6">
        <f t="shared" si="18"/>
        <v>1543.9499999999998</v>
      </c>
      <c r="M44" s="2"/>
      <c r="N44" s="7">
        <f t="shared" si="19"/>
        <v>2.1354771784232365</v>
      </c>
      <c r="O44" s="11"/>
      <c r="P44" s="6">
        <v>9067.7999999999993</v>
      </c>
      <c r="Q44" s="2"/>
      <c r="R44" s="7">
        <f t="shared" si="20"/>
        <v>0</v>
      </c>
      <c r="S44" s="2"/>
      <c r="T44" s="6">
        <v>3138</v>
      </c>
      <c r="U44" s="2"/>
      <c r="V44" s="7">
        <f t="shared" si="21"/>
        <v>0</v>
      </c>
      <c r="W44" s="2"/>
      <c r="X44" s="6">
        <f t="shared" si="22"/>
        <v>5929.7999999999993</v>
      </c>
      <c r="Y44" s="2"/>
      <c r="Z44" s="7">
        <f t="shared" si="23"/>
        <v>1.8896749521988525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4130.4399999999996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-771.5600000000004</v>
      </c>
      <c r="M45" s="2"/>
      <c r="N45" s="7">
        <f t="shared" si="19"/>
        <v>-0.15739698082415349</v>
      </c>
      <c r="O45" s="11"/>
      <c r="P45" s="6">
        <v>16521.759999999998</v>
      </c>
      <c r="Q45" s="2"/>
      <c r="R45" s="7">
        <f t="shared" si="20"/>
        <v>0</v>
      </c>
      <c r="S45" s="2"/>
      <c r="T45" s="6">
        <v>19608</v>
      </c>
      <c r="U45" s="2"/>
      <c r="V45" s="7">
        <f t="shared" si="21"/>
        <v>0</v>
      </c>
      <c r="W45" s="2"/>
      <c r="X45" s="6">
        <f t="shared" si="22"/>
        <v>-3086.2400000000016</v>
      </c>
      <c r="Y45" s="2"/>
      <c r="Z45" s="7">
        <f t="shared" si="23"/>
        <v>-0.15739698082415349</v>
      </c>
    </row>
    <row r="46" spans="1:26" s="24" customFormat="1" hidden="1" outlineLevel="2" x14ac:dyDescent="0.25">
      <c r="A46" s="27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16"/>
        <v>0</v>
      </c>
      <c r="G46" s="2"/>
      <c r="H46" s="6">
        <v>258</v>
      </c>
      <c r="I46" s="2"/>
      <c r="J46" s="7">
        <f t="shared" si="17"/>
        <v>0</v>
      </c>
      <c r="K46" s="2"/>
      <c r="L46" s="6">
        <f t="shared" si="18"/>
        <v>-258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258</v>
      </c>
      <c r="U46" s="2"/>
      <c r="V46" s="7">
        <f t="shared" si="21"/>
        <v>0</v>
      </c>
      <c r="W46" s="2"/>
      <c r="X46" s="6">
        <f t="shared" si="22"/>
        <v>-258</v>
      </c>
      <c r="Y46" s="2"/>
      <c r="Z46" s="7">
        <f t="shared" si="23"/>
        <v>-1</v>
      </c>
    </row>
    <row r="47" spans="1:26" s="24" customFormat="1" hidden="1" outlineLevel="2" x14ac:dyDescent="0.25">
      <c r="A47" s="27"/>
      <c r="B47" s="11" t="str">
        <f>CONCATENATE("          ", "6326", " - ", "VEHICLES DEPRECIATION EXPENSE")</f>
        <v xml:space="preserve">          6326 - VEHICLES DEPRECIATION EXPENSE</v>
      </c>
      <c r="C47" s="11"/>
      <c r="D47" s="6">
        <v>424.25</v>
      </c>
      <c r="E47" s="2"/>
      <c r="F47" s="7">
        <f t="shared" si="16"/>
        <v>0</v>
      </c>
      <c r="G47" s="2"/>
      <c r="H47" s="6">
        <v>1424</v>
      </c>
      <c r="I47" s="2"/>
      <c r="J47" s="7">
        <f t="shared" si="17"/>
        <v>0</v>
      </c>
      <c r="K47" s="2"/>
      <c r="L47" s="6">
        <f t="shared" si="18"/>
        <v>-999.75</v>
      </c>
      <c r="M47" s="2"/>
      <c r="N47" s="7">
        <f t="shared" si="19"/>
        <v>-0.70207162921348309</v>
      </c>
      <c r="O47" s="11"/>
      <c r="P47" s="6">
        <v>1697</v>
      </c>
      <c r="Q47" s="2"/>
      <c r="R47" s="7">
        <f t="shared" si="20"/>
        <v>0</v>
      </c>
      <c r="S47" s="2"/>
      <c r="T47" s="6">
        <v>2696</v>
      </c>
      <c r="U47" s="2"/>
      <c r="V47" s="7">
        <f t="shared" si="21"/>
        <v>0</v>
      </c>
      <c r="W47" s="2"/>
      <c r="X47" s="6">
        <f t="shared" si="22"/>
        <v>-999</v>
      </c>
      <c r="Y47" s="2"/>
      <c r="Z47" s="7">
        <f t="shared" si="23"/>
        <v>-0.37054896142433236</v>
      </c>
    </row>
    <row r="48" spans="1:26" s="26" customFormat="1" outlineLevel="1" collapsed="1" x14ac:dyDescent="0.25">
      <c r="A48" s="25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163.68</v>
      </c>
      <c r="E48" s="1"/>
      <c r="F48" s="5">
        <f t="shared" ref="F48:F63" si="24">IF(D$12=0,0,D48/D$12)</f>
        <v>0</v>
      </c>
      <c r="G48" s="1"/>
      <c r="H48" s="1">
        <f>SUM(OSRRefH22_4x_0)</f>
        <v>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163.68</v>
      </c>
      <c r="M48" s="1"/>
      <c r="N48" s="5">
        <f t="shared" ref="N48:N63" si="27">IF(H48=0,0,L48/H48)</f>
        <v>0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800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-636.31999999999994</v>
      </c>
      <c r="Y48" s="1"/>
      <c r="Z48" s="5">
        <f t="shared" ref="Z48:Z63" si="31">IF(T48=0,0,X48/T48)</f>
        <v>-0.79539999999999988</v>
      </c>
    </row>
    <row r="49" spans="1:26" s="24" customFormat="1" hidden="1" outlineLevel="2" x14ac:dyDescent="0.25">
      <c r="A49" s="27"/>
      <c r="B49" s="11" t="str">
        <f>CONCATENATE("          ", "6399", " - ", "DONATION-ON CAMPUS")</f>
        <v xml:space="preserve">          6399 - DONATION-ON CAMPUS</v>
      </c>
      <c r="C49" s="11"/>
      <c r="D49" s="6">
        <v>163.68</v>
      </c>
      <c r="E49" s="2"/>
      <c r="F49" s="7">
        <f t="shared" si="24"/>
        <v>0</v>
      </c>
      <c r="G49" s="2"/>
      <c r="H49" s="6"/>
      <c r="I49" s="2"/>
      <c r="J49" s="7">
        <f t="shared" si="25"/>
        <v>0</v>
      </c>
      <c r="K49" s="2"/>
      <c r="L49" s="6">
        <f t="shared" si="26"/>
        <v>163.68</v>
      </c>
      <c r="M49" s="2"/>
      <c r="N49" s="7">
        <f t="shared" si="27"/>
        <v>0</v>
      </c>
      <c r="O49" s="11"/>
      <c r="P49" s="6">
        <v>163.68</v>
      </c>
      <c r="Q49" s="2"/>
      <c r="R49" s="7">
        <f t="shared" si="28"/>
        <v>0</v>
      </c>
      <c r="S49" s="2"/>
      <c r="T49" s="6">
        <v>800</v>
      </c>
      <c r="U49" s="2"/>
      <c r="V49" s="7">
        <f t="shared" si="29"/>
        <v>0</v>
      </c>
      <c r="W49" s="2"/>
      <c r="X49" s="6">
        <f t="shared" si="30"/>
        <v>-636.31999999999994</v>
      </c>
      <c r="Y49" s="2"/>
      <c r="Z49" s="7">
        <f t="shared" si="31"/>
        <v>-0.79539999999999988</v>
      </c>
    </row>
    <row r="50" spans="1:26" s="26" customFormat="1" outlineLevel="1" collapsed="1" x14ac:dyDescent="0.25">
      <c r="A50" s="25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0</v>
      </c>
      <c r="E50" s="1"/>
      <c r="F50" s="5">
        <f t="shared" si="24"/>
        <v>0</v>
      </c>
      <c r="G50" s="1"/>
      <c r="H50" s="1">
        <f>SUM(OSRRefH22_5x_0)</f>
        <v>50</v>
      </c>
      <c r="I50" s="1"/>
      <c r="J50" s="5">
        <f t="shared" si="25"/>
        <v>0</v>
      </c>
      <c r="K50" s="1"/>
      <c r="L50" s="1">
        <f t="shared" si="26"/>
        <v>-50</v>
      </c>
      <c r="M50" s="1"/>
      <c r="N50" s="5">
        <f t="shared" si="27"/>
        <v>-1</v>
      </c>
      <c r="O50" s="13"/>
      <c r="P50" s="1">
        <f>SUM(OSRRefP22_5x_0)</f>
        <v>192.72</v>
      </c>
      <c r="Q50" s="1"/>
      <c r="R50" s="5">
        <f t="shared" si="28"/>
        <v>0</v>
      </c>
      <c r="S50" s="1"/>
      <c r="T50" s="1">
        <f>SUM(OSRRefT22_5x_0)</f>
        <v>350</v>
      </c>
      <c r="U50" s="1"/>
      <c r="V50" s="5">
        <f t="shared" si="29"/>
        <v>0</v>
      </c>
      <c r="W50" s="1"/>
      <c r="X50" s="1">
        <f t="shared" si="30"/>
        <v>-157.28</v>
      </c>
      <c r="Y50" s="1"/>
      <c r="Z50" s="5">
        <f t="shared" si="31"/>
        <v>-0.44937142857142859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4"/>
        <v>0</v>
      </c>
      <c r="G51" s="2"/>
      <c r="H51" s="6">
        <v>50</v>
      </c>
      <c r="I51" s="2"/>
      <c r="J51" s="7">
        <f t="shared" si="25"/>
        <v>0</v>
      </c>
      <c r="K51" s="2"/>
      <c r="L51" s="6">
        <f t="shared" si="26"/>
        <v>-50</v>
      </c>
      <c r="M51" s="2"/>
      <c r="N51" s="7">
        <f t="shared" si="27"/>
        <v>-1</v>
      </c>
      <c r="O51" s="11"/>
      <c r="P51" s="6">
        <v>192.72</v>
      </c>
      <c r="Q51" s="2"/>
      <c r="R51" s="7">
        <f t="shared" si="28"/>
        <v>0</v>
      </c>
      <c r="S51" s="2"/>
      <c r="T51" s="6">
        <v>350</v>
      </c>
      <c r="U51" s="2"/>
      <c r="V51" s="7">
        <f t="shared" si="29"/>
        <v>0</v>
      </c>
      <c r="W51" s="2"/>
      <c r="X51" s="6">
        <f t="shared" si="30"/>
        <v>-157.28</v>
      </c>
      <c r="Y51" s="2"/>
      <c r="Z51" s="7">
        <f t="shared" si="31"/>
        <v>-0.44937142857142859</v>
      </c>
    </row>
    <row r="52" spans="1:26" s="26" customFormat="1" outlineLevel="1" collapsed="1" x14ac:dyDescent="0.25">
      <c r="A52" s="25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1794.84</v>
      </c>
      <c r="E52" s="1"/>
      <c r="F52" s="5">
        <f t="shared" si="24"/>
        <v>0</v>
      </c>
      <c r="G52" s="1"/>
      <c r="H52" s="1">
        <f>SUM(OSRRefH22_6x_0)</f>
        <v>1000</v>
      </c>
      <c r="I52" s="1"/>
      <c r="J52" s="5">
        <f t="shared" si="25"/>
        <v>0</v>
      </c>
      <c r="K52" s="1"/>
      <c r="L52" s="1">
        <f t="shared" si="26"/>
        <v>794.83999999999992</v>
      </c>
      <c r="M52" s="1"/>
      <c r="N52" s="5">
        <f t="shared" si="27"/>
        <v>0.79483999999999988</v>
      </c>
      <c r="O52" s="13"/>
      <c r="P52" s="1">
        <f>SUM(OSRRefP22_6x_0)</f>
        <v>4646.28</v>
      </c>
      <c r="Q52" s="1"/>
      <c r="R52" s="5">
        <f t="shared" si="28"/>
        <v>0</v>
      </c>
      <c r="S52" s="1"/>
      <c r="T52" s="1">
        <f>SUM(OSRRefT22_6x_0)</f>
        <v>4500</v>
      </c>
      <c r="U52" s="1"/>
      <c r="V52" s="5">
        <f t="shared" si="29"/>
        <v>0</v>
      </c>
      <c r="W52" s="1"/>
      <c r="X52" s="1">
        <f t="shared" si="30"/>
        <v>146.27999999999975</v>
      </c>
      <c r="Y52" s="1"/>
      <c r="Z52" s="5">
        <f t="shared" si="31"/>
        <v>3.2506666666666607E-2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1794.84</v>
      </c>
      <c r="E53" s="2"/>
      <c r="F53" s="7">
        <f t="shared" si="24"/>
        <v>0</v>
      </c>
      <c r="G53" s="2"/>
      <c r="H53" s="6">
        <v>1000</v>
      </c>
      <c r="I53" s="2"/>
      <c r="J53" s="7">
        <f t="shared" si="25"/>
        <v>0</v>
      </c>
      <c r="K53" s="2"/>
      <c r="L53" s="6">
        <f t="shared" si="26"/>
        <v>794.83999999999992</v>
      </c>
      <c r="M53" s="2"/>
      <c r="N53" s="7">
        <f t="shared" si="27"/>
        <v>0.79483999999999988</v>
      </c>
      <c r="O53" s="11"/>
      <c r="P53" s="6">
        <v>4646.28</v>
      </c>
      <c r="Q53" s="2"/>
      <c r="R53" s="7">
        <f t="shared" si="28"/>
        <v>0</v>
      </c>
      <c r="S53" s="2"/>
      <c r="T53" s="6">
        <v>4500</v>
      </c>
      <c r="U53" s="2"/>
      <c r="V53" s="7">
        <f t="shared" si="29"/>
        <v>0</v>
      </c>
      <c r="W53" s="2"/>
      <c r="X53" s="6">
        <f t="shared" si="30"/>
        <v>146.27999999999975</v>
      </c>
      <c r="Y53" s="2"/>
      <c r="Z53" s="7">
        <f t="shared" si="31"/>
        <v>3.2506666666666607E-2</v>
      </c>
    </row>
    <row r="54" spans="1:26" s="26" customFormat="1" outlineLevel="1" collapsed="1" x14ac:dyDescent="0.25">
      <c r="A54" s="25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1136.44</v>
      </c>
      <c r="E54" s="1"/>
      <c r="F54" s="5">
        <f t="shared" si="24"/>
        <v>0</v>
      </c>
      <c r="G54" s="1"/>
      <c r="H54" s="1">
        <f>SUM(OSRRefH22_7x_0)</f>
        <v>1000</v>
      </c>
      <c r="I54" s="1"/>
      <c r="J54" s="5">
        <f t="shared" si="25"/>
        <v>0</v>
      </c>
      <c r="K54" s="1"/>
      <c r="L54" s="1">
        <f t="shared" si="26"/>
        <v>136.44000000000005</v>
      </c>
      <c r="M54" s="1"/>
      <c r="N54" s="5">
        <f t="shared" si="27"/>
        <v>0.13644000000000006</v>
      </c>
      <c r="O54" s="13"/>
      <c r="P54" s="1">
        <f>SUM(OSRRefP22_7x_0)</f>
        <v>1136.44</v>
      </c>
      <c r="Q54" s="1"/>
      <c r="R54" s="5">
        <f t="shared" si="28"/>
        <v>0</v>
      </c>
      <c r="S54" s="1"/>
      <c r="T54" s="1">
        <f>SUM(OSRRefT22_7x_0)</f>
        <v>3000</v>
      </c>
      <c r="U54" s="1"/>
      <c r="V54" s="5">
        <f t="shared" si="29"/>
        <v>0</v>
      </c>
      <c r="W54" s="1"/>
      <c r="X54" s="1">
        <f t="shared" si="30"/>
        <v>-1863.56</v>
      </c>
      <c r="Y54" s="1"/>
      <c r="Z54" s="5">
        <f t="shared" si="31"/>
        <v>-0.62118666666666666</v>
      </c>
    </row>
    <row r="55" spans="1:26" s="24" customFormat="1" hidden="1" outlineLevel="2" x14ac:dyDescent="0.25">
      <c r="A55" s="27"/>
      <c r="B55" s="11" t="str">
        <f>CONCATENATE("          ", "6279", " - ", "GENERAL EXPENSE")</f>
        <v xml:space="preserve">          6279 - GENERAL EXPENSE</v>
      </c>
      <c r="C55" s="11"/>
      <c r="D55" s="6">
        <v>1136.44</v>
      </c>
      <c r="E55" s="2"/>
      <c r="F55" s="7">
        <f t="shared" si="24"/>
        <v>0</v>
      </c>
      <c r="G55" s="2"/>
      <c r="H55" s="6">
        <v>1000</v>
      </c>
      <c r="I55" s="2"/>
      <c r="J55" s="7">
        <f t="shared" si="25"/>
        <v>0</v>
      </c>
      <c r="K55" s="2"/>
      <c r="L55" s="6">
        <f t="shared" si="26"/>
        <v>136.44000000000005</v>
      </c>
      <c r="M55" s="2"/>
      <c r="N55" s="7">
        <f t="shared" si="27"/>
        <v>0.13644000000000006</v>
      </c>
      <c r="O55" s="11"/>
      <c r="P55" s="6">
        <v>1136.44</v>
      </c>
      <c r="Q55" s="2"/>
      <c r="R55" s="7">
        <f t="shared" si="28"/>
        <v>0</v>
      </c>
      <c r="S55" s="2"/>
      <c r="T55" s="6">
        <v>3000</v>
      </c>
      <c r="U55" s="2"/>
      <c r="V55" s="7">
        <f t="shared" si="29"/>
        <v>0</v>
      </c>
      <c r="W55" s="2"/>
      <c r="X55" s="6">
        <f t="shared" si="30"/>
        <v>-1863.56</v>
      </c>
      <c r="Y55" s="2"/>
      <c r="Z55" s="7">
        <f t="shared" si="31"/>
        <v>-0.62118666666666666</v>
      </c>
    </row>
    <row r="56" spans="1:26" s="26" customFormat="1" outlineLevel="1" collapsed="1" x14ac:dyDescent="0.25">
      <c r="A56" s="25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3598.85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198.84999999999991</v>
      </c>
      <c r="M56" s="1"/>
      <c r="N56" s="5">
        <f t="shared" si="27"/>
        <v>5.8485294117647031E-2</v>
      </c>
      <c r="O56" s="13"/>
      <c r="P56" s="1">
        <f>SUM(OSRRefP22_8x_0)</f>
        <v>14395.4</v>
      </c>
      <c r="Q56" s="1"/>
      <c r="R56" s="5">
        <f t="shared" si="28"/>
        <v>0</v>
      </c>
      <c r="S56" s="1"/>
      <c r="T56" s="1">
        <f>SUM(OSRRefT22_8x_0)</f>
        <v>13600</v>
      </c>
      <c r="U56" s="1"/>
      <c r="V56" s="5">
        <f t="shared" si="29"/>
        <v>0</v>
      </c>
      <c r="W56" s="1"/>
      <c r="X56" s="1">
        <f t="shared" si="30"/>
        <v>795.39999999999964</v>
      </c>
      <c r="Y56" s="1"/>
      <c r="Z56" s="5">
        <f t="shared" si="31"/>
        <v>5.8485294117647031E-2</v>
      </c>
    </row>
    <row r="57" spans="1:26" s="24" customFormat="1" hidden="1" outlineLevel="2" x14ac:dyDescent="0.25">
      <c r="A57" s="27"/>
      <c r="B57" s="11" t="str">
        <f>CONCATENATE("          ", "6314", " - ", "LIABILITY INSURANCE")</f>
        <v xml:space="preserve">          6314 - LIABILITY INSURANCE</v>
      </c>
      <c r="C57" s="11"/>
      <c r="D57" s="6">
        <v>3598.85</v>
      </c>
      <c r="E57" s="2"/>
      <c r="F57" s="7">
        <f t="shared" si="24"/>
        <v>0</v>
      </c>
      <c r="G57" s="2"/>
      <c r="H57" s="6">
        <v>3400</v>
      </c>
      <c r="I57" s="2"/>
      <c r="J57" s="7">
        <f t="shared" si="25"/>
        <v>0</v>
      </c>
      <c r="K57" s="2"/>
      <c r="L57" s="6">
        <f t="shared" si="26"/>
        <v>198.84999999999991</v>
      </c>
      <c r="M57" s="2"/>
      <c r="N57" s="7">
        <f t="shared" si="27"/>
        <v>5.8485294117647031E-2</v>
      </c>
      <c r="O57" s="11"/>
      <c r="P57" s="6">
        <v>14395.4</v>
      </c>
      <c r="Q57" s="2"/>
      <c r="R57" s="7">
        <f t="shared" si="28"/>
        <v>0</v>
      </c>
      <c r="S57" s="2"/>
      <c r="T57" s="6">
        <v>13600</v>
      </c>
      <c r="U57" s="2"/>
      <c r="V57" s="7">
        <f t="shared" si="29"/>
        <v>0</v>
      </c>
      <c r="W57" s="2"/>
      <c r="X57" s="6">
        <f t="shared" si="30"/>
        <v>795.39999999999964</v>
      </c>
      <c r="Y57" s="2"/>
      <c r="Z57" s="7">
        <f t="shared" si="31"/>
        <v>5.8485294117647031E-2</v>
      </c>
    </row>
    <row r="58" spans="1:26" s="26" customFormat="1" outlineLevel="1" collapsed="1" x14ac:dyDescent="0.25">
      <c r="A58" s="25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7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125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125</v>
      </c>
      <c r="Y59" s="2"/>
      <c r="Z59" s="7">
        <f t="shared" si="31"/>
        <v>0</v>
      </c>
    </row>
    <row r="60" spans="1:26" s="26" customFormat="1" outlineLevel="1" collapsed="1" x14ac:dyDescent="0.25">
      <c r="A60" s="25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7515.44</v>
      </c>
      <c r="E60" s="1"/>
      <c r="F60" s="5">
        <f t="shared" si="24"/>
        <v>0</v>
      </c>
      <c r="G60" s="1"/>
      <c r="H60" s="1">
        <f>SUM(OSRRefH22_10x_0)</f>
        <v>21700</v>
      </c>
      <c r="I60" s="1"/>
      <c r="J60" s="5">
        <f t="shared" si="25"/>
        <v>0</v>
      </c>
      <c r="K60" s="1"/>
      <c r="L60" s="1">
        <f t="shared" si="26"/>
        <v>-14184.560000000001</v>
      </c>
      <c r="M60" s="1"/>
      <c r="N60" s="5">
        <f t="shared" si="27"/>
        <v>-0.65366635944700469</v>
      </c>
      <c r="O60" s="13"/>
      <c r="P60" s="1">
        <f>SUM(OSRRefP22_10x_0)</f>
        <v>43567.91</v>
      </c>
      <c r="Q60" s="1"/>
      <c r="R60" s="5">
        <f t="shared" si="28"/>
        <v>0</v>
      </c>
      <c r="S60" s="1"/>
      <c r="T60" s="1">
        <f>SUM(OSRRefT22_10x_0)</f>
        <v>65800</v>
      </c>
      <c r="U60" s="1"/>
      <c r="V60" s="5">
        <f t="shared" si="29"/>
        <v>0</v>
      </c>
      <c r="W60" s="1"/>
      <c r="X60" s="1">
        <f t="shared" si="30"/>
        <v>-22232.089999999997</v>
      </c>
      <c r="Y60" s="1"/>
      <c r="Z60" s="5">
        <f t="shared" si="31"/>
        <v>-0.33787370820668688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4"/>
        <v>0</v>
      </c>
      <c r="G61" s="2"/>
      <c r="H61" s="6">
        <v>500</v>
      </c>
      <c r="I61" s="2"/>
      <c r="J61" s="7">
        <f t="shared" si="25"/>
        <v>0</v>
      </c>
      <c r="K61" s="2"/>
      <c r="L61" s="6">
        <f t="shared" si="26"/>
        <v>-500</v>
      </c>
      <c r="M61" s="2"/>
      <c r="N61" s="7">
        <f t="shared" si="27"/>
        <v>-1</v>
      </c>
      <c r="O61" s="11"/>
      <c r="P61" s="6"/>
      <c r="Q61" s="2"/>
      <c r="R61" s="7">
        <f t="shared" si="28"/>
        <v>0</v>
      </c>
      <c r="S61" s="2"/>
      <c r="T61" s="6">
        <v>1000</v>
      </c>
      <c r="U61" s="2"/>
      <c r="V61" s="7">
        <f t="shared" si="29"/>
        <v>0</v>
      </c>
      <c r="W61" s="2"/>
      <c r="X61" s="6">
        <f t="shared" si="30"/>
        <v>-1000</v>
      </c>
      <c r="Y61" s="2"/>
      <c r="Z61" s="7">
        <f t="shared" si="31"/>
        <v>-1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5096.57</v>
      </c>
      <c r="E62" s="2"/>
      <c r="F62" s="7">
        <f t="shared" si="24"/>
        <v>0</v>
      </c>
      <c r="G62" s="2"/>
      <c r="H62" s="6">
        <v>1200</v>
      </c>
      <c r="I62" s="2"/>
      <c r="J62" s="7">
        <f t="shared" si="25"/>
        <v>0</v>
      </c>
      <c r="K62" s="2"/>
      <c r="L62" s="6">
        <f t="shared" si="26"/>
        <v>3896.5699999999997</v>
      </c>
      <c r="M62" s="2"/>
      <c r="N62" s="7">
        <f t="shared" si="27"/>
        <v>3.2471416666666664</v>
      </c>
      <c r="O62" s="11"/>
      <c r="P62" s="6">
        <v>24193.99</v>
      </c>
      <c r="Q62" s="2"/>
      <c r="R62" s="7">
        <f t="shared" si="28"/>
        <v>0</v>
      </c>
      <c r="S62" s="2"/>
      <c r="T62" s="6">
        <v>4800</v>
      </c>
      <c r="U62" s="2"/>
      <c r="V62" s="7">
        <f t="shared" si="29"/>
        <v>0</v>
      </c>
      <c r="W62" s="2"/>
      <c r="X62" s="6">
        <f t="shared" si="30"/>
        <v>19393.990000000002</v>
      </c>
      <c r="Y62" s="2"/>
      <c r="Z62" s="7">
        <f t="shared" si="31"/>
        <v>4.0404145833333338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2418.87</v>
      </c>
      <c r="E63" s="2"/>
      <c r="F63" s="7">
        <f t="shared" si="24"/>
        <v>0</v>
      </c>
      <c r="G63" s="2"/>
      <c r="H63" s="6">
        <v>20000</v>
      </c>
      <c r="I63" s="2"/>
      <c r="J63" s="7">
        <f t="shared" si="25"/>
        <v>0</v>
      </c>
      <c r="K63" s="2"/>
      <c r="L63" s="6">
        <f t="shared" si="26"/>
        <v>-17581.13</v>
      </c>
      <c r="M63" s="2"/>
      <c r="N63" s="7">
        <f t="shared" si="27"/>
        <v>-0.87905650000000002</v>
      </c>
      <c r="O63" s="11"/>
      <c r="P63" s="6">
        <v>19373.919999999998</v>
      </c>
      <c r="Q63" s="2"/>
      <c r="R63" s="7">
        <f t="shared" si="28"/>
        <v>0</v>
      </c>
      <c r="S63" s="2"/>
      <c r="T63" s="6">
        <v>60000</v>
      </c>
      <c r="U63" s="2"/>
      <c r="V63" s="7">
        <f t="shared" si="29"/>
        <v>0</v>
      </c>
      <c r="W63" s="2"/>
      <c r="X63" s="6">
        <f t="shared" si="30"/>
        <v>-40626.080000000002</v>
      </c>
      <c r="Y63" s="2"/>
      <c r="Z63" s="7">
        <f t="shared" si="31"/>
        <v>-0.67710133333333333</v>
      </c>
    </row>
    <row r="64" spans="1:26" s="26" customFormat="1" outlineLevel="1" collapsed="1" x14ac:dyDescent="0.25">
      <c r="A64" s="25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14185.33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500.32999999999993</v>
      </c>
      <c r="M64" s="1"/>
      <c r="N64" s="5">
        <f t="shared" ref="N64:N69" si="35">IF(H64=0,0,L64/H64)</f>
        <v>3.6560467665326994E-2</v>
      </c>
      <c r="O64" s="13"/>
      <c r="P64" s="1">
        <f>SUM(OSRRefP22_11x_0)</f>
        <v>50072.67</v>
      </c>
      <c r="Q64" s="1"/>
      <c r="R64" s="5">
        <f t="shared" ref="R64:R69" si="36">IF(P$12=0,0,P64/P$12)</f>
        <v>0</v>
      </c>
      <c r="S64" s="1"/>
      <c r="T64" s="1">
        <f>SUM(OSRRefT22_11x_0)</f>
        <v>54705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-4632.3300000000017</v>
      </c>
      <c r="Y64" s="1"/>
      <c r="Z64" s="5">
        <f t="shared" ref="Z64:Z69" si="39">IF(T64=0,0,X64/T64)</f>
        <v>-8.4678365780093259E-2</v>
      </c>
    </row>
    <row r="65" spans="1:26" s="24" customFormat="1" hidden="1" outlineLevel="2" x14ac:dyDescent="0.25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626.26</v>
      </c>
      <c r="E65" s="2"/>
      <c r="F65" s="7">
        <f t="shared" si="32"/>
        <v>0</v>
      </c>
      <c r="G65" s="2"/>
      <c r="H65" s="6">
        <v>650</v>
      </c>
      <c r="I65" s="2"/>
      <c r="J65" s="7">
        <f t="shared" si="33"/>
        <v>0</v>
      </c>
      <c r="K65" s="2"/>
      <c r="L65" s="6">
        <f t="shared" si="34"/>
        <v>-23.740000000000009</v>
      </c>
      <c r="M65" s="2"/>
      <c r="N65" s="7">
        <f t="shared" si="35"/>
        <v>-3.6523076923076936E-2</v>
      </c>
      <c r="O65" s="11"/>
      <c r="P65" s="6">
        <v>2505.04</v>
      </c>
      <c r="Q65" s="2"/>
      <c r="R65" s="7">
        <f t="shared" si="36"/>
        <v>0</v>
      </c>
      <c r="S65" s="2"/>
      <c r="T65" s="6">
        <v>2600</v>
      </c>
      <c r="U65" s="2"/>
      <c r="V65" s="7">
        <f t="shared" si="37"/>
        <v>0</v>
      </c>
      <c r="W65" s="2"/>
      <c r="X65" s="6">
        <f t="shared" si="38"/>
        <v>-94.960000000000036</v>
      </c>
      <c r="Y65" s="2"/>
      <c r="Z65" s="7">
        <f t="shared" si="39"/>
        <v>-3.6523076923076936E-2</v>
      </c>
    </row>
    <row r="66" spans="1:26" s="24" customFormat="1" hidden="1" outlineLevel="2" x14ac:dyDescent="0.25">
      <c r="A66" s="27"/>
      <c r="B66" s="11" t="str">
        <f>CONCATENATE("          ", "6283", " - ", "PLANT SERVICE")</f>
        <v xml:space="preserve">          6283 - PLANT SERVICE</v>
      </c>
      <c r="C66" s="11"/>
      <c r="D66" s="6"/>
      <c r="E66" s="2"/>
      <c r="F66" s="7">
        <f t="shared" si="32"/>
        <v>0</v>
      </c>
      <c r="G66" s="2"/>
      <c r="H66" s="6">
        <v>35</v>
      </c>
      <c r="I66" s="2"/>
      <c r="J66" s="7">
        <f t="shared" si="33"/>
        <v>0</v>
      </c>
      <c r="K66" s="2"/>
      <c r="L66" s="6">
        <f t="shared" si="34"/>
        <v>-35</v>
      </c>
      <c r="M66" s="2"/>
      <c r="N66" s="7">
        <f t="shared" si="35"/>
        <v>-1</v>
      </c>
      <c r="O66" s="11"/>
      <c r="P66" s="6">
        <v>106.59</v>
      </c>
      <c r="Q66" s="2"/>
      <c r="R66" s="7">
        <f t="shared" si="36"/>
        <v>0</v>
      </c>
      <c r="S66" s="2"/>
      <c r="T66" s="6">
        <v>105</v>
      </c>
      <c r="U66" s="2"/>
      <c r="V66" s="7">
        <f t="shared" si="37"/>
        <v>0</v>
      </c>
      <c r="W66" s="2"/>
      <c r="X66" s="6">
        <f t="shared" si="38"/>
        <v>1.5900000000000034</v>
      </c>
      <c r="Y66" s="2"/>
      <c r="Z66" s="7">
        <f t="shared" si="39"/>
        <v>1.5142857142857175E-2</v>
      </c>
    </row>
    <row r="67" spans="1:26" s="24" customFormat="1" hidden="1" outlineLevel="2" x14ac:dyDescent="0.25">
      <c r="A67" s="27"/>
      <c r="B67" s="11" t="str">
        <f>CONCATENATE("          ", "6284", " - ", "TRASH REMOVAL EXPENSE")</f>
        <v xml:space="preserve">          6284 - TRASH REMOVAL EXPENSE</v>
      </c>
      <c r="C67" s="11"/>
      <c r="D67" s="6">
        <v>3482</v>
      </c>
      <c r="E67" s="2"/>
      <c r="F67" s="7">
        <f t="shared" si="32"/>
        <v>0</v>
      </c>
      <c r="G67" s="2"/>
      <c r="H67" s="6">
        <v>3000</v>
      </c>
      <c r="I67" s="2"/>
      <c r="J67" s="7">
        <f t="shared" si="33"/>
        <v>0</v>
      </c>
      <c r="K67" s="2"/>
      <c r="L67" s="6">
        <f t="shared" si="34"/>
        <v>482</v>
      </c>
      <c r="M67" s="2"/>
      <c r="N67" s="7">
        <f t="shared" si="35"/>
        <v>0.16066666666666668</v>
      </c>
      <c r="O67" s="11"/>
      <c r="P67" s="6">
        <v>6964</v>
      </c>
      <c r="Q67" s="2"/>
      <c r="R67" s="7">
        <f t="shared" si="36"/>
        <v>0</v>
      </c>
      <c r="S67" s="2"/>
      <c r="T67" s="6">
        <v>12000</v>
      </c>
      <c r="U67" s="2"/>
      <c r="V67" s="7">
        <f t="shared" si="37"/>
        <v>0</v>
      </c>
      <c r="W67" s="2"/>
      <c r="X67" s="6">
        <f t="shared" si="38"/>
        <v>-5036</v>
      </c>
      <c r="Y67" s="2"/>
      <c r="Z67" s="7">
        <f t="shared" si="39"/>
        <v>-0.41966666666666669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9853.51</v>
      </c>
      <c r="E68" s="2"/>
      <c r="F68" s="7">
        <f t="shared" si="32"/>
        <v>0</v>
      </c>
      <c r="G68" s="2"/>
      <c r="H68" s="6">
        <v>9500</v>
      </c>
      <c r="I68" s="2"/>
      <c r="J68" s="7">
        <f t="shared" si="33"/>
        <v>0</v>
      </c>
      <c r="K68" s="2"/>
      <c r="L68" s="6">
        <f t="shared" si="34"/>
        <v>353.51000000000022</v>
      </c>
      <c r="M68" s="2"/>
      <c r="N68" s="7">
        <f t="shared" si="35"/>
        <v>3.7211578947368443E-2</v>
      </c>
      <c r="O68" s="11"/>
      <c r="P68" s="6">
        <v>40194.04</v>
      </c>
      <c r="Q68" s="2"/>
      <c r="R68" s="7">
        <f t="shared" si="36"/>
        <v>0</v>
      </c>
      <c r="S68" s="2"/>
      <c r="T68" s="6">
        <v>38000</v>
      </c>
      <c r="U68" s="2"/>
      <c r="V68" s="7">
        <f t="shared" si="37"/>
        <v>0</v>
      </c>
      <c r="W68" s="2"/>
      <c r="X68" s="6">
        <f t="shared" si="38"/>
        <v>2194.0400000000009</v>
      </c>
      <c r="Y68" s="2"/>
      <c r="Z68" s="7">
        <f t="shared" si="39"/>
        <v>5.7737894736842127E-2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>
        <v>223.56</v>
      </c>
      <c r="E69" s="2"/>
      <c r="F69" s="7">
        <f t="shared" si="32"/>
        <v>0</v>
      </c>
      <c r="G69" s="2"/>
      <c r="H69" s="6">
        <v>500</v>
      </c>
      <c r="I69" s="2"/>
      <c r="J69" s="7">
        <f t="shared" si="33"/>
        <v>0</v>
      </c>
      <c r="K69" s="2"/>
      <c r="L69" s="6">
        <f t="shared" si="34"/>
        <v>-276.44</v>
      </c>
      <c r="M69" s="2"/>
      <c r="N69" s="7">
        <f t="shared" si="35"/>
        <v>-0.55288000000000004</v>
      </c>
      <c r="O69" s="11"/>
      <c r="P69" s="6">
        <v>303</v>
      </c>
      <c r="Q69" s="2"/>
      <c r="R69" s="7">
        <f t="shared" si="36"/>
        <v>0</v>
      </c>
      <c r="S69" s="2"/>
      <c r="T69" s="6">
        <v>2000</v>
      </c>
      <c r="U69" s="2"/>
      <c r="V69" s="7">
        <f t="shared" si="37"/>
        <v>0</v>
      </c>
      <c r="W69" s="2"/>
      <c r="X69" s="6">
        <f t="shared" si="38"/>
        <v>-1697</v>
      </c>
      <c r="Y69" s="2"/>
      <c r="Z69" s="7">
        <f t="shared" si="39"/>
        <v>-0.84850000000000003</v>
      </c>
    </row>
    <row r="70" spans="1:26" s="26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12042.73</v>
      </c>
      <c r="E70" s="1"/>
      <c r="F70" s="5">
        <f t="shared" ref="F70:F77" si="40">IF(D$12=0,0,D70/D$12)</f>
        <v>0</v>
      </c>
      <c r="G70" s="1"/>
      <c r="H70" s="1">
        <f>SUM(OSRRefH22_12x_0)</f>
        <v>5100</v>
      </c>
      <c r="I70" s="1"/>
      <c r="J70" s="5">
        <f t="shared" ref="J70:J77" si="41">IF(H$12=0,0,H70/H$12)</f>
        <v>0</v>
      </c>
      <c r="K70" s="1"/>
      <c r="L70" s="1">
        <f t="shared" ref="L70:L77" si="42">+D70-H70</f>
        <v>6942.73</v>
      </c>
      <c r="M70" s="1"/>
      <c r="N70" s="5">
        <f t="shared" ref="N70:N77" si="43">IF(H70=0,0,L70/H70)</f>
        <v>1.3613196078431371</v>
      </c>
      <c r="O70" s="13"/>
      <c r="P70" s="1">
        <f>SUM(OSRRefP22_12x_0)</f>
        <v>33758.429999999993</v>
      </c>
      <c r="Q70" s="1"/>
      <c r="R70" s="5">
        <f t="shared" ref="R70:R77" si="44">IF(P$12=0,0,P70/P$12)</f>
        <v>0</v>
      </c>
      <c r="S70" s="1"/>
      <c r="T70" s="1">
        <f>SUM(OSRRefT22_12x_0)</f>
        <v>22200</v>
      </c>
      <c r="U70" s="1"/>
      <c r="V70" s="5">
        <f t="shared" ref="V70:V77" si="45">IF(T$12=0,0,T70/T$12)</f>
        <v>0</v>
      </c>
      <c r="W70" s="1"/>
      <c r="X70" s="1">
        <f t="shared" ref="X70:X77" si="46">+P70-T70</f>
        <v>11558.429999999993</v>
      </c>
      <c r="Y70" s="1"/>
      <c r="Z70" s="5">
        <f t="shared" ref="Z70:Z77" si="47">IF(T70=0,0,X70/T70)</f>
        <v>0.52064999999999972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7670.09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7670.09</v>
      </c>
      <c r="Y71" s="2"/>
      <c r="Z71" s="7">
        <f t="shared" si="47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>
        <v>6350.53</v>
      </c>
      <c r="E72" s="2"/>
      <c r="F72" s="7">
        <f t="shared" si="40"/>
        <v>0</v>
      </c>
      <c r="G72" s="2"/>
      <c r="H72" s="6">
        <v>3000</v>
      </c>
      <c r="I72" s="2"/>
      <c r="J72" s="7">
        <f t="shared" si="41"/>
        <v>0</v>
      </c>
      <c r="K72" s="2"/>
      <c r="L72" s="6">
        <f t="shared" si="42"/>
        <v>3350.5299999999997</v>
      </c>
      <c r="M72" s="2"/>
      <c r="N72" s="7">
        <f t="shared" si="43"/>
        <v>1.1168433333333332</v>
      </c>
      <c r="O72" s="11"/>
      <c r="P72" s="6">
        <v>15265.72</v>
      </c>
      <c r="Q72" s="2"/>
      <c r="R72" s="7">
        <f t="shared" si="44"/>
        <v>0</v>
      </c>
      <c r="S72" s="2"/>
      <c r="T72" s="6">
        <v>13000</v>
      </c>
      <c r="U72" s="2"/>
      <c r="V72" s="7">
        <f t="shared" si="45"/>
        <v>0</v>
      </c>
      <c r="W72" s="2"/>
      <c r="X72" s="6">
        <f t="shared" si="46"/>
        <v>2265.7199999999993</v>
      </c>
      <c r="Y72" s="2"/>
      <c r="Z72" s="7">
        <f t="shared" si="47"/>
        <v>0.17428615384615379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6">
        <v>4997.1099999999997</v>
      </c>
      <c r="E73" s="2"/>
      <c r="F73" s="7">
        <f t="shared" si="40"/>
        <v>0</v>
      </c>
      <c r="G73" s="2"/>
      <c r="H73" s="6">
        <v>1500</v>
      </c>
      <c r="I73" s="2"/>
      <c r="J73" s="7">
        <f t="shared" si="41"/>
        <v>0</v>
      </c>
      <c r="K73" s="2"/>
      <c r="L73" s="6">
        <f t="shared" si="42"/>
        <v>3497.1099999999997</v>
      </c>
      <c r="M73" s="2"/>
      <c r="N73" s="7">
        <f t="shared" si="43"/>
        <v>2.3314066666666666</v>
      </c>
      <c r="O73" s="11"/>
      <c r="P73" s="6">
        <v>10804.56</v>
      </c>
      <c r="Q73" s="2"/>
      <c r="R73" s="7">
        <f t="shared" si="44"/>
        <v>0</v>
      </c>
      <c r="S73" s="2"/>
      <c r="T73" s="6">
        <v>4500</v>
      </c>
      <c r="U73" s="2"/>
      <c r="V73" s="7">
        <f t="shared" si="45"/>
        <v>0</v>
      </c>
      <c r="W73" s="2"/>
      <c r="X73" s="6">
        <f t="shared" si="46"/>
        <v>6304.5599999999995</v>
      </c>
      <c r="Y73" s="2"/>
      <c r="Z73" s="7">
        <f t="shared" si="47"/>
        <v>1.4010133333333332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>
        <v>695.09</v>
      </c>
      <c r="E74" s="2"/>
      <c r="F74" s="7">
        <f t="shared" si="40"/>
        <v>0</v>
      </c>
      <c r="G74" s="2"/>
      <c r="H74" s="6">
        <v>200</v>
      </c>
      <c r="I74" s="2"/>
      <c r="J74" s="7">
        <f t="shared" si="41"/>
        <v>0</v>
      </c>
      <c r="K74" s="2"/>
      <c r="L74" s="6">
        <f t="shared" si="42"/>
        <v>495.09000000000003</v>
      </c>
      <c r="M74" s="2"/>
      <c r="N74" s="7">
        <f t="shared" si="43"/>
        <v>2.4754500000000004</v>
      </c>
      <c r="O74" s="11"/>
      <c r="P74" s="6">
        <v>-214.75</v>
      </c>
      <c r="Q74" s="2"/>
      <c r="R74" s="7">
        <f t="shared" si="44"/>
        <v>0</v>
      </c>
      <c r="S74" s="2"/>
      <c r="T74" s="6">
        <v>1100</v>
      </c>
      <c r="U74" s="2"/>
      <c r="V74" s="7">
        <f t="shared" si="45"/>
        <v>0</v>
      </c>
      <c r="W74" s="2"/>
      <c r="X74" s="6">
        <f t="shared" si="46"/>
        <v>-1314.75</v>
      </c>
      <c r="Y74" s="2"/>
      <c r="Z74" s="7">
        <f t="shared" si="47"/>
        <v>-1.1952272727272728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40"/>
        <v>0</v>
      </c>
      <c r="G75" s="2"/>
      <c r="H75" s="6">
        <v>400</v>
      </c>
      <c r="I75" s="2"/>
      <c r="J75" s="7">
        <f t="shared" si="41"/>
        <v>0</v>
      </c>
      <c r="K75" s="2"/>
      <c r="L75" s="6">
        <f t="shared" si="42"/>
        <v>-400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1600</v>
      </c>
      <c r="U75" s="2"/>
      <c r="V75" s="7">
        <f t="shared" si="45"/>
        <v>0</v>
      </c>
      <c r="W75" s="2"/>
      <c r="X75" s="6">
        <f t="shared" si="46"/>
        <v>-1600</v>
      </c>
      <c r="Y75" s="2"/>
      <c r="Z75" s="7">
        <f t="shared" si="47"/>
        <v>-1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/>
      <c r="Q76" s="2"/>
      <c r="R76" s="7">
        <f t="shared" si="44"/>
        <v>0</v>
      </c>
      <c r="S76" s="2"/>
      <c r="T76" s="6">
        <v>500</v>
      </c>
      <c r="U76" s="2"/>
      <c r="V76" s="7">
        <f t="shared" si="45"/>
        <v>0</v>
      </c>
      <c r="W76" s="2"/>
      <c r="X76" s="6">
        <f t="shared" si="46"/>
        <v>-500</v>
      </c>
      <c r="Y76" s="2"/>
      <c r="Z76" s="7">
        <f t="shared" si="47"/>
        <v>-1</v>
      </c>
    </row>
    <row r="77" spans="1:26" s="24" customFormat="1" hidden="1" outlineLevel="2" x14ac:dyDescent="0.25">
      <c r="A77" s="27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40"/>
        <v>0</v>
      </c>
      <c r="G77" s="2"/>
      <c r="H77" s="6"/>
      <c r="I77" s="2"/>
      <c r="J77" s="7">
        <f t="shared" si="41"/>
        <v>0</v>
      </c>
      <c r="K77" s="2"/>
      <c r="L77" s="6">
        <f t="shared" si="42"/>
        <v>0</v>
      </c>
      <c r="M77" s="2"/>
      <c r="N77" s="7">
        <f t="shared" si="43"/>
        <v>0</v>
      </c>
      <c r="O77" s="11"/>
      <c r="P77" s="6">
        <v>232.81</v>
      </c>
      <c r="Q77" s="2"/>
      <c r="R77" s="7">
        <f t="shared" si="44"/>
        <v>0</v>
      </c>
      <c r="S77" s="2"/>
      <c r="T77" s="6">
        <v>1500</v>
      </c>
      <c r="U77" s="2"/>
      <c r="V77" s="7">
        <f t="shared" si="45"/>
        <v>0</v>
      </c>
      <c r="W77" s="2"/>
      <c r="X77" s="6">
        <f t="shared" si="46"/>
        <v>-1267.19</v>
      </c>
      <c r="Y77" s="2"/>
      <c r="Z77" s="7">
        <f t="shared" si="47"/>
        <v>-0.8447933333333334</v>
      </c>
    </row>
    <row r="78" spans="1:26" s="26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497</v>
      </c>
      <c r="E78" s="1"/>
      <c r="F78" s="5">
        <f t="shared" ref="F78:F85" si="48">IF(D$12=0,0,D78/D$12)</f>
        <v>0</v>
      </c>
      <c r="G78" s="1"/>
      <c r="H78" s="1">
        <f>SUM(OSRRefH22_13x_0)</f>
        <v>500</v>
      </c>
      <c r="I78" s="1"/>
      <c r="J78" s="5">
        <f t="shared" ref="J78:J85" si="49">IF(H$12=0,0,H78/H$12)</f>
        <v>0</v>
      </c>
      <c r="K78" s="1"/>
      <c r="L78" s="1">
        <f t="shared" ref="L78:L85" si="50">+D78-H78</f>
        <v>-3</v>
      </c>
      <c r="M78" s="1"/>
      <c r="N78" s="5">
        <f t="shared" ref="N78:N85" si="51">IF(H78=0,0,L78/H78)</f>
        <v>-6.0000000000000001E-3</v>
      </c>
      <c r="O78" s="13"/>
      <c r="P78" s="1">
        <f>SUM(OSRRefP22_13x_0)</f>
        <v>1519.55</v>
      </c>
      <c r="Q78" s="1"/>
      <c r="R78" s="5">
        <f t="shared" ref="R78:R85" si="52">IF(P$12=0,0,P78/P$12)</f>
        <v>0</v>
      </c>
      <c r="S78" s="1"/>
      <c r="T78" s="1">
        <f>SUM(OSRRefT22_13x_0)</f>
        <v>2000</v>
      </c>
      <c r="U78" s="1"/>
      <c r="V78" s="5">
        <f t="shared" ref="V78:V85" si="53">IF(T$12=0,0,T78/T$12)</f>
        <v>0</v>
      </c>
      <c r="W78" s="1"/>
      <c r="X78" s="1">
        <f t="shared" ref="X78:X85" si="54">+P78-T78</f>
        <v>-480.45000000000005</v>
      </c>
      <c r="Y78" s="1"/>
      <c r="Z78" s="5">
        <f t="shared" ref="Z78:Z85" si="55">IF(T78=0,0,X78/T78)</f>
        <v>-0.24022500000000002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497</v>
      </c>
      <c r="E79" s="2"/>
      <c r="F79" s="7">
        <f t="shared" si="48"/>
        <v>0</v>
      </c>
      <c r="G79" s="2"/>
      <c r="H79" s="6">
        <v>500</v>
      </c>
      <c r="I79" s="2"/>
      <c r="J79" s="7">
        <f t="shared" si="49"/>
        <v>0</v>
      </c>
      <c r="K79" s="2"/>
      <c r="L79" s="6">
        <f t="shared" si="50"/>
        <v>-3</v>
      </c>
      <c r="M79" s="2"/>
      <c r="N79" s="7">
        <f t="shared" si="51"/>
        <v>-6.0000000000000001E-3</v>
      </c>
      <c r="O79" s="11"/>
      <c r="P79" s="6">
        <v>1519.55</v>
      </c>
      <c r="Q79" s="2"/>
      <c r="R79" s="7">
        <f t="shared" si="52"/>
        <v>0</v>
      </c>
      <c r="S79" s="2"/>
      <c r="T79" s="6">
        <v>2000</v>
      </c>
      <c r="U79" s="2"/>
      <c r="V79" s="7">
        <f t="shared" si="53"/>
        <v>0</v>
      </c>
      <c r="W79" s="2"/>
      <c r="X79" s="6">
        <f t="shared" si="54"/>
        <v>-480.45000000000005</v>
      </c>
      <c r="Y79" s="2"/>
      <c r="Z79" s="7">
        <f t="shared" si="55"/>
        <v>-0.24022500000000002</v>
      </c>
    </row>
    <row r="80" spans="1:26" s="26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48"/>
        <v>0</v>
      </c>
      <c r="G80" s="1"/>
      <c r="H80" s="1">
        <f>SUM(OSRRefH22_14x_0)</f>
        <v>0</v>
      </c>
      <c r="I80" s="1"/>
      <c r="J80" s="5">
        <f t="shared" si="49"/>
        <v>0</v>
      </c>
      <c r="K80" s="1"/>
      <c r="L80" s="1">
        <f t="shared" si="50"/>
        <v>0</v>
      </c>
      <c r="M80" s="1"/>
      <c r="N80" s="5">
        <f t="shared" si="51"/>
        <v>0</v>
      </c>
      <c r="O80" s="13"/>
      <c r="P80" s="1">
        <f>SUM(OSRRefP22_14x_0)</f>
        <v>240</v>
      </c>
      <c r="Q80" s="1"/>
      <c r="R80" s="5">
        <f t="shared" si="52"/>
        <v>0</v>
      </c>
      <c r="S80" s="1"/>
      <c r="T80" s="1">
        <f>SUM(OSRRefT22_14x_0)</f>
        <v>1000</v>
      </c>
      <c r="U80" s="1"/>
      <c r="V80" s="5">
        <f t="shared" si="53"/>
        <v>0</v>
      </c>
      <c r="W80" s="1"/>
      <c r="X80" s="1">
        <f t="shared" si="54"/>
        <v>-760</v>
      </c>
      <c r="Y80" s="1"/>
      <c r="Z80" s="5">
        <f t="shared" si="55"/>
        <v>-0.76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0</v>
      </c>
      <c r="M81" s="2"/>
      <c r="N81" s="7">
        <f t="shared" si="51"/>
        <v>0</v>
      </c>
      <c r="O81" s="11"/>
      <c r="P81" s="6">
        <v>240</v>
      </c>
      <c r="Q81" s="2"/>
      <c r="R81" s="7">
        <f t="shared" si="52"/>
        <v>0</v>
      </c>
      <c r="S81" s="2"/>
      <c r="T81" s="6">
        <v>1000</v>
      </c>
      <c r="U81" s="2"/>
      <c r="V81" s="7">
        <f t="shared" si="53"/>
        <v>0</v>
      </c>
      <c r="W81" s="2"/>
      <c r="X81" s="6">
        <f t="shared" si="54"/>
        <v>-760</v>
      </c>
      <c r="Y81" s="2"/>
      <c r="Z81" s="7">
        <f t="shared" si="55"/>
        <v>-0.76</v>
      </c>
    </row>
    <row r="82" spans="1:26" s="26" customFormat="1" outlineLevel="1" collapsed="1" x14ac:dyDescent="0.25">
      <c r="A82" s="25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SUM(OSRRefD22_15x_0)</f>
        <v>0</v>
      </c>
      <c r="E82" s="1"/>
      <c r="F82" s="5">
        <f t="shared" si="48"/>
        <v>0</v>
      </c>
      <c r="G82" s="1"/>
      <c r="H82" s="1">
        <f>SUM(OSRRefH22_15x_0)</f>
        <v>2000</v>
      </c>
      <c r="I82" s="1"/>
      <c r="J82" s="5">
        <f t="shared" si="49"/>
        <v>0</v>
      </c>
      <c r="K82" s="1"/>
      <c r="L82" s="1">
        <f t="shared" si="50"/>
        <v>-2000</v>
      </c>
      <c r="M82" s="1"/>
      <c r="N82" s="5">
        <f t="shared" si="51"/>
        <v>-1</v>
      </c>
      <c r="O82" s="13"/>
      <c r="P82" s="1">
        <f>SUM(OSRRefP22_15x_0)</f>
        <v>1101.18</v>
      </c>
      <c r="Q82" s="1"/>
      <c r="R82" s="5">
        <f t="shared" si="52"/>
        <v>0</v>
      </c>
      <c r="S82" s="1"/>
      <c r="T82" s="1">
        <f>SUM(OSRRefT22_15x_0)</f>
        <v>2000</v>
      </c>
      <c r="U82" s="1"/>
      <c r="V82" s="5">
        <f t="shared" si="53"/>
        <v>0</v>
      </c>
      <c r="W82" s="1"/>
      <c r="X82" s="1">
        <f t="shared" si="54"/>
        <v>-898.81999999999994</v>
      </c>
      <c r="Y82" s="1"/>
      <c r="Z82" s="5">
        <f t="shared" si="55"/>
        <v>-0.44940999999999998</v>
      </c>
    </row>
    <row r="83" spans="1:26" s="24" customFormat="1" hidden="1" outlineLevel="2" x14ac:dyDescent="0.25">
      <c r="A83" s="27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48"/>
        <v>0</v>
      </c>
      <c r="G83" s="2"/>
      <c r="H83" s="6">
        <v>2000</v>
      </c>
      <c r="I83" s="2"/>
      <c r="J83" s="7">
        <f t="shared" si="49"/>
        <v>0</v>
      </c>
      <c r="K83" s="2"/>
      <c r="L83" s="6">
        <f t="shared" si="50"/>
        <v>-2000</v>
      </c>
      <c r="M83" s="2"/>
      <c r="N83" s="7">
        <f t="shared" si="51"/>
        <v>-1</v>
      </c>
      <c r="O83" s="11"/>
      <c r="P83" s="6">
        <v>545.69000000000005</v>
      </c>
      <c r="Q83" s="2"/>
      <c r="R83" s="7">
        <f t="shared" si="52"/>
        <v>0</v>
      </c>
      <c r="S83" s="2"/>
      <c r="T83" s="6">
        <v>2000</v>
      </c>
      <c r="U83" s="2"/>
      <c r="V83" s="7">
        <f t="shared" si="53"/>
        <v>0</v>
      </c>
      <c r="W83" s="2"/>
      <c r="X83" s="6">
        <f t="shared" si="54"/>
        <v>-1454.31</v>
      </c>
      <c r="Y83" s="2"/>
      <c r="Z83" s="7">
        <f t="shared" si="55"/>
        <v>-0.727155</v>
      </c>
    </row>
    <row r="84" spans="1:26" s="24" customFormat="1" hidden="1" outlineLevel="2" x14ac:dyDescent="0.25">
      <c r="A84" s="27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48"/>
        <v>0</v>
      </c>
      <c r="G84" s="2"/>
      <c r="H84" s="6"/>
      <c r="I84" s="2"/>
      <c r="J84" s="7">
        <f t="shared" si="49"/>
        <v>0</v>
      </c>
      <c r="K84" s="2"/>
      <c r="L84" s="6">
        <f t="shared" si="50"/>
        <v>0</v>
      </c>
      <c r="M84" s="2"/>
      <c r="N84" s="7">
        <f t="shared" si="51"/>
        <v>0</v>
      </c>
      <c r="O84" s="11"/>
      <c r="P84" s="6">
        <v>45.49</v>
      </c>
      <c r="Q84" s="2"/>
      <c r="R84" s="7">
        <f t="shared" si="52"/>
        <v>0</v>
      </c>
      <c r="S84" s="2"/>
      <c r="T84" s="6"/>
      <c r="U84" s="2"/>
      <c r="V84" s="7">
        <f t="shared" si="53"/>
        <v>0</v>
      </c>
      <c r="W84" s="2"/>
      <c r="X84" s="6">
        <f t="shared" si="54"/>
        <v>45.49</v>
      </c>
      <c r="Y84" s="2"/>
      <c r="Z84" s="7">
        <f t="shared" si="55"/>
        <v>0</v>
      </c>
    </row>
    <row r="85" spans="1:26" s="24" customFormat="1" hidden="1" outlineLevel="2" x14ac:dyDescent="0.25">
      <c r="A85" s="27"/>
      <c r="B85" s="11" t="str">
        <f>CONCATENATE("          ", "6298", " - ", "VEHICLE MILEAGE")</f>
        <v xml:space="preserve">          6298 - VEHICLE MILEAGE</v>
      </c>
      <c r="C85" s="11"/>
      <c r="D85" s="6"/>
      <c r="E85" s="2"/>
      <c r="F85" s="7">
        <f t="shared" si="48"/>
        <v>0</v>
      </c>
      <c r="G85" s="2"/>
      <c r="H85" s="6"/>
      <c r="I85" s="2"/>
      <c r="J85" s="7">
        <f t="shared" si="49"/>
        <v>0</v>
      </c>
      <c r="K85" s="2"/>
      <c r="L85" s="6">
        <f t="shared" si="50"/>
        <v>0</v>
      </c>
      <c r="M85" s="2"/>
      <c r="N85" s="7">
        <f t="shared" si="51"/>
        <v>0</v>
      </c>
      <c r="O85" s="11"/>
      <c r="P85" s="6">
        <v>510</v>
      </c>
      <c r="Q85" s="2"/>
      <c r="R85" s="7">
        <f t="shared" si="52"/>
        <v>0</v>
      </c>
      <c r="S85" s="2"/>
      <c r="T85" s="6"/>
      <c r="U85" s="2"/>
      <c r="V85" s="7">
        <f t="shared" si="53"/>
        <v>0</v>
      </c>
      <c r="W85" s="2"/>
      <c r="X85" s="6">
        <f t="shared" si="54"/>
        <v>510</v>
      </c>
      <c r="Y85" s="2"/>
      <c r="Z85" s="7">
        <f t="shared" si="55"/>
        <v>0</v>
      </c>
    </row>
    <row r="86" spans="1:26" s="26" customFormat="1" outlineLevel="1" collapsed="1" x14ac:dyDescent="0.25">
      <c r="A86" s="25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SUM(OSRRefD22_16x_0)</f>
        <v>11354</v>
      </c>
      <c r="E86" s="1"/>
      <c r="F86" s="5">
        <f t="shared" ref="F86:F87" si="56">IF(D$12=0,0,D86/D$12)</f>
        <v>0</v>
      </c>
      <c r="G86" s="1"/>
      <c r="H86" s="1">
        <f>SUM(OSRRefH22_16x_0)</f>
        <v>20000</v>
      </c>
      <c r="I86" s="1"/>
      <c r="J86" s="5">
        <f t="shared" ref="J86:J87" si="57">IF(H$12=0,0,H86/H$12)</f>
        <v>0</v>
      </c>
      <c r="K86" s="1"/>
      <c r="L86" s="1">
        <f t="shared" ref="L86:L87" si="58">+D86-H86</f>
        <v>-8646</v>
      </c>
      <c r="M86" s="1"/>
      <c r="N86" s="5">
        <f t="shared" ref="N86:N87" si="59">IF(H86=0,0,L86/H86)</f>
        <v>-0.43230000000000002</v>
      </c>
      <c r="O86" s="13"/>
      <c r="P86" s="1">
        <f>SUM(OSRRefP22_16x_0)</f>
        <v>37544</v>
      </c>
      <c r="Q86" s="1"/>
      <c r="R86" s="5">
        <f t="shared" ref="R86:R87" si="60">IF(P$12=0,0,P86/P$12)</f>
        <v>0</v>
      </c>
      <c r="S86" s="1"/>
      <c r="T86" s="1">
        <f>SUM(OSRRefT22_16x_0)</f>
        <v>70000</v>
      </c>
      <c r="U86" s="1"/>
      <c r="V86" s="5">
        <f t="shared" ref="V86:V87" si="61">IF(T$12=0,0,T86/T$12)</f>
        <v>0</v>
      </c>
      <c r="W86" s="1"/>
      <c r="X86" s="1">
        <f t="shared" ref="X86:X87" si="62">+P86-T86</f>
        <v>-32456</v>
      </c>
      <c r="Y86" s="1"/>
      <c r="Z86" s="5">
        <f t="shared" ref="Z86:Z87" si="63">IF(T86=0,0,X86/T86)</f>
        <v>-0.46365714285714288</v>
      </c>
    </row>
    <row r="87" spans="1:26" s="24" customFormat="1" hidden="1" outlineLevel="2" x14ac:dyDescent="0.25">
      <c r="A87" s="27"/>
      <c r="B87" s="11" t="str">
        <f>CONCATENATE("          ", "6274", " - ", "UTILITIES")</f>
        <v xml:space="preserve">          6274 - UTILITIES</v>
      </c>
      <c r="C87" s="11"/>
      <c r="D87" s="6">
        <v>11354</v>
      </c>
      <c r="E87" s="2"/>
      <c r="F87" s="7">
        <f t="shared" si="56"/>
        <v>0</v>
      </c>
      <c r="G87" s="2"/>
      <c r="H87" s="6">
        <v>20000</v>
      </c>
      <c r="I87" s="2"/>
      <c r="J87" s="7">
        <f t="shared" si="57"/>
        <v>0</v>
      </c>
      <c r="K87" s="2"/>
      <c r="L87" s="6">
        <f t="shared" si="58"/>
        <v>-8646</v>
      </c>
      <c r="M87" s="2"/>
      <c r="N87" s="7">
        <f t="shared" si="59"/>
        <v>-0.43230000000000002</v>
      </c>
      <c r="O87" s="11"/>
      <c r="P87" s="6">
        <v>37544</v>
      </c>
      <c r="Q87" s="2"/>
      <c r="R87" s="7">
        <f t="shared" si="60"/>
        <v>0</v>
      </c>
      <c r="S87" s="2"/>
      <c r="T87" s="6">
        <v>70000</v>
      </c>
      <c r="U87" s="2"/>
      <c r="V87" s="7">
        <f t="shared" si="61"/>
        <v>0</v>
      </c>
      <c r="W87" s="2"/>
      <c r="X87" s="6">
        <f t="shared" si="62"/>
        <v>-32456</v>
      </c>
      <c r="Y87" s="2"/>
      <c r="Z87" s="7">
        <f t="shared" si="63"/>
        <v>-0.46365714285714288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9" t="s">
        <v>0</v>
      </c>
      <c r="C89" s="10"/>
      <c r="D89" s="4">
        <f>SUM(OSRRefD25x_0)</f>
        <v>16407.48</v>
      </c>
      <c r="E89" s="4"/>
      <c r="F89" s="12">
        <f t="shared" ref="F89:F91" si="64">IF(D$12=0,0,D89/D$12)</f>
        <v>0</v>
      </c>
      <c r="G89" s="4"/>
      <c r="H89" s="4">
        <f>SUM(OSRRefH25x_0)</f>
        <v>7229</v>
      </c>
      <c r="I89" s="4"/>
      <c r="J89" s="12">
        <f t="shared" ref="J89:J91" si="65">IF(H$12=0,0,H89/H$12)</f>
        <v>0</v>
      </c>
      <c r="K89" s="4"/>
      <c r="L89" s="4">
        <f t="shared" ref="L89:L91" si="66">+D89-H89</f>
        <v>9178.48</v>
      </c>
      <c r="M89" s="4"/>
      <c r="N89" s="12">
        <f t="shared" ref="N89:N91" si="67">IF(H89=0,0,L89/H89)</f>
        <v>1.2696749204592612</v>
      </c>
      <c r="O89" s="10"/>
      <c r="P89" s="4">
        <f>SUM(OSRRefP25x_0)</f>
        <v>26861.8</v>
      </c>
      <c r="Q89" s="4"/>
      <c r="R89" s="12">
        <f t="shared" ref="R89:R91" si="68">IF(P$12=0,0,P89/P$12)</f>
        <v>0</v>
      </c>
      <c r="S89" s="4"/>
      <c r="T89" s="4">
        <f>SUM(OSRRefT25x_0)</f>
        <v>13015</v>
      </c>
      <c r="U89" s="4"/>
      <c r="V89" s="12">
        <f t="shared" ref="V89:V91" si="69">IF(T$12=0,0,T89/T$12)</f>
        <v>0</v>
      </c>
      <c r="W89" s="4"/>
      <c r="X89" s="4">
        <f t="shared" ref="X89:X91" si="70">+P89-T89</f>
        <v>13846.8</v>
      </c>
      <c r="Y89" s="4"/>
      <c r="Z89" s="12">
        <f t="shared" ref="Z89:Z91" si="71">IF(T89=0,0,X89/T89)</f>
        <v>1.0639108720706876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--16407.48</f>
        <v>16407.48</v>
      </c>
      <c r="E90" s="2"/>
      <c r="F90" s="19">
        <f t="shared" si="64"/>
        <v>0</v>
      </c>
      <c r="G90" s="2"/>
      <c r="H90" s="2">
        <v>7229</v>
      </c>
      <c r="I90" s="2"/>
      <c r="J90" s="19">
        <f t="shared" si="65"/>
        <v>0</v>
      </c>
      <c r="K90" s="2"/>
      <c r="L90" s="2">
        <f t="shared" si="66"/>
        <v>9178.48</v>
      </c>
      <c r="M90" s="2"/>
      <c r="N90" s="19">
        <f t="shared" si="67"/>
        <v>1.2696749204592612</v>
      </c>
      <c r="O90" s="11"/>
      <c r="P90" s="2">
        <f>--25850.87</f>
        <v>25850.87</v>
      </c>
      <c r="Q90" s="2"/>
      <c r="R90" s="19">
        <f t="shared" si="68"/>
        <v>0</v>
      </c>
      <c r="S90" s="2"/>
      <c r="T90" s="2">
        <v>13015</v>
      </c>
      <c r="U90" s="2"/>
      <c r="V90" s="19">
        <f t="shared" si="69"/>
        <v>0</v>
      </c>
      <c r="W90" s="2"/>
      <c r="X90" s="2">
        <f t="shared" si="70"/>
        <v>12835.869999999999</v>
      </c>
      <c r="Y90" s="2"/>
      <c r="Z90" s="19">
        <f t="shared" si="71"/>
        <v>0.98623665001920857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64"/>
        <v>0</v>
      </c>
      <c r="G91" s="2"/>
      <c r="H91" s="2"/>
      <c r="I91" s="2"/>
      <c r="J91" s="19">
        <f t="shared" si="65"/>
        <v>0</v>
      </c>
      <c r="K91" s="2"/>
      <c r="L91" s="2">
        <f t="shared" si="66"/>
        <v>0</v>
      </c>
      <c r="M91" s="2"/>
      <c r="N91" s="19">
        <f t="shared" si="67"/>
        <v>0</v>
      </c>
      <c r="O91" s="11"/>
      <c r="P91" s="2">
        <f>--1010.93</f>
        <v>1010.93</v>
      </c>
      <c r="Q91" s="2"/>
      <c r="R91" s="19">
        <f t="shared" si="68"/>
        <v>0</v>
      </c>
      <c r="S91" s="2"/>
      <c r="T91" s="2"/>
      <c r="U91" s="2"/>
      <c r="V91" s="19">
        <f t="shared" si="69"/>
        <v>0</v>
      </c>
      <c r="W91" s="2"/>
      <c r="X91" s="2">
        <f t="shared" si="70"/>
        <v>1010.93</v>
      </c>
      <c r="Y91" s="2"/>
      <c r="Z91" s="19">
        <f t="shared" si="71"/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2">
        <f>+D16-D18+D89</f>
        <v>-90772.709999999977</v>
      </c>
      <c r="E93" s="14"/>
      <c r="F93" s="20">
        <f>IF(D$12=0,0,D93/D$12)</f>
        <v>0</v>
      </c>
      <c r="G93" s="14"/>
      <c r="H93" s="22">
        <f>+H16-H18+H89</f>
        <v>-110566.08048932155</v>
      </c>
      <c r="I93" s="14"/>
      <c r="J93" s="20">
        <f>IF(H$12=0,0,H93/H$12)</f>
        <v>0</v>
      </c>
      <c r="K93" s="16"/>
      <c r="L93" s="22">
        <f>+D93-H93</f>
        <v>19793.370489321576</v>
      </c>
      <c r="M93" s="16"/>
      <c r="N93" s="20">
        <f>IF(H93=0,0,L93/H93)</f>
        <v>-0.17901846933276444</v>
      </c>
      <c r="O93" s="29"/>
      <c r="P93" s="22">
        <f>+P16-P18+P89</f>
        <v>-351808.91</v>
      </c>
      <c r="Q93" s="14"/>
      <c r="R93" s="20">
        <f>IF(P$12=0,0,P93/P$12)</f>
        <v>0</v>
      </c>
      <c r="S93" s="14"/>
      <c r="T93" s="22">
        <f>+T16-T18+T89</f>
        <v>-408575.38692578155</v>
      </c>
      <c r="U93" s="14"/>
      <c r="V93" s="20">
        <f>IF(T$12=0,0,T93/T$12)</f>
        <v>0</v>
      </c>
      <c r="W93" s="16"/>
      <c r="X93" s="22">
        <f>+P93-T93</f>
        <v>56766.476925781579</v>
      </c>
      <c r="Y93" s="16"/>
      <c r="Z93" s="20">
        <f>IF(T93=0,0,X93/T93)</f>
        <v>-0.13893758347243101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-90772.709999999977</v>
      </c>
      <c r="E97" s="14"/>
      <c r="F97" s="33">
        <f>IF(D$12=0,0,D97/D$12)</f>
        <v>0</v>
      </c>
      <c r="G97" s="14"/>
      <c r="H97" s="31">
        <f>+H93-H95</f>
        <v>-110566.08048932155</v>
      </c>
      <c r="I97" s="14"/>
      <c r="J97" s="33">
        <f>IF(H$12=0,0,H97/H$12)</f>
        <v>0</v>
      </c>
      <c r="K97" s="16"/>
      <c r="L97" s="31">
        <f>D97-H97</f>
        <v>19793.370489321576</v>
      </c>
      <c r="M97" s="16"/>
      <c r="N97" s="33">
        <f>IF(H97=0,0,L97/H97)</f>
        <v>-0.17901846933276444</v>
      </c>
      <c r="O97" s="29"/>
      <c r="P97" s="31">
        <f>+P93-P95</f>
        <v>-351808.91</v>
      </c>
      <c r="Q97" s="14"/>
      <c r="R97" s="33">
        <f>IF(P$12=0,0,P97/P$12)</f>
        <v>0</v>
      </c>
      <c r="S97" s="14"/>
      <c r="T97" s="31">
        <f>+T93-T95</f>
        <v>-408575.38692578155</v>
      </c>
      <c r="U97" s="14"/>
      <c r="V97" s="33">
        <f>IF(T$12=0,0,T97/T$12)</f>
        <v>0</v>
      </c>
      <c r="W97" s="16"/>
      <c r="X97" s="31">
        <f>P97-T97</f>
        <v>56766.476925781579</v>
      </c>
      <c r="Y97" s="16"/>
      <c r="Z97" s="33">
        <f>IF(T97=0,0,X97/T97)</f>
        <v>-0.13893758347243101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2">
        <f>SUM(D97:D99)</f>
        <v>-90772.709999999977</v>
      </c>
      <c r="E100" s="14"/>
      <c r="F100" s="34">
        <f>IF(D$12=0,0,D100/D$12)</f>
        <v>0</v>
      </c>
      <c r="G100" s="14"/>
      <c r="H100" s="32">
        <f>SUM(H97:H99)</f>
        <v>-110566.08048932155</v>
      </c>
      <c r="I100" s="14"/>
      <c r="J100" s="34">
        <f>IF(H$12=0,0,H100/H$12)</f>
        <v>0</v>
      </c>
      <c r="K100" s="16"/>
      <c r="L100" s="32">
        <f>+D100-H100</f>
        <v>19793.370489321576</v>
      </c>
      <c r="M100" s="16"/>
      <c r="N100" s="34">
        <f>IF(H100=0,0,L100/H100)</f>
        <v>-0.17901846933276444</v>
      </c>
      <c r="O100" s="29"/>
      <c r="P100" s="32">
        <f>SUM(P97:P99)</f>
        <v>-351808.91</v>
      </c>
      <c r="Q100" s="14"/>
      <c r="R100" s="34">
        <f>IF(P$12=0,0,P100/P$12)</f>
        <v>0</v>
      </c>
      <c r="S100" s="14"/>
      <c r="T100" s="32">
        <f>SUM(T97:T99)</f>
        <v>-408575.38692578155</v>
      </c>
      <c r="U100" s="14"/>
      <c r="V100" s="34">
        <f>IF(T$12=0,0,T100/T$12)</f>
        <v>0</v>
      </c>
      <c r="W100" s="16"/>
      <c r="X100" s="32">
        <f>+P100-T100</f>
        <v>56766.476925781579</v>
      </c>
      <c r="Y100" s="16"/>
      <c r="Z100" s="34">
        <f>IF(T100=0,0,X100/T100)</f>
        <v>-0.13893758347243101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0">
        <v>43791.348492592595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4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5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299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95113.2</v>
      </c>
      <c r="E12" s="4"/>
      <c r="F12" s="12"/>
      <c r="G12" s="4"/>
      <c r="H12" s="4">
        <f>SUM(OSRRefH13x_0)</f>
        <v>137000</v>
      </c>
      <c r="I12" s="4"/>
      <c r="J12" s="12"/>
      <c r="K12" s="4"/>
      <c r="L12" s="4">
        <f t="shared" ref="L12:L16" si="0">+D12-H12</f>
        <v>-41886.800000000003</v>
      </c>
      <c r="M12" s="4"/>
      <c r="N12" s="12">
        <f t="shared" ref="N12:N16" si="1">IF(H12=0,0,L12/H12)</f>
        <v>-0.30574306569343068</v>
      </c>
      <c r="O12" s="10"/>
      <c r="P12" s="4">
        <f>SUM(OSRRefP13x_0)</f>
        <v>290587.45999999996</v>
      </c>
      <c r="Q12" s="4"/>
      <c r="R12" s="12"/>
      <c r="S12" s="4"/>
      <c r="T12" s="4">
        <f>SUM(OSRRefT13x_0)</f>
        <v>406000</v>
      </c>
      <c r="U12" s="4"/>
      <c r="V12" s="12"/>
      <c r="W12" s="4"/>
      <c r="X12" s="4">
        <f t="shared" ref="X12:X16" si="2">+P12-T12</f>
        <v>-115412.54000000004</v>
      </c>
      <c r="Y12" s="4"/>
      <c r="Z12" s="12">
        <f t="shared" ref="Z12:Z16" si="3">IF(T12=0,0,X12/T12)</f>
        <v>-0.2842673399014779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130000</v>
      </c>
      <c r="I13" s="2"/>
      <c r="J13" s="19"/>
      <c r="K13" s="2"/>
      <c r="L13" s="2">
        <f t="shared" si="0"/>
        <v>-130000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386000</v>
      </c>
      <c r="U13" s="2"/>
      <c r="V13" s="19"/>
      <c r="W13" s="2"/>
      <c r="X13" s="2">
        <f t="shared" si="2"/>
        <v>-386000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--85963.22</f>
        <v>85963.22</v>
      </c>
      <c r="E14" s="2"/>
      <c r="F14" s="19"/>
      <c r="G14" s="2"/>
      <c r="H14" s="2"/>
      <c r="I14" s="2"/>
      <c r="J14" s="19"/>
      <c r="K14" s="2"/>
      <c r="L14" s="2">
        <f t="shared" si="0"/>
        <v>85963.22</v>
      </c>
      <c r="M14" s="2"/>
      <c r="N14" s="19">
        <f t="shared" si="1"/>
        <v>0</v>
      </c>
      <c r="O14" s="11"/>
      <c r="P14" s="2">
        <f>--265648.42</f>
        <v>265648.42</v>
      </c>
      <c r="Q14" s="2"/>
      <c r="R14" s="19"/>
      <c r="S14" s="2"/>
      <c r="T14" s="2"/>
      <c r="U14" s="2"/>
      <c r="V14" s="19"/>
      <c r="W14" s="2"/>
      <c r="X14" s="2">
        <f t="shared" si="2"/>
        <v>265648.42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7000</v>
      </c>
      <c r="I15" s="2"/>
      <c r="J15" s="19"/>
      <c r="K15" s="2"/>
      <c r="L15" s="2">
        <f t="shared" si="0"/>
        <v>-7000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20000</v>
      </c>
      <c r="U15" s="2"/>
      <c r="V15" s="19"/>
      <c r="W15" s="2"/>
      <c r="X15" s="2">
        <f t="shared" si="2"/>
        <v>-20000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--9149.98</f>
        <v>9149.98</v>
      </c>
      <c r="E16" s="2"/>
      <c r="F16" s="19"/>
      <c r="G16" s="2"/>
      <c r="H16" s="2"/>
      <c r="I16" s="2"/>
      <c r="J16" s="19"/>
      <c r="K16" s="2"/>
      <c r="L16" s="2">
        <f t="shared" si="0"/>
        <v>9149.98</v>
      </c>
      <c r="M16" s="2"/>
      <c r="N16" s="19">
        <f t="shared" si="1"/>
        <v>0</v>
      </c>
      <c r="O16" s="11"/>
      <c r="P16" s="2">
        <f>--24939.04</f>
        <v>24939.040000000001</v>
      </c>
      <c r="Q16" s="2"/>
      <c r="R16" s="19"/>
      <c r="S16" s="2"/>
      <c r="T16" s="2"/>
      <c r="U16" s="2"/>
      <c r="V16" s="19"/>
      <c r="W16" s="2"/>
      <c r="X16" s="2">
        <f t="shared" si="2"/>
        <v>24939.040000000001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33034.57</v>
      </c>
      <c r="E18" s="4"/>
      <c r="F18" s="12">
        <f t="shared" ref="F18:F20" si="4">IF(D$12=0,0,D18/D$12)</f>
        <v>0.34731845842638037</v>
      </c>
      <c r="G18" s="4"/>
      <c r="H18" s="4">
        <f>SUM(OSRRefH16x_0)</f>
        <v>42470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-9435.43</v>
      </c>
      <c r="M18" s="4"/>
      <c r="N18" s="12">
        <f t="shared" ref="N18:N20" si="7">IF(H18=0,0,L18/H18)</f>
        <v>-0.2221669413703791</v>
      </c>
      <c r="O18" s="10"/>
      <c r="P18" s="4">
        <f>SUM(OSRRefP16x_0)</f>
        <v>92980.01999999999</v>
      </c>
      <c r="Q18" s="4"/>
      <c r="R18" s="12">
        <f t="shared" ref="R18:R20" si="8">IF(P$12=0,0,P18/P$12)</f>
        <v>0.31997258243697096</v>
      </c>
      <c r="S18" s="4"/>
      <c r="T18" s="4">
        <f>SUM(OSRRefT16x_0)</f>
        <v>125860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-32879.98000000001</v>
      </c>
      <c r="Y18" s="4"/>
      <c r="Z18" s="12">
        <f t="shared" ref="Z18:Z20" si="11">IF(T18=0,0,X18/T18)</f>
        <v>-0.26124249165739721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42470</v>
      </c>
      <c r="I19" s="2"/>
      <c r="J19" s="19">
        <f t="shared" si="5"/>
        <v>0.31</v>
      </c>
      <c r="K19" s="2"/>
      <c r="L19" s="2">
        <f t="shared" si="6"/>
        <v>-42470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125860</v>
      </c>
      <c r="U19" s="2"/>
      <c r="V19" s="19">
        <f t="shared" si="9"/>
        <v>0.31</v>
      </c>
      <c r="W19" s="2"/>
      <c r="X19" s="2">
        <f t="shared" si="10"/>
        <v>-125860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33034.57</v>
      </c>
      <c r="E20" s="2"/>
      <c r="F20" s="19">
        <f t="shared" si="4"/>
        <v>0.34731845842638037</v>
      </c>
      <c r="G20" s="2"/>
      <c r="H20" s="2"/>
      <c r="I20" s="2"/>
      <c r="J20" s="19">
        <f t="shared" si="5"/>
        <v>0</v>
      </c>
      <c r="K20" s="2"/>
      <c r="L20" s="2">
        <f t="shared" si="6"/>
        <v>33034.57</v>
      </c>
      <c r="M20" s="2"/>
      <c r="N20" s="19">
        <f t="shared" si="7"/>
        <v>0</v>
      </c>
      <c r="O20" s="11"/>
      <c r="P20" s="2">
        <v>92980.01999999999</v>
      </c>
      <c r="Q20" s="2"/>
      <c r="R20" s="19">
        <f t="shared" si="8"/>
        <v>0.31997258243697096</v>
      </c>
      <c r="S20" s="2"/>
      <c r="T20" s="2"/>
      <c r="U20" s="2"/>
      <c r="V20" s="19">
        <f t="shared" si="9"/>
        <v>0</v>
      </c>
      <c r="W20" s="2"/>
      <c r="X20" s="2">
        <f t="shared" si="10"/>
        <v>92980.01999999999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D12-D18</f>
        <v>62078.63</v>
      </c>
      <c r="E22" s="14"/>
      <c r="F22" s="20">
        <f>IF(D$12=0,0,D22/D$12)</f>
        <v>0.65268154157361968</v>
      </c>
      <c r="G22" s="14"/>
      <c r="H22" s="22">
        <f>H12-H18</f>
        <v>94530</v>
      </c>
      <c r="I22" s="14"/>
      <c r="J22" s="20">
        <f>IF(H$12=0,0,H22/H$12)</f>
        <v>0.69</v>
      </c>
      <c r="K22" s="16"/>
      <c r="L22" s="22">
        <f>+D22-H22</f>
        <v>-32451.370000000003</v>
      </c>
      <c r="M22" s="16"/>
      <c r="N22" s="20">
        <f>IF(H22=0,0,L22/H22)</f>
        <v>-0.34329175922987415</v>
      </c>
      <c r="O22" s="29"/>
      <c r="P22" s="22">
        <f>P12-P18</f>
        <v>197607.43999999997</v>
      </c>
      <c r="Q22" s="14"/>
      <c r="R22" s="20">
        <f>IF(P$12=0,0,P22/P$12)</f>
        <v>0.68002741756302909</v>
      </c>
      <c r="S22" s="14"/>
      <c r="T22" s="22">
        <f>T12-T18</f>
        <v>280140</v>
      </c>
      <c r="U22" s="14"/>
      <c r="V22" s="20">
        <f>IF(T$12=0,0,T22/T$12)</f>
        <v>0.69</v>
      </c>
      <c r="W22" s="16"/>
      <c r="X22" s="22">
        <f>+P22-T22</f>
        <v>-82532.560000000027</v>
      </c>
      <c r="Y22" s="16"/>
      <c r="Z22" s="20">
        <f>IF(T22=0,0,X22/T22)</f>
        <v>-0.2946118369386736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35291.99</v>
      </c>
      <c r="E24" s="21"/>
      <c r="F24" s="35">
        <f t="shared" ref="F24:F34" si="12">IF(D$12=0,0,D24/D$12)</f>
        <v>0.37105249323963446</v>
      </c>
      <c r="G24" s="21"/>
      <c r="H24" s="21">
        <f>SUM(OSRRefH22x_0)</f>
        <v>77325.813388942246</v>
      </c>
      <c r="I24" s="21"/>
      <c r="J24" s="35">
        <f t="shared" ref="J24:J34" si="13">IF(H$12=0,0,H24/H$12)</f>
        <v>0.56442199553972439</v>
      </c>
      <c r="K24" s="4"/>
      <c r="L24" s="21">
        <f t="shared" ref="L24:L34" si="14">+D24-H24</f>
        <v>-42033.823388942248</v>
      </c>
      <c r="M24" s="4"/>
      <c r="N24" s="35">
        <f t="shared" ref="N24:N34" si="15">IF(H24=0,0,L24/H24)</f>
        <v>-0.54359367909284961</v>
      </c>
      <c r="O24" s="10"/>
      <c r="P24" s="21">
        <f>SUM(OSRRefP22x_0)</f>
        <v>202702.19999999995</v>
      </c>
      <c r="Q24" s="21"/>
      <c r="R24" s="35">
        <f t="shared" ref="R24:R34" si="16">IF(P$12=0,0,P24/P$12)</f>
        <v>0.69756003923913301</v>
      </c>
      <c r="S24" s="21"/>
      <c r="T24" s="21">
        <f>SUM(OSRRefT22x_0)</f>
        <v>277382.83572085766</v>
      </c>
      <c r="U24" s="21"/>
      <c r="V24" s="35">
        <f t="shared" ref="V24:V34" si="17">IF(T$12=0,0,T24/T$12)</f>
        <v>0.68320895497748191</v>
      </c>
      <c r="W24" s="4"/>
      <c r="X24" s="21">
        <f t="shared" ref="X24:X34" si="18">+P24-T24</f>
        <v>-74680.63572085771</v>
      </c>
      <c r="Y24" s="4"/>
      <c r="Z24" s="35">
        <f t="shared" ref="Z24:Z34" si="19">IF(T24=0,0,X24/T24)</f>
        <v>-0.26923308187681827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7765.5899999999992</v>
      </c>
      <c r="E25" s="1"/>
      <c r="F25" s="5">
        <f t="shared" si="12"/>
        <v>8.1645765256557437E-2</v>
      </c>
      <c r="G25" s="1"/>
      <c r="H25" s="1">
        <f>SUM(OSRRefH22_0x_0)</f>
        <v>17156.790792788459</v>
      </c>
      <c r="I25" s="1"/>
      <c r="J25" s="5">
        <f t="shared" si="13"/>
        <v>0.1252320495823975</v>
      </c>
      <c r="K25" s="1"/>
      <c r="L25" s="1">
        <f t="shared" si="14"/>
        <v>-9391.2007927884588</v>
      </c>
      <c r="M25" s="1"/>
      <c r="N25" s="5">
        <f t="shared" si="15"/>
        <v>-0.54737514178559998</v>
      </c>
      <c r="O25" s="13"/>
      <c r="P25" s="1">
        <f>SUM(OSRRefP22_0x_0)</f>
        <v>52869.01999999999</v>
      </c>
      <c r="Q25" s="1"/>
      <c r="R25" s="5">
        <f t="shared" si="16"/>
        <v>0.1819384084915433</v>
      </c>
      <c r="S25" s="1"/>
      <c r="T25" s="1">
        <f>SUM(OSRRefT22_0x_0)</f>
        <v>61089.455624703856</v>
      </c>
      <c r="U25" s="1"/>
      <c r="V25" s="5">
        <f t="shared" si="17"/>
        <v>0.15046663946971392</v>
      </c>
      <c r="W25" s="1"/>
      <c r="X25" s="1">
        <f t="shared" si="18"/>
        <v>-8220.4356247038668</v>
      </c>
      <c r="Y25" s="1"/>
      <c r="Z25" s="5">
        <f t="shared" si="19"/>
        <v>-0.13456390371531843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1361.71</v>
      </c>
      <c r="E26" s="2"/>
      <c r="F26" s="7">
        <f t="shared" si="12"/>
        <v>1.431672995966911E-2</v>
      </c>
      <c r="G26" s="2"/>
      <c r="H26" s="6">
        <v>4043.9960524038497</v>
      </c>
      <c r="I26" s="2"/>
      <c r="J26" s="7">
        <f t="shared" si="13"/>
        <v>2.9518219360612042E-2</v>
      </c>
      <c r="K26" s="2"/>
      <c r="L26" s="6">
        <f t="shared" si="14"/>
        <v>-2682.2860524038497</v>
      </c>
      <c r="M26" s="2"/>
      <c r="N26" s="7">
        <f t="shared" si="15"/>
        <v>-0.66327613025473497</v>
      </c>
      <c r="O26" s="11"/>
      <c r="P26" s="6">
        <v>8384.11</v>
      </c>
      <c r="Q26" s="2"/>
      <c r="R26" s="7">
        <f t="shared" si="16"/>
        <v>2.8852277383201608E-2</v>
      </c>
      <c r="S26" s="2"/>
      <c r="T26" s="6">
        <v>14467.19914570386</v>
      </c>
      <c r="U26" s="2"/>
      <c r="V26" s="7">
        <f t="shared" si="17"/>
        <v>3.5633495432768128E-2</v>
      </c>
      <c r="W26" s="2"/>
      <c r="X26" s="6">
        <f t="shared" si="18"/>
        <v>-6083.0891457038597</v>
      </c>
      <c r="Y26" s="2"/>
      <c r="Z26" s="7">
        <f t="shared" si="19"/>
        <v>-0.42047455657719879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-1591.86</v>
      </c>
      <c r="E27" s="2"/>
      <c r="F27" s="7">
        <f t="shared" si="12"/>
        <v>-1.6736478217534476E-2</v>
      </c>
      <c r="G27" s="2"/>
      <c r="H27" s="6">
        <v>2208.57248076923</v>
      </c>
      <c r="I27" s="2"/>
      <c r="J27" s="7">
        <f t="shared" si="13"/>
        <v>1.6120967012914086E-2</v>
      </c>
      <c r="K27" s="2"/>
      <c r="L27" s="6">
        <f t="shared" si="14"/>
        <v>-3800.4324807692301</v>
      </c>
      <c r="M27" s="2"/>
      <c r="N27" s="7">
        <f t="shared" si="15"/>
        <v>-1.7207642103036467</v>
      </c>
      <c r="O27" s="11"/>
      <c r="P27" s="6">
        <v>1840.41</v>
      </c>
      <c r="Q27" s="2"/>
      <c r="R27" s="7">
        <f t="shared" si="16"/>
        <v>6.3334116344869124E-3</v>
      </c>
      <c r="S27" s="2"/>
      <c r="T27" s="6">
        <v>7631.1677487692205</v>
      </c>
      <c r="U27" s="2"/>
      <c r="V27" s="7">
        <f t="shared" si="17"/>
        <v>1.879597967677148E-2</v>
      </c>
      <c r="W27" s="2"/>
      <c r="X27" s="6">
        <f t="shared" si="18"/>
        <v>-5790.7577487692206</v>
      </c>
      <c r="Y27" s="2"/>
      <c r="Z27" s="7">
        <f t="shared" si="19"/>
        <v>-0.75882983304923057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5245.28</v>
      </c>
      <c r="E28" s="2"/>
      <c r="F28" s="7">
        <f t="shared" si="12"/>
        <v>5.5147760773478341E-2</v>
      </c>
      <c r="G28" s="2"/>
      <c r="H28" s="6">
        <v>6209.4423076923094</v>
      </c>
      <c r="I28" s="2"/>
      <c r="J28" s="7">
        <f t="shared" si="13"/>
        <v>4.5324396406513208E-2</v>
      </c>
      <c r="K28" s="2"/>
      <c r="L28" s="6">
        <f t="shared" si="14"/>
        <v>-964.1623076923097</v>
      </c>
      <c r="M28" s="2"/>
      <c r="N28" s="7">
        <f t="shared" si="15"/>
        <v>-0.15527357529321067</v>
      </c>
      <c r="O28" s="11"/>
      <c r="P28" s="6">
        <v>21248.36</v>
      </c>
      <c r="Q28" s="2"/>
      <c r="R28" s="7">
        <f t="shared" si="16"/>
        <v>7.3122081730574343E-2</v>
      </c>
      <c r="S28" s="2"/>
      <c r="T28" s="6">
        <v>22442.557692307699</v>
      </c>
      <c r="U28" s="2"/>
      <c r="V28" s="7">
        <f t="shared" si="17"/>
        <v>5.5277235695339162E-2</v>
      </c>
      <c r="W28" s="2"/>
      <c r="X28" s="6">
        <f t="shared" si="18"/>
        <v>-1194.1976923076982</v>
      </c>
      <c r="Y28" s="2"/>
      <c r="Z28" s="7">
        <f t="shared" si="19"/>
        <v>-5.3211300988078358E-2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42.48</v>
      </c>
      <c r="E29" s="2"/>
      <c r="F29" s="7">
        <f t="shared" si="12"/>
        <v>4.4662570494947073E-4</v>
      </c>
      <c r="G29" s="2"/>
      <c r="H29" s="6">
        <v>147.99712500000001</v>
      </c>
      <c r="I29" s="2"/>
      <c r="J29" s="7">
        <f t="shared" si="13"/>
        <v>1.08027098540146E-3</v>
      </c>
      <c r="K29" s="2"/>
      <c r="L29" s="6">
        <f t="shared" si="14"/>
        <v>-105.51712500000002</v>
      </c>
      <c r="M29" s="2"/>
      <c r="N29" s="7">
        <f t="shared" si="15"/>
        <v>-0.71296739717072211</v>
      </c>
      <c r="O29" s="11"/>
      <c r="P29" s="6">
        <v>286.01</v>
      </c>
      <c r="Q29" s="2"/>
      <c r="R29" s="7">
        <f t="shared" si="16"/>
        <v>9.8424756525969858E-4</v>
      </c>
      <c r="S29" s="2"/>
      <c r="T29" s="6">
        <v>511.36691100000002</v>
      </c>
      <c r="U29" s="2"/>
      <c r="V29" s="7">
        <f t="shared" si="17"/>
        <v>1.2595244113300494E-3</v>
      </c>
      <c r="W29" s="2"/>
      <c r="X29" s="6">
        <f t="shared" si="18"/>
        <v>-225.35691100000003</v>
      </c>
      <c r="Y29" s="2"/>
      <c r="Z29" s="7">
        <f t="shared" si="19"/>
        <v>-0.44069513719474901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1416.28</v>
      </c>
      <c r="E30" s="2"/>
      <c r="F30" s="7">
        <f t="shared" si="12"/>
        <v>1.4890467358894455E-2</v>
      </c>
      <c r="G30" s="2"/>
      <c r="H30" s="6">
        <v>1555.94176923077</v>
      </c>
      <c r="I30" s="2"/>
      <c r="J30" s="7">
        <f t="shared" si="13"/>
        <v>1.1357239191465474E-2</v>
      </c>
      <c r="K30" s="2"/>
      <c r="L30" s="6">
        <f t="shared" si="14"/>
        <v>-139.66176923077001</v>
      </c>
      <c r="M30" s="2"/>
      <c r="N30" s="7">
        <f t="shared" si="15"/>
        <v>-8.9760280231962863E-2</v>
      </c>
      <c r="O30" s="11"/>
      <c r="P30" s="6">
        <v>5033.49</v>
      </c>
      <c r="Q30" s="2"/>
      <c r="R30" s="7">
        <f t="shared" si="16"/>
        <v>1.7321772935418481E-2</v>
      </c>
      <c r="S30" s="2"/>
      <c r="T30" s="6">
        <v>5601.3903692307804</v>
      </c>
      <c r="U30" s="2"/>
      <c r="V30" s="7">
        <f t="shared" si="17"/>
        <v>1.3796528003031478E-2</v>
      </c>
      <c r="W30" s="2"/>
      <c r="X30" s="6">
        <f t="shared" si="18"/>
        <v>-567.9003692307806</v>
      </c>
      <c r="Y30" s="2"/>
      <c r="Z30" s="7">
        <f t="shared" si="19"/>
        <v>-0.10138560817870089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441.84</v>
      </c>
      <c r="E32" s="2"/>
      <c r="F32" s="7">
        <f t="shared" si="12"/>
        <v>4.6454119932879982E-3</v>
      </c>
      <c r="G32" s="2"/>
      <c r="H32" s="6">
        <v>1283.1819230769202</v>
      </c>
      <c r="I32" s="2"/>
      <c r="J32" s="7">
        <f t="shared" si="13"/>
        <v>9.3662914093205849E-3</v>
      </c>
      <c r="K32" s="2"/>
      <c r="L32" s="6">
        <f t="shared" si="14"/>
        <v>-841.34192307692024</v>
      </c>
      <c r="M32" s="2"/>
      <c r="N32" s="7">
        <f t="shared" si="15"/>
        <v>-0.65566846597985162</v>
      </c>
      <c r="O32" s="11"/>
      <c r="P32" s="6">
        <v>5893.71</v>
      </c>
      <c r="Q32" s="2"/>
      <c r="R32" s="7">
        <f t="shared" si="16"/>
        <v>2.0282052088551931E-2</v>
      </c>
      <c r="S32" s="2"/>
      <c r="T32" s="6">
        <v>4535.3863230769193</v>
      </c>
      <c r="U32" s="2"/>
      <c r="V32" s="7">
        <f t="shared" si="17"/>
        <v>1.1170902273588471E-2</v>
      </c>
      <c r="W32" s="2"/>
      <c r="X32" s="6">
        <f t="shared" si="18"/>
        <v>1358.3236769230807</v>
      </c>
      <c r="Y32" s="2"/>
      <c r="Z32" s="7">
        <f t="shared" si="19"/>
        <v>0.2994945921170305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424.32</v>
      </c>
      <c r="E33" s="2"/>
      <c r="F33" s="7">
        <f t="shared" si="12"/>
        <v>4.4612104313596851E-3</v>
      </c>
      <c r="G33" s="2"/>
      <c r="H33" s="6">
        <v>1707.65913461538</v>
      </c>
      <c r="I33" s="2"/>
      <c r="J33" s="7">
        <f t="shared" si="13"/>
        <v>1.2464665216170658E-2</v>
      </c>
      <c r="K33" s="2"/>
      <c r="L33" s="6">
        <f t="shared" si="14"/>
        <v>-1283.3391346153801</v>
      </c>
      <c r="M33" s="2"/>
      <c r="N33" s="7">
        <f t="shared" si="15"/>
        <v>-0.75151949742266888</v>
      </c>
      <c r="O33" s="11"/>
      <c r="P33" s="6">
        <v>8252.73</v>
      </c>
      <c r="Q33" s="2"/>
      <c r="R33" s="7">
        <f t="shared" si="16"/>
        <v>2.8400158768034933E-2</v>
      </c>
      <c r="S33" s="2"/>
      <c r="T33" s="6">
        <v>5900.3874346153807</v>
      </c>
      <c r="U33" s="2"/>
      <c r="V33" s="7">
        <f t="shared" si="17"/>
        <v>1.4532973976885175E-2</v>
      </c>
      <c r="W33" s="2"/>
      <c r="X33" s="6">
        <f t="shared" si="18"/>
        <v>2352.3425653846189</v>
      </c>
      <c r="Y33" s="2"/>
      <c r="Z33" s="7">
        <f t="shared" si="19"/>
        <v>0.39867594991886451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425.54</v>
      </c>
      <c r="E34" s="2"/>
      <c r="F34" s="7">
        <f t="shared" si="12"/>
        <v>4.4740372524528669E-3</v>
      </c>
      <c r="G34" s="2"/>
      <c r="H34" s="6"/>
      <c r="I34" s="2"/>
      <c r="J34" s="7">
        <f t="shared" si="13"/>
        <v>0</v>
      </c>
      <c r="K34" s="2"/>
      <c r="L34" s="6">
        <f t="shared" si="14"/>
        <v>425.54</v>
      </c>
      <c r="M34" s="2"/>
      <c r="N34" s="7">
        <f t="shared" si="15"/>
        <v>0</v>
      </c>
      <c r="O34" s="11"/>
      <c r="P34" s="6">
        <v>1930.2</v>
      </c>
      <c r="Q34" s="2"/>
      <c r="R34" s="7">
        <f t="shared" si="16"/>
        <v>6.6424063860154193E-3</v>
      </c>
      <c r="S34" s="2"/>
      <c r="T34" s="6"/>
      <c r="U34" s="2"/>
      <c r="V34" s="7">
        <f t="shared" si="17"/>
        <v>0</v>
      </c>
      <c r="W34" s="2"/>
      <c r="X34" s="6">
        <f t="shared" si="18"/>
        <v>1930.2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19044.789999999997</v>
      </c>
      <c r="E35" s="1"/>
      <c r="F35" s="5">
        <f t="shared" ref="F35:F45" si="20">IF(D$12=0,0,D35/D$12)</f>
        <v>0.20023288039935569</v>
      </c>
      <c r="G35" s="1"/>
      <c r="H35" s="1">
        <f>SUM(OSRRefH22_1x_0)</f>
        <v>50968.252596153805</v>
      </c>
      <c r="I35" s="1"/>
      <c r="J35" s="5">
        <f t="shared" ref="J35:J45" si="21">IF(H$12=0,0,H35/H$12)</f>
        <v>0.372031040847838</v>
      </c>
      <c r="K35" s="1"/>
      <c r="L35" s="1">
        <f t="shared" ref="L35:L45" si="22">+D35-H35</f>
        <v>-31923.462596153808</v>
      </c>
      <c r="M35" s="1"/>
      <c r="N35" s="5">
        <f t="shared" ref="N35:N45" si="23">IF(H35=0,0,L35/H35)</f>
        <v>-0.6263401425412578</v>
      </c>
      <c r="O35" s="13"/>
      <c r="P35" s="1">
        <f>SUM(OSRRefP22_1x_0)</f>
        <v>119915.06</v>
      </c>
      <c r="Q35" s="1"/>
      <c r="R35" s="5">
        <f t="shared" ref="R35:R45" si="24">IF(P$12=0,0,P35/P$12)</f>
        <v>0.4126642629382562</v>
      </c>
      <c r="S35" s="1"/>
      <c r="T35" s="1">
        <f>SUM(OSRRefT22_1x_0)</f>
        <v>177719.28009615379</v>
      </c>
      <c r="U35" s="1"/>
      <c r="V35" s="5">
        <f t="shared" ref="V35:V45" si="25">IF(T$12=0,0,T35/T$12)</f>
        <v>0.43773221698560044</v>
      </c>
      <c r="W35" s="1"/>
      <c r="X35" s="1">
        <f t="shared" ref="X35:X45" si="26">+P35-T35</f>
        <v>-57804.220096153789</v>
      </c>
      <c r="Y35" s="1"/>
      <c r="Z35" s="5">
        <f t="shared" ref="Z35:Z45" si="27">IF(T35=0,0,X35/T35)</f>
        <v>-0.32525576327385086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3846.41</v>
      </c>
      <c r="E37" s="2"/>
      <c r="F37" s="7">
        <f t="shared" si="20"/>
        <v>4.0440338459856257E-2</v>
      </c>
      <c r="G37" s="2"/>
      <c r="H37" s="6">
        <v>16457.458846153801</v>
      </c>
      <c r="I37" s="2"/>
      <c r="J37" s="7">
        <f t="shared" si="21"/>
        <v>0.12012743683323943</v>
      </c>
      <c r="K37" s="2"/>
      <c r="L37" s="6">
        <f t="shared" si="22"/>
        <v>-12611.048846153801</v>
      </c>
      <c r="M37" s="2"/>
      <c r="N37" s="7">
        <f t="shared" si="23"/>
        <v>-0.76628165769960732</v>
      </c>
      <c r="O37" s="11"/>
      <c r="P37" s="6">
        <v>44130.13</v>
      </c>
      <c r="Q37" s="2"/>
      <c r="R37" s="7">
        <f t="shared" si="24"/>
        <v>0.15186522501693639</v>
      </c>
      <c r="S37" s="2"/>
      <c r="T37" s="6">
        <v>59246.851846153804</v>
      </c>
      <c r="U37" s="2"/>
      <c r="V37" s="7">
        <f t="shared" si="25"/>
        <v>0.1459282065176202</v>
      </c>
      <c r="W37" s="2"/>
      <c r="X37" s="6">
        <f t="shared" si="26"/>
        <v>-15116.721846153807</v>
      </c>
      <c r="Y37" s="2"/>
      <c r="Z37" s="7">
        <f t="shared" si="27"/>
        <v>-0.25514810281240546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7199.73</v>
      </c>
      <c r="E39" s="2"/>
      <c r="F39" s="7">
        <f t="shared" si="20"/>
        <v>7.5696433302633065E-2</v>
      </c>
      <c r="G39" s="2"/>
      <c r="H39" s="6">
        <v>34510.793750000004</v>
      </c>
      <c r="I39" s="2"/>
      <c r="J39" s="7">
        <f t="shared" si="21"/>
        <v>0.25190360401459855</v>
      </c>
      <c r="K39" s="2"/>
      <c r="L39" s="6">
        <f t="shared" si="22"/>
        <v>-27311.063750000005</v>
      </c>
      <c r="M39" s="2"/>
      <c r="N39" s="7">
        <f t="shared" si="23"/>
        <v>-0.79137744404966059</v>
      </c>
      <c r="O39" s="11"/>
      <c r="P39" s="6">
        <v>22689.79</v>
      </c>
      <c r="Q39" s="2"/>
      <c r="R39" s="7">
        <f t="shared" si="24"/>
        <v>7.808248160467765E-2</v>
      </c>
      <c r="S39" s="2"/>
      <c r="T39" s="6">
        <v>118472.42825</v>
      </c>
      <c r="U39" s="2"/>
      <c r="V39" s="7">
        <f t="shared" si="25"/>
        <v>0.29180401046798027</v>
      </c>
      <c r="W39" s="2"/>
      <c r="X39" s="6">
        <f t="shared" si="26"/>
        <v>-95782.638249999989</v>
      </c>
      <c r="Y39" s="2"/>
      <c r="Z39" s="7">
        <f t="shared" si="27"/>
        <v>-0.80848041746793509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5984.6</v>
      </c>
      <c r="E40" s="2"/>
      <c r="F40" s="7">
        <f t="shared" si="20"/>
        <v>6.2920814355946389E-2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5984.6</v>
      </c>
      <c r="M40" s="2"/>
      <c r="N40" s="7">
        <f t="shared" si="23"/>
        <v>0</v>
      </c>
      <c r="O40" s="11"/>
      <c r="P40" s="6">
        <v>25776.37</v>
      </c>
      <c r="Q40" s="2"/>
      <c r="R40" s="7">
        <f t="shared" si="24"/>
        <v>8.8704343952075576E-2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25776.37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1299.6300000000001</v>
      </c>
      <c r="Q41" s="2"/>
      <c r="R41" s="7">
        <f t="shared" si="24"/>
        <v>4.4724228636707185E-3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1299.6300000000001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1745.3</v>
      </c>
      <c r="E42" s="2"/>
      <c r="F42" s="7">
        <f t="shared" si="20"/>
        <v>1.8349713814696592E-2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1745.3</v>
      </c>
      <c r="M42" s="2"/>
      <c r="N42" s="7">
        <f t="shared" si="23"/>
        <v>0</v>
      </c>
      <c r="O42" s="11"/>
      <c r="P42" s="6">
        <v>22613.919999999998</v>
      </c>
      <c r="Q42" s="2"/>
      <c r="R42" s="7">
        <f t="shared" si="24"/>
        <v>7.7821389814963116E-2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22613.919999999998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268.75</v>
      </c>
      <c r="E43" s="2"/>
      <c r="F43" s="7">
        <f t="shared" si="20"/>
        <v>2.8255804662234056E-3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268.75</v>
      </c>
      <c r="M43" s="2"/>
      <c r="N43" s="7">
        <f t="shared" si="23"/>
        <v>0</v>
      </c>
      <c r="O43" s="11"/>
      <c r="P43" s="6">
        <v>3405.22</v>
      </c>
      <c r="Q43" s="2"/>
      <c r="R43" s="7">
        <f t="shared" si="24"/>
        <v>1.1718399685932766E-2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3405.22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327</v>
      </c>
      <c r="E46" s="1"/>
      <c r="F46" s="5">
        <f t="shared" ref="F46:F55" si="28">IF(D$12=0,0,D46/D$12)</f>
        <v>3.4380086044839202E-3</v>
      </c>
      <c r="G46" s="1"/>
      <c r="H46" s="1">
        <f>SUM(OSRRefH22_2x_0)</f>
        <v>0</v>
      </c>
      <c r="I46" s="1"/>
      <c r="J46" s="5">
        <f t="shared" ref="J46:J55" si="29">IF(H$12=0,0,H46/H$12)</f>
        <v>0</v>
      </c>
      <c r="K46" s="1"/>
      <c r="L46" s="1">
        <f t="shared" ref="L46:L55" si="30">+D46-H46</f>
        <v>327</v>
      </c>
      <c r="M46" s="1"/>
      <c r="N46" s="5">
        <f t="shared" ref="N46:N55" si="31">IF(H46=0,0,L46/H46)</f>
        <v>0</v>
      </c>
      <c r="O46" s="13"/>
      <c r="P46" s="1">
        <f>SUM(OSRRefP22_2x_0)</f>
        <v>339.52</v>
      </c>
      <c r="Q46" s="1"/>
      <c r="R46" s="5">
        <f t="shared" ref="R46:R55" si="32">IF(P$12=0,0,P46/P$12)</f>
        <v>1.1683917812558052E-3</v>
      </c>
      <c r="S46" s="1"/>
      <c r="T46" s="1">
        <f>SUM(OSRRefT22_2x_0)</f>
        <v>900</v>
      </c>
      <c r="U46" s="1"/>
      <c r="V46" s="5">
        <f t="shared" ref="V46:V55" si="33">IF(T$12=0,0,T46/T$12)</f>
        <v>2.2167487684729066E-3</v>
      </c>
      <c r="W46" s="1"/>
      <c r="X46" s="1">
        <f t="shared" ref="X46:X55" si="34">+P46-T46</f>
        <v>-560.48</v>
      </c>
      <c r="Y46" s="1"/>
      <c r="Z46" s="5">
        <f t="shared" ref="Z46:Z55" si="35">IF(T46=0,0,X46/T46)</f>
        <v>-0.62275555555555562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327</v>
      </c>
      <c r="E47" s="2"/>
      <c r="F47" s="7">
        <f t="shared" si="28"/>
        <v>3.4380086044839202E-3</v>
      </c>
      <c r="G47" s="2"/>
      <c r="H47" s="6"/>
      <c r="I47" s="2"/>
      <c r="J47" s="7">
        <f t="shared" si="29"/>
        <v>0</v>
      </c>
      <c r="K47" s="2"/>
      <c r="L47" s="6">
        <f t="shared" si="30"/>
        <v>327</v>
      </c>
      <c r="M47" s="2"/>
      <c r="N47" s="7">
        <f t="shared" si="31"/>
        <v>0</v>
      </c>
      <c r="O47" s="11"/>
      <c r="P47" s="6">
        <v>339.52</v>
      </c>
      <c r="Q47" s="2"/>
      <c r="R47" s="7">
        <f t="shared" si="32"/>
        <v>1.1683917812558052E-3</v>
      </c>
      <c r="S47" s="2"/>
      <c r="T47" s="6">
        <v>900</v>
      </c>
      <c r="U47" s="2"/>
      <c r="V47" s="7">
        <f t="shared" si="33"/>
        <v>2.2167487684729066E-3</v>
      </c>
      <c r="W47" s="2"/>
      <c r="X47" s="6">
        <f t="shared" si="34"/>
        <v>-560.48</v>
      </c>
      <c r="Y47" s="2"/>
      <c r="Z47" s="7">
        <f t="shared" si="35"/>
        <v>-0.62275555555555562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1.3</v>
      </c>
      <c r="E48" s="1"/>
      <c r="F48" s="5">
        <f t="shared" si="28"/>
        <v>1.3667924115685311E-5</v>
      </c>
      <c r="G48" s="1"/>
      <c r="H48" s="1">
        <f>SUM(OSRRefH22_3x_0)</f>
        <v>-1</v>
      </c>
      <c r="I48" s="1"/>
      <c r="J48" s="5">
        <f t="shared" si="29"/>
        <v>-7.299270072992701E-6</v>
      </c>
      <c r="K48" s="1"/>
      <c r="L48" s="1">
        <f t="shared" si="30"/>
        <v>2.2999999999999998</v>
      </c>
      <c r="M48" s="1"/>
      <c r="N48" s="5">
        <f t="shared" si="31"/>
        <v>-2.2999999999999998</v>
      </c>
      <c r="O48" s="13"/>
      <c r="P48" s="1">
        <f>SUM(OSRRefP22_3x_0)</f>
        <v>0.17</v>
      </c>
      <c r="Q48" s="1"/>
      <c r="R48" s="5">
        <f t="shared" si="32"/>
        <v>5.8502180376262633E-7</v>
      </c>
      <c r="S48" s="1"/>
      <c r="T48" s="1">
        <f>SUM(OSRRefT22_3x_0)</f>
        <v>-4</v>
      </c>
      <c r="U48" s="1"/>
      <c r="V48" s="5">
        <f t="shared" si="33"/>
        <v>-9.8522167487684728E-6</v>
      </c>
      <c r="W48" s="1"/>
      <c r="X48" s="1">
        <f t="shared" si="34"/>
        <v>4.17</v>
      </c>
      <c r="Y48" s="1"/>
      <c r="Z48" s="5">
        <f t="shared" si="35"/>
        <v>-1.0425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1.3</v>
      </c>
      <c r="E49" s="2"/>
      <c r="F49" s="7">
        <f t="shared" si="28"/>
        <v>1.3667924115685311E-5</v>
      </c>
      <c r="G49" s="2"/>
      <c r="H49" s="6">
        <v>-1</v>
      </c>
      <c r="I49" s="2"/>
      <c r="J49" s="7">
        <f t="shared" si="29"/>
        <v>-7.299270072992701E-6</v>
      </c>
      <c r="K49" s="2"/>
      <c r="L49" s="6">
        <f t="shared" si="30"/>
        <v>2.2999999999999998</v>
      </c>
      <c r="M49" s="2"/>
      <c r="N49" s="7">
        <f t="shared" si="31"/>
        <v>-2.2999999999999998</v>
      </c>
      <c r="O49" s="11"/>
      <c r="P49" s="6">
        <v>0.17</v>
      </c>
      <c r="Q49" s="2"/>
      <c r="R49" s="7">
        <f t="shared" si="32"/>
        <v>5.8502180376262633E-7</v>
      </c>
      <c r="S49" s="2"/>
      <c r="T49" s="6">
        <v>-4</v>
      </c>
      <c r="U49" s="2"/>
      <c r="V49" s="7">
        <f t="shared" si="33"/>
        <v>-9.8522167487684728E-6</v>
      </c>
      <c r="W49" s="2"/>
      <c r="X49" s="6">
        <f t="shared" si="34"/>
        <v>4.17</v>
      </c>
      <c r="Y49" s="2"/>
      <c r="Z49" s="7">
        <f t="shared" si="35"/>
        <v>-1.0425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1145.02</v>
      </c>
      <c r="E50" s="1"/>
      <c r="F50" s="5">
        <f t="shared" si="28"/>
        <v>1.2038497285339995E-2</v>
      </c>
      <c r="G50" s="1"/>
      <c r="H50" s="1">
        <f>SUM(OSRRefH22_4x_0)</f>
        <v>1900</v>
      </c>
      <c r="I50" s="1"/>
      <c r="J50" s="5">
        <f t="shared" si="29"/>
        <v>1.3868613138686132E-2</v>
      </c>
      <c r="K50" s="1"/>
      <c r="L50" s="1">
        <f t="shared" si="30"/>
        <v>-754.98</v>
      </c>
      <c r="M50" s="1"/>
      <c r="N50" s="5">
        <f t="shared" si="31"/>
        <v>-0.39735789473684213</v>
      </c>
      <c r="O50" s="13"/>
      <c r="P50" s="1">
        <f>SUM(OSRRefP22_4x_0)</f>
        <v>3529.94</v>
      </c>
      <c r="Q50" s="1"/>
      <c r="R50" s="5">
        <f t="shared" si="32"/>
        <v>1.2147599211610854E-2</v>
      </c>
      <c r="S50" s="1"/>
      <c r="T50" s="1">
        <f>SUM(OSRRefT22_4x_0)</f>
        <v>4750</v>
      </c>
      <c r="U50" s="1"/>
      <c r="V50" s="5">
        <f t="shared" si="33"/>
        <v>1.1699507389162561E-2</v>
      </c>
      <c r="W50" s="1"/>
      <c r="X50" s="1">
        <f t="shared" si="34"/>
        <v>-1220.06</v>
      </c>
      <c r="Y50" s="1"/>
      <c r="Z50" s="5">
        <f t="shared" si="35"/>
        <v>-0.25685473684210525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1145.02</v>
      </c>
      <c r="E51" s="2"/>
      <c r="F51" s="7">
        <f t="shared" si="28"/>
        <v>1.2038497285339995E-2</v>
      </c>
      <c r="G51" s="2"/>
      <c r="H51" s="6">
        <v>1900</v>
      </c>
      <c r="I51" s="2"/>
      <c r="J51" s="7">
        <f t="shared" si="29"/>
        <v>1.3868613138686132E-2</v>
      </c>
      <c r="K51" s="2"/>
      <c r="L51" s="6">
        <f t="shared" si="30"/>
        <v>-754.98</v>
      </c>
      <c r="M51" s="2"/>
      <c r="N51" s="7">
        <f t="shared" si="31"/>
        <v>-0.39735789473684213</v>
      </c>
      <c r="O51" s="11"/>
      <c r="P51" s="6">
        <v>3529.94</v>
      </c>
      <c r="Q51" s="2"/>
      <c r="R51" s="7">
        <f t="shared" si="32"/>
        <v>1.2147599211610854E-2</v>
      </c>
      <c r="S51" s="2"/>
      <c r="T51" s="6">
        <v>4750</v>
      </c>
      <c r="U51" s="2"/>
      <c r="V51" s="7">
        <f t="shared" si="33"/>
        <v>1.1699507389162561E-2</v>
      </c>
      <c r="W51" s="2"/>
      <c r="X51" s="6">
        <f t="shared" si="34"/>
        <v>-1220.06</v>
      </c>
      <c r="Y51" s="2"/>
      <c r="Z51" s="7">
        <f t="shared" si="35"/>
        <v>-0.25685473684210525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3.1330036209485119E-3</v>
      </c>
      <c r="G52" s="1"/>
      <c r="H52" s="1">
        <f>SUM(OSRRefH22_5x_0)</f>
        <v>1621</v>
      </c>
      <c r="I52" s="1"/>
      <c r="J52" s="5">
        <f t="shared" si="29"/>
        <v>1.1832116788321167E-2</v>
      </c>
      <c r="K52" s="1"/>
      <c r="L52" s="1">
        <f t="shared" si="30"/>
        <v>-1323.01</v>
      </c>
      <c r="M52" s="1"/>
      <c r="N52" s="5">
        <f t="shared" si="31"/>
        <v>-0.81616903146206043</v>
      </c>
      <c r="O52" s="13"/>
      <c r="P52" s="1">
        <f>SUM(OSRRefP22_5x_0)</f>
        <v>1191.96</v>
      </c>
      <c r="Q52" s="1"/>
      <c r="R52" s="5">
        <f t="shared" si="32"/>
        <v>4.1018975836052945E-3</v>
      </c>
      <c r="S52" s="1"/>
      <c r="T52" s="1">
        <f>SUM(OSRRefT22_5x_0)</f>
        <v>2848</v>
      </c>
      <c r="U52" s="1"/>
      <c r="V52" s="5">
        <f t="shared" si="33"/>
        <v>7.0147783251231525E-3</v>
      </c>
      <c r="W52" s="1"/>
      <c r="X52" s="1">
        <f t="shared" si="34"/>
        <v>-1656.04</v>
      </c>
      <c r="Y52" s="1"/>
      <c r="Z52" s="5">
        <f t="shared" si="35"/>
        <v>-0.58147471910112358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297.99</v>
      </c>
      <c r="E53" s="2"/>
      <c r="F53" s="7">
        <f t="shared" si="28"/>
        <v>3.1330036209485119E-3</v>
      </c>
      <c r="G53" s="2"/>
      <c r="H53" s="6">
        <v>298</v>
      </c>
      <c r="I53" s="2"/>
      <c r="J53" s="7">
        <f t="shared" si="29"/>
        <v>2.175182481751825E-3</v>
      </c>
      <c r="K53" s="2"/>
      <c r="L53" s="6">
        <f t="shared" si="30"/>
        <v>-9.9999999999909051E-3</v>
      </c>
      <c r="M53" s="2"/>
      <c r="N53" s="7">
        <f t="shared" si="31"/>
        <v>-3.3557046979835255E-5</v>
      </c>
      <c r="O53" s="11"/>
      <c r="P53" s="6">
        <v>1191.96</v>
      </c>
      <c r="Q53" s="2"/>
      <c r="R53" s="7">
        <f t="shared" si="32"/>
        <v>4.1018975836052945E-3</v>
      </c>
      <c r="S53" s="2"/>
      <c r="T53" s="6">
        <v>1192</v>
      </c>
      <c r="U53" s="2"/>
      <c r="V53" s="7">
        <f t="shared" si="33"/>
        <v>2.935960591133005E-3</v>
      </c>
      <c r="W53" s="2"/>
      <c r="X53" s="6">
        <f t="shared" si="34"/>
        <v>-3.999999999996362E-2</v>
      </c>
      <c r="Y53" s="2"/>
      <c r="Z53" s="7">
        <f t="shared" si="35"/>
        <v>-3.3557046979835255E-5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573</v>
      </c>
      <c r="I54" s="2"/>
      <c r="J54" s="7">
        <f t="shared" si="29"/>
        <v>4.1824817518248177E-3</v>
      </c>
      <c r="K54" s="2"/>
      <c r="L54" s="6">
        <f t="shared" si="30"/>
        <v>-573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906</v>
      </c>
      <c r="U54" s="2"/>
      <c r="V54" s="7">
        <f t="shared" si="33"/>
        <v>2.2315270935960589E-3</v>
      </c>
      <c r="W54" s="2"/>
      <c r="X54" s="6">
        <f t="shared" si="34"/>
        <v>-906</v>
      </c>
      <c r="Y54" s="2"/>
      <c r="Z54" s="7">
        <f t="shared" si="35"/>
        <v>-1</v>
      </c>
    </row>
    <row r="55" spans="1:26" s="24" customFormat="1" hidden="1" outlineLevel="2" x14ac:dyDescent="0.25">
      <c r="A55" s="27"/>
      <c r="B55" s="11" t="str">
        <f>CONCATENATE("          ", "6326", " - ", "VEHICLES DEPRECIATION EXPENSE")</f>
        <v xml:space="preserve">          6326 - VEHICLES DEPRECIATION EXPENSE</v>
      </c>
      <c r="C55" s="11"/>
      <c r="D55" s="6"/>
      <c r="E55" s="2"/>
      <c r="F55" s="7">
        <f t="shared" si="28"/>
        <v>0</v>
      </c>
      <c r="G55" s="2"/>
      <c r="H55" s="6">
        <v>750</v>
      </c>
      <c r="I55" s="2"/>
      <c r="J55" s="7">
        <f t="shared" si="29"/>
        <v>5.4744525547445258E-3</v>
      </c>
      <c r="K55" s="2"/>
      <c r="L55" s="6">
        <f t="shared" si="30"/>
        <v>-750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750</v>
      </c>
      <c r="U55" s="2"/>
      <c r="V55" s="7">
        <f t="shared" si="33"/>
        <v>1.8472906403940886E-3</v>
      </c>
      <c r="W55" s="2"/>
      <c r="X55" s="6">
        <f t="shared" si="34"/>
        <v>-750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SUM(OSRRefD22_6x_0)</f>
        <v>64.2</v>
      </c>
      <c r="E56" s="1"/>
      <c r="F56" s="5">
        <f t="shared" ref="F56:F62" si="36">IF(D$12=0,0,D56/D$12)</f>
        <v>6.7498517555922841E-4</v>
      </c>
      <c r="G56" s="1"/>
      <c r="H56" s="1">
        <f>SUM(OSRRefH22_6x_0)</f>
        <v>100</v>
      </c>
      <c r="I56" s="1"/>
      <c r="J56" s="5">
        <f t="shared" ref="J56:J62" si="37">IF(H$12=0,0,H56/H$12)</f>
        <v>7.2992700729927003E-4</v>
      </c>
      <c r="K56" s="1"/>
      <c r="L56" s="1">
        <f t="shared" ref="L56:L62" si="38">+D56-H56</f>
        <v>-35.799999999999997</v>
      </c>
      <c r="M56" s="1"/>
      <c r="N56" s="5">
        <f t="shared" ref="N56:N62" si="39">IF(H56=0,0,L56/H56)</f>
        <v>-0.35799999999999998</v>
      </c>
      <c r="O56" s="13"/>
      <c r="P56" s="1">
        <f>SUM(OSRRefP22_6x_0)</f>
        <v>238.07</v>
      </c>
      <c r="Q56" s="1"/>
      <c r="R56" s="5">
        <f t="shared" ref="R56:R62" si="40">IF(P$12=0,0,P56/P$12)</f>
        <v>8.1927141659863785E-4</v>
      </c>
      <c r="S56" s="1"/>
      <c r="T56" s="1">
        <f>SUM(OSRRefT22_6x_0)</f>
        <v>300</v>
      </c>
      <c r="U56" s="1"/>
      <c r="V56" s="5">
        <f t="shared" ref="V56:V62" si="41">IF(T$12=0,0,T56/T$12)</f>
        <v>7.3891625615763552E-4</v>
      </c>
      <c r="W56" s="1"/>
      <c r="X56" s="1">
        <f t="shared" ref="X56:X62" si="42">+P56-T56</f>
        <v>-61.930000000000007</v>
      </c>
      <c r="Y56" s="1"/>
      <c r="Z56" s="5">
        <f t="shared" ref="Z56:Z62" si="43">IF(T56=0,0,X56/T56)</f>
        <v>-0.20643333333333336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64.2</v>
      </c>
      <c r="E57" s="2"/>
      <c r="F57" s="7">
        <f t="shared" si="36"/>
        <v>6.7498517555922841E-4</v>
      </c>
      <c r="G57" s="2"/>
      <c r="H57" s="6">
        <v>100</v>
      </c>
      <c r="I57" s="2"/>
      <c r="J57" s="7">
        <f t="shared" si="37"/>
        <v>7.2992700729927003E-4</v>
      </c>
      <c r="K57" s="2"/>
      <c r="L57" s="6">
        <f t="shared" si="38"/>
        <v>-35.799999999999997</v>
      </c>
      <c r="M57" s="2"/>
      <c r="N57" s="7">
        <f t="shared" si="39"/>
        <v>-0.35799999999999998</v>
      </c>
      <c r="O57" s="11"/>
      <c r="P57" s="6">
        <v>238.07</v>
      </c>
      <c r="Q57" s="2"/>
      <c r="R57" s="7">
        <f t="shared" si="40"/>
        <v>8.1927141659863785E-4</v>
      </c>
      <c r="S57" s="2"/>
      <c r="T57" s="6">
        <v>300</v>
      </c>
      <c r="U57" s="2"/>
      <c r="V57" s="7">
        <f t="shared" si="41"/>
        <v>7.3891625615763552E-4</v>
      </c>
      <c r="W57" s="2"/>
      <c r="X57" s="6">
        <f t="shared" si="42"/>
        <v>-61.930000000000007</v>
      </c>
      <c r="Y57" s="2"/>
      <c r="Z57" s="7">
        <f t="shared" si="43"/>
        <v>-0.20643333333333336</v>
      </c>
    </row>
    <row r="58" spans="1:26" s="26" customFormat="1" outlineLevel="1" collapsed="1" x14ac:dyDescent="0.25">
      <c r="A58" s="25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25</v>
      </c>
      <c r="I58" s="1"/>
      <c r="J58" s="5">
        <f t="shared" si="37"/>
        <v>1.8248175182481751E-4</v>
      </c>
      <c r="K58" s="1"/>
      <c r="L58" s="1">
        <f t="shared" si="38"/>
        <v>-25</v>
      </c>
      <c r="M58" s="1"/>
      <c r="N58" s="5">
        <f t="shared" si="39"/>
        <v>-1</v>
      </c>
      <c r="O58" s="13"/>
      <c r="P58" s="1">
        <f>SUM(OSRRefP22_7x_0)</f>
        <v>2447.08</v>
      </c>
      <c r="Q58" s="1"/>
      <c r="R58" s="5">
        <f t="shared" si="40"/>
        <v>8.4211479738320449E-3</v>
      </c>
      <c r="S58" s="1"/>
      <c r="T58" s="1">
        <f>SUM(OSRRefT22_7x_0)</f>
        <v>3725</v>
      </c>
      <c r="U58" s="1"/>
      <c r="V58" s="5">
        <f t="shared" si="41"/>
        <v>9.1748768472906406E-3</v>
      </c>
      <c r="W58" s="1"/>
      <c r="X58" s="1">
        <f t="shared" si="42"/>
        <v>-1277.92</v>
      </c>
      <c r="Y58" s="1"/>
      <c r="Z58" s="5">
        <f t="shared" si="43"/>
        <v>-0.34306577181208053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>
        <v>25</v>
      </c>
      <c r="I59" s="2"/>
      <c r="J59" s="7">
        <f t="shared" si="37"/>
        <v>1.8248175182481751E-4</v>
      </c>
      <c r="K59" s="2"/>
      <c r="L59" s="6">
        <f t="shared" si="38"/>
        <v>-25</v>
      </c>
      <c r="M59" s="2"/>
      <c r="N59" s="7">
        <f t="shared" si="39"/>
        <v>-1</v>
      </c>
      <c r="O59" s="11"/>
      <c r="P59" s="6">
        <v>2447.08</v>
      </c>
      <c r="Q59" s="2"/>
      <c r="R59" s="7">
        <f t="shared" si="40"/>
        <v>8.4211479738320449E-3</v>
      </c>
      <c r="S59" s="2"/>
      <c r="T59" s="6">
        <v>3725</v>
      </c>
      <c r="U59" s="2"/>
      <c r="V59" s="7">
        <f t="shared" si="41"/>
        <v>9.1748768472906406E-3</v>
      </c>
      <c r="W59" s="2"/>
      <c r="X59" s="6">
        <f t="shared" si="42"/>
        <v>-1277.92</v>
      </c>
      <c r="Y59" s="2"/>
      <c r="Z59" s="7">
        <f t="shared" si="43"/>
        <v>-0.34306577181208053</v>
      </c>
    </row>
    <row r="60" spans="1:26" s="26" customFormat="1" outlineLevel="1" collapsed="1" x14ac:dyDescent="0.25">
      <c r="A60" s="25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1733.11</v>
      </c>
      <c r="E60" s="1"/>
      <c r="F60" s="5">
        <f t="shared" si="36"/>
        <v>1.8221550741642591E-2</v>
      </c>
      <c r="G60" s="1"/>
      <c r="H60" s="1">
        <f>SUM(OSRRefH22_8x_0)</f>
        <v>500</v>
      </c>
      <c r="I60" s="1"/>
      <c r="J60" s="5">
        <f t="shared" si="37"/>
        <v>3.6496350364963502E-3</v>
      </c>
      <c r="K60" s="1"/>
      <c r="L60" s="1">
        <f t="shared" si="38"/>
        <v>1233.1099999999999</v>
      </c>
      <c r="M60" s="1"/>
      <c r="N60" s="5">
        <f t="shared" si="39"/>
        <v>2.4662199999999999</v>
      </c>
      <c r="O60" s="13"/>
      <c r="P60" s="1">
        <f>SUM(OSRRefP22_8x_0)</f>
        <v>3125.18</v>
      </c>
      <c r="Q60" s="1"/>
      <c r="R60" s="5">
        <f t="shared" si="40"/>
        <v>1.0754696709899319E-2</v>
      </c>
      <c r="S60" s="1"/>
      <c r="T60" s="1">
        <f>SUM(OSRRefT22_8x_0)</f>
        <v>3060</v>
      </c>
      <c r="U60" s="1"/>
      <c r="V60" s="5">
        <f t="shared" si="41"/>
        <v>7.5369458128078815E-3</v>
      </c>
      <c r="W60" s="1"/>
      <c r="X60" s="1">
        <f t="shared" si="42"/>
        <v>65.179999999999836</v>
      </c>
      <c r="Y60" s="1"/>
      <c r="Z60" s="5">
        <f t="shared" si="43"/>
        <v>2.130065359477119E-2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57.57</v>
      </c>
      <c r="E61" s="2"/>
      <c r="F61" s="7">
        <f t="shared" si="36"/>
        <v>6.0527876256923335E-4</v>
      </c>
      <c r="G61" s="2"/>
      <c r="H61" s="6"/>
      <c r="I61" s="2"/>
      <c r="J61" s="7">
        <f t="shared" si="37"/>
        <v>0</v>
      </c>
      <c r="K61" s="2"/>
      <c r="L61" s="6">
        <f t="shared" si="38"/>
        <v>57.57</v>
      </c>
      <c r="M61" s="2"/>
      <c r="N61" s="7">
        <f t="shared" si="39"/>
        <v>0</v>
      </c>
      <c r="O61" s="11"/>
      <c r="P61" s="6">
        <v>76.02</v>
      </c>
      <c r="Q61" s="2"/>
      <c r="R61" s="7">
        <f t="shared" si="40"/>
        <v>2.6160798542373438E-4</v>
      </c>
      <c r="S61" s="2"/>
      <c r="T61" s="6">
        <v>60</v>
      </c>
      <c r="U61" s="2"/>
      <c r="V61" s="7">
        <f t="shared" si="41"/>
        <v>1.4778325123152708E-4</v>
      </c>
      <c r="W61" s="2"/>
      <c r="X61" s="6">
        <f t="shared" si="42"/>
        <v>16.019999999999996</v>
      </c>
      <c r="Y61" s="2"/>
      <c r="Z61" s="7">
        <f t="shared" si="43"/>
        <v>0.26699999999999996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1675.54</v>
      </c>
      <c r="E62" s="2"/>
      <c r="F62" s="7">
        <f t="shared" si="36"/>
        <v>1.7616271979073356E-2</v>
      </c>
      <c r="G62" s="2"/>
      <c r="H62" s="6">
        <v>500</v>
      </c>
      <c r="I62" s="2"/>
      <c r="J62" s="7">
        <f t="shared" si="37"/>
        <v>3.6496350364963502E-3</v>
      </c>
      <c r="K62" s="2"/>
      <c r="L62" s="6">
        <f t="shared" si="38"/>
        <v>1175.54</v>
      </c>
      <c r="M62" s="2"/>
      <c r="N62" s="7">
        <f t="shared" si="39"/>
        <v>2.3510800000000001</v>
      </c>
      <c r="O62" s="11"/>
      <c r="P62" s="6">
        <v>3049.16</v>
      </c>
      <c r="Q62" s="2"/>
      <c r="R62" s="7">
        <f t="shared" si="40"/>
        <v>1.0493088724475585E-2</v>
      </c>
      <c r="S62" s="2"/>
      <c r="T62" s="6">
        <v>3000</v>
      </c>
      <c r="U62" s="2"/>
      <c r="V62" s="7">
        <f t="shared" si="41"/>
        <v>7.3891625615763543E-3</v>
      </c>
      <c r="W62" s="2"/>
      <c r="X62" s="6">
        <f t="shared" si="42"/>
        <v>49.159999999999854</v>
      </c>
      <c r="Y62" s="2"/>
      <c r="Z62" s="7">
        <f t="shared" si="43"/>
        <v>1.6386666666666619E-2</v>
      </c>
    </row>
    <row r="63" spans="1:26" s="26" customFormat="1" outlineLevel="1" collapsed="1" x14ac:dyDescent="0.25">
      <c r="A63" s="25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SUM(OSRRefD22_9x_0)</f>
        <v>0</v>
      </c>
      <c r="E63" s="1"/>
      <c r="F63" s="5">
        <f t="shared" ref="F63:F68" si="44">IF(D$12=0,0,D63/D$12)</f>
        <v>0</v>
      </c>
      <c r="G63" s="1"/>
      <c r="H63" s="1">
        <f>SUM(OSRRefH22_9x_0)</f>
        <v>0</v>
      </c>
      <c r="I63" s="1"/>
      <c r="J63" s="5">
        <f t="shared" ref="J63:J68" si="45">IF(H$12=0,0,H63/H$12)</f>
        <v>0</v>
      </c>
      <c r="K63" s="1"/>
      <c r="L63" s="1">
        <f t="shared" ref="L63:L68" si="46">+D63-H63</f>
        <v>0</v>
      </c>
      <c r="M63" s="1"/>
      <c r="N63" s="5">
        <f t="shared" ref="N63:N68" si="47">IF(H63=0,0,L63/H63)</f>
        <v>0</v>
      </c>
      <c r="O63" s="13"/>
      <c r="P63" s="1">
        <f>SUM(OSRRefP22_9x_0)</f>
        <v>0</v>
      </c>
      <c r="Q63" s="1"/>
      <c r="R63" s="5">
        <f t="shared" ref="R63:R68" si="48">IF(P$12=0,0,P63/P$12)</f>
        <v>0</v>
      </c>
      <c r="S63" s="1"/>
      <c r="T63" s="1">
        <f>SUM(OSRRefT22_9x_0)</f>
        <v>3000</v>
      </c>
      <c r="U63" s="1"/>
      <c r="V63" s="5">
        <f t="shared" ref="V63:V68" si="49">IF(T$12=0,0,T63/T$12)</f>
        <v>7.3891625615763543E-3</v>
      </c>
      <c r="W63" s="1"/>
      <c r="X63" s="1">
        <f t="shared" ref="X63:X68" si="50">+P63-T63</f>
        <v>-3000</v>
      </c>
      <c r="Y63" s="1"/>
      <c r="Z63" s="5">
        <f t="shared" ref="Z63:Z68" si="51">IF(T63=0,0,X63/T63)</f>
        <v>-1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44"/>
        <v>0</v>
      </c>
      <c r="G64" s="2"/>
      <c r="H64" s="6"/>
      <c r="I64" s="2"/>
      <c r="J64" s="7">
        <f t="shared" si="45"/>
        <v>0</v>
      </c>
      <c r="K64" s="2"/>
      <c r="L64" s="6">
        <f t="shared" si="46"/>
        <v>0</v>
      </c>
      <c r="M64" s="2"/>
      <c r="N64" s="7">
        <f t="shared" si="47"/>
        <v>0</v>
      </c>
      <c r="O64" s="11"/>
      <c r="P64" s="6"/>
      <c r="Q64" s="2"/>
      <c r="R64" s="7">
        <f t="shared" si="48"/>
        <v>0</v>
      </c>
      <c r="S64" s="2"/>
      <c r="T64" s="6">
        <v>3000</v>
      </c>
      <c r="U64" s="2"/>
      <c r="V64" s="7">
        <f t="shared" si="49"/>
        <v>7.3891625615763543E-3</v>
      </c>
      <c r="W64" s="2"/>
      <c r="X64" s="6">
        <f t="shared" si="50"/>
        <v>-3000</v>
      </c>
      <c r="Y64" s="2"/>
      <c r="Z64" s="7">
        <f t="shared" si="51"/>
        <v>-1</v>
      </c>
    </row>
    <row r="65" spans="1:26" s="26" customFormat="1" outlineLevel="1" collapsed="1" x14ac:dyDescent="0.25">
      <c r="A65" s="25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3051.79</v>
      </c>
      <c r="E65" s="1"/>
      <c r="F65" s="5">
        <f t="shared" si="44"/>
        <v>3.2085872413082514E-2</v>
      </c>
      <c r="G65" s="1"/>
      <c r="H65" s="1">
        <f>SUM(OSRRefH22_10x_0)</f>
        <v>2960</v>
      </c>
      <c r="I65" s="1"/>
      <c r="J65" s="5">
        <f t="shared" si="45"/>
        <v>2.1605839416058394E-2</v>
      </c>
      <c r="K65" s="1"/>
      <c r="L65" s="1">
        <f t="shared" si="46"/>
        <v>91.789999999999964</v>
      </c>
      <c r="M65" s="1"/>
      <c r="N65" s="5">
        <f t="shared" si="47"/>
        <v>3.1010135135135123E-2</v>
      </c>
      <c r="O65" s="13"/>
      <c r="P65" s="1">
        <f>SUM(OSRRefP22_10x_0)</f>
        <v>10551.79</v>
      </c>
      <c r="Q65" s="1"/>
      <c r="R65" s="5">
        <f t="shared" si="48"/>
        <v>3.6311924816026138E-2</v>
      </c>
      <c r="S65" s="1"/>
      <c r="T65" s="1">
        <f>SUM(OSRRefT22_10x_0)</f>
        <v>10590</v>
      </c>
      <c r="U65" s="1"/>
      <c r="V65" s="5">
        <f t="shared" si="49"/>
        <v>2.6083743842364532E-2</v>
      </c>
      <c r="W65" s="1"/>
      <c r="X65" s="1">
        <f t="shared" si="50"/>
        <v>-38.209999999999127</v>
      </c>
      <c r="Y65" s="1"/>
      <c r="Z65" s="5">
        <f t="shared" si="51"/>
        <v>-3.6081208687440158E-3</v>
      </c>
    </row>
    <row r="66" spans="1:26" s="24" customFormat="1" hidden="1" outlineLevel="2" x14ac:dyDescent="0.25">
      <c r="A66" s="27"/>
      <c r="B66" s="11" t="str">
        <f>CONCATENATE("          ", "6283", " - ", "PLANT SERVICE")</f>
        <v xml:space="preserve">          6283 - PLANT SERVICE</v>
      </c>
      <c r="C66" s="11"/>
      <c r="D66" s="6"/>
      <c r="E66" s="2"/>
      <c r="F66" s="7">
        <f t="shared" si="44"/>
        <v>0</v>
      </c>
      <c r="G66" s="2"/>
      <c r="H66" s="6">
        <v>60</v>
      </c>
      <c r="I66" s="2"/>
      <c r="J66" s="7">
        <f t="shared" si="45"/>
        <v>4.3795620437956203E-4</v>
      </c>
      <c r="K66" s="2"/>
      <c r="L66" s="6">
        <f t="shared" si="46"/>
        <v>-60</v>
      </c>
      <c r="M66" s="2"/>
      <c r="N66" s="7">
        <f t="shared" si="47"/>
        <v>-1</v>
      </c>
      <c r="O66" s="11"/>
      <c r="P66" s="6">
        <v>188.85</v>
      </c>
      <c r="Q66" s="2"/>
      <c r="R66" s="7">
        <f t="shared" si="48"/>
        <v>6.4989039788571751E-4</v>
      </c>
      <c r="S66" s="2"/>
      <c r="T66" s="6">
        <v>240</v>
      </c>
      <c r="U66" s="2"/>
      <c r="V66" s="7">
        <f t="shared" si="49"/>
        <v>5.9113300492610833E-4</v>
      </c>
      <c r="W66" s="2"/>
      <c r="X66" s="6">
        <f t="shared" si="50"/>
        <v>-51.150000000000006</v>
      </c>
      <c r="Y66" s="2"/>
      <c r="Z66" s="7">
        <f t="shared" si="51"/>
        <v>-0.21312500000000004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250</v>
      </c>
      <c r="U67" s="2"/>
      <c r="V67" s="7">
        <f t="shared" si="49"/>
        <v>6.1576354679802956E-4</v>
      </c>
      <c r="W67" s="2"/>
      <c r="X67" s="6">
        <f t="shared" si="50"/>
        <v>-250</v>
      </c>
      <c r="Y67" s="2"/>
      <c r="Z67" s="7">
        <f t="shared" si="51"/>
        <v>-1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>
        <v>3051.79</v>
      </c>
      <c r="E68" s="2"/>
      <c r="F68" s="7">
        <f t="shared" si="44"/>
        <v>3.2085872413082514E-2</v>
      </c>
      <c r="G68" s="2"/>
      <c r="H68" s="6">
        <v>2900</v>
      </c>
      <c r="I68" s="2"/>
      <c r="J68" s="7">
        <f t="shared" si="45"/>
        <v>2.1167883211678833E-2</v>
      </c>
      <c r="K68" s="2"/>
      <c r="L68" s="6">
        <f t="shared" si="46"/>
        <v>151.78999999999996</v>
      </c>
      <c r="M68" s="2"/>
      <c r="N68" s="7">
        <f t="shared" si="47"/>
        <v>5.2341379310344813E-2</v>
      </c>
      <c r="O68" s="11"/>
      <c r="P68" s="6">
        <v>10362.94</v>
      </c>
      <c r="Q68" s="2"/>
      <c r="R68" s="7">
        <f t="shared" si="48"/>
        <v>3.566203441814042E-2</v>
      </c>
      <c r="S68" s="2"/>
      <c r="T68" s="6">
        <v>10100</v>
      </c>
      <c r="U68" s="2"/>
      <c r="V68" s="7">
        <f t="shared" si="49"/>
        <v>2.4876847290640394E-2</v>
      </c>
      <c r="W68" s="2"/>
      <c r="X68" s="6">
        <f t="shared" si="50"/>
        <v>262.94000000000051</v>
      </c>
      <c r="Y68" s="2"/>
      <c r="Z68" s="7">
        <f t="shared" si="51"/>
        <v>2.6033663366336685E-2</v>
      </c>
    </row>
    <row r="69" spans="1:26" s="26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1668.92</v>
      </c>
      <c r="E69" s="1"/>
      <c r="F69" s="5">
        <f t="shared" ref="F69:F75" si="52">IF(D$12=0,0,D69/D$12)</f>
        <v>1.7546670703961174E-2</v>
      </c>
      <c r="G69" s="1"/>
      <c r="H69" s="1">
        <f>SUM(OSRRefH22_11x_0)</f>
        <v>1900.77</v>
      </c>
      <c r="I69" s="1"/>
      <c r="J69" s="5">
        <f t="shared" ref="J69:J75" si="53">IF(H$12=0,0,H69/H$12)</f>
        <v>1.3874233576642336E-2</v>
      </c>
      <c r="K69" s="1"/>
      <c r="L69" s="1">
        <f t="shared" ref="L69:L75" si="54">+D69-H69</f>
        <v>-231.84999999999991</v>
      </c>
      <c r="M69" s="1"/>
      <c r="N69" s="5">
        <f t="shared" ref="N69:N75" si="55">IF(H69=0,0,L69/H69)</f>
        <v>-0.12197688305265757</v>
      </c>
      <c r="O69" s="13"/>
      <c r="P69" s="1">
        <f>SUM(OSRRefP22_11x_0)</f>
        <v>7555.38</v>
      </c>
      <c r="Q69" s="1"/>
      <c r="R69" s="5">
        <f t="shared" ref="R69:R75" si="56">IF(P$12=0,0,P69/P$12)</f>
        <v>2.6000364915953363E-2</v>
      </c>
      <c r="S69" s="1"/>
      <c r="T69" s="1">
        <f>SUM(OSRRefT22_11x_0)</f>
        <v>8515.1</v>
      </c>
      <c r="U69" s="1"/>
      <c r="V69" s="5">
        <f t="shared" ref="V69:V75" si="57">IF(T$12=0,0,T69/T$12)</f>
        <v>2.0973152709359608E-2</v>
      </c>
      <c r="W69" s="1"/>
      <c r="X69" s="1">
        <f t="shared" ref="X69:X75" si="58">+P69-T69</f>
        <v>-959.72000000000025</v>
      </c>
      <c r="Y69" s="1"/>
      <c r="Z69" s="5">
        <f t="shared" ref="Z69:Z75" si="59">IF(T69=0,0,X69/T69)</f>
        <v>-0.11270801282427689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220.34</v>
      </c>
      <c r="E70" s="2"/>
      <c r="F70" s="7">
        <f t="shared" si="52"/>
        <v>2.3166079997308472E-3</v>
      </c>
      <c r="G70" s="2"/>
      <c r="H70" s="6">
        <v>700</v>
      </c>
      <c r="I70" s="2"/>
      <c r="J70" s="7">
        <f t="shared" si="53"/>
        <v>5.1094890510948905E-3</v>
      </c>
      <c r="K70" s="2"/>
      <c r="L70" s="6">
        <f t="shared" si="54"/>
        <v>-479.65999999999997</v>
      </c>
      <c r="M70" s="2"/>
      <c r="N70" s="7">
        <f t="shared" si="55"/>
        <v>-0.68522857142857141</v>
      </c>
      <c r="O70" s="11"/>
      <c r="P70" s="6">
        <v>220.34</v>
      </c>
      <c r="Q70" s="2"/>
      <c r="R70" s="7">
        <f t="shared" si="56"/>
        <v>7.5825708377092404E-4</v>
      </c>
      <c r="S70" s="2"/>
      <c r="T70" s="6">
        <v>2550</v>
      </c>
      <c r="U70" s="2"/>
      <c r="V70" s="7">
        <f t="shared" si="57"/>
        <v>6.2807881773399013E-3</v>
      </c>
      <c r="W70" s="2"/>
      <c r="X70" s="6">
        <f t="shared" si="58"/>
        <v>-2329.66</v>
      </c>
      <c r="Y70" s="2"/>
      <c r="Z70" s="7">
        <f t="shared" si="59"/>
        <v>-0.91359215686274509</v>
      </c>
    </row>
    <row r="71" spans="1:26" s="24" customFormat="1" hidden="1" outlineLevel="2" x14ac:dyDescent="0.25">
      <c r="A71" s="27"/>
      <c r="B71" s="11" t="str">
        <f>CONCATENATE("          ", "6239", " - ", "KITCHEN SUPPLIES")</f>
        <v xml:space="preserve">          6239 - KITCHEN SUPPLIES</v>
      </c>
      <c r="C71" s="11"/>
      <c r="D71" s="6">
        <v>269.54000000000002</v>
      </c>
      <c r="E71" s="2"/>
      <c r="F71" s="7">
        <f t="shared" si="52"/>
        <v>2.8338863585706297E-3</v>
      </c>
      <c r="G71" s="2"/>
      <c r="H71" s="6">
        <v>113.76</v>
      </c>
      <c r="I71" s="2"/>
      <c r="J71" s="7">
        <f t="shared" si="53"/>
        <v>8.3036496350364969E-4</v>
      </c>
      <c r="K71" s="2"/>
      <c r="L71" s="6">
        <f t="shared" si="54"/>
        <v>155.78000000000003</v>
      </c>
      <c r="M71" s="2"/>
      <c r="N71" s="7">
        <f t="shared" si="55"/>
        <v>1.3693741209563997</v>
      </c>
      <c r="O71" s="11"/>
      <c r="P71" s="6">
        <v>3334.69</v>
      </c>
      <c r="Q71" s="2"/>
      <c r="R71" s="7">
        <f t="shared" si="56"/>
        <v>1.1475684463465837E-2</v>
      </c>
      <c r="S71" s="2"/>
      <c r="T71" s="6">
        <v>1113.76</v>
      </c>
      <c r="U71" s="2"/>
      <c r="V71" s="7">
        <f t="shared" si="57"/>
        <v>2.7432512315270934E-3</v>
      </c>
      <c r="W71" s="2"/>
      <c r="X71" s="6">
        <f t="shared" si="58"/>
        <v>2220.9300000000003</v>
      </c>
      <c r="Y71" s="2"/>
      <c r="Z71" s="7">
        <f t="shared" si="59"/>
        <v>1.9940831058755928</v>
      </c>
    </row>
    <row r="72" spans="1:26" s="24" customFormat="1" hidden="1" outlineLevel="2" x14ac:dyDescent="0.25">
      <c r="A72" s="27"/>
      <c r="B72" s="11" t="str">
        <f>CONCATENATE("          ", "6241", " - ", "OFFICE EXPENSE")</f>
        <v xml:space="preserve">          6241 - OFFICE EXPENSE</v>
      </c>
      <c r="C72" s="11"/>
      <c r="D72" s="6">
        <v>409.71</v>
      </c>
      <c r="E72" s="2"/>
      <c r="F72" s="7">
        <f t="shared" si="52"/>
        <v>4.3076039918749452E-3</v>
      </c>
      <c r="G72" s="2"/>
      <c r="H72" s="6">
        <v>200</v>
      </c>
      <c r="I72" s="2"/>
      <c r="J72" s="7">
        <f t="shared" si="53"/>
        <v>1.4598540145985401E-3</v>
      </c>
      <c r="K72" s="2"/>
      <c r="L72" s="6">
        <f t="shared" si="54"/>
        <v>209.70999999999998</v>
      </c>
      <c r="M72" s="2"/>
      <c r="N72" s="7">
        <f t="shared" si="55"/>
        <v>1.0485499999999999</v>
      </c>
      <c r="O72" s="11"/>
      <c r="P72" s="6">
        <v>618.12</v>
      </c>
      <c r="Q72" s="2"/>
      <c r="R72" s="7">
        <f t="shared" si="56"/>
        <v>2.1271392784809095E-3</v>
      </c>
      <c r="S72" s="2"/>
      <c r="T72" s="6">
        <v>1056.25</v>
      </c>
      <c r="U72" s="2"/>
      <c r="V72" s="7">
        <f t="shared" si="57"/>
        <v>2.601600985221675E-3</v>
      </c>
      <c r="W72" s="2"/>
      <c r="X72" s="6">
        <f t="shared" si="58"/>
        <v>-438.13</v>
      </c>
      <c r="Y72" s="2"/>
      <c r="Z72" s="7">
        <f t="shared" si="59"/>
        <v>-0.41479763313609469</v>
      </c>
    </row>
    <row r="73" spans="1:26" s="24" customFormat="1" hidden="1" outlineLevel="2" x14ac:dyDescent="0.25">
      <c r="A73" s="27"/>
      <c r="B73" s="11" t="str">
        <f>CONCATENATE("          ", "6243", " - ", "PAPER SUPPLIES")</f>
        <v xml:space="preserve">          6243 - PAPER SUPPLIES</v>
      </c>
      <c r="C73" s="11"/>
      <c r="D73" s="6">
        <v>769.33</v>
      </c>
      <c r="E73" s="2"/>
      <c r="F73" s="7">
        <f t="shared" si="52"/>
        <v>8.0885723537847537E-3</v>
      </c>
      <c r="G73" s="2"/>
      <c r="H73" s="6">
        <v>700</v>
      </c>
      <c r="I73" s="2"/>
      <c r="J73" s="7">
        <f t="shared" si="53"/>
        <v>5.1094890510948905E-3</v>
      </c>
      <c r="K73" s="2"/>
      <c r="L73" s="6">
        <f t="shared" si="54"/>
        <v>69.330000000000041</v>
      </c>
      <c r="M73" s="2"/>
      <c r="N73" s="7">
        <f t="shared" si="55"/>
        <v>9.9042857142857196E-2</v>
      </c>
      <c r="O73" s="11"/>
      <c r="P73" s="6">
        <v>2580.52</v>
      </c>
      <c r="Q73" s="2"/>
      <c r="R73" s="7">
        <f t="shared" si="56"/>
        <v>8.8803556767384252E-3</v>
      </c>
      <c r="S73" s="2"/>
      <c r="T73" s="6">
        <v>2325</v>
      </c>
      <c r="U73" s="2"/>
      <c r="V73" s="7">
        <f t="shared" si="57"/>
        <v>5.7266009852216752E-3</v>
      </c>
      <c r="W73" s="2"/>
      <c r="X73" s="6">
        <f t="shared" si="58"/>
        <v>255.51999999999998</v>
      </c>
      <c r="Y73" s="2"/>
      <c r="Z73" s="7">
        <f t="shared" si="59"/>
        <v>0.10990107526881719</v>
      </c>
    </row>
    <row r="74" spans="1:26" s="24" customFormat="1" hidden="1" outlineLevel="2" x14ac:dyDescent="0.25">
      <c r="A74" s="27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52"/>
        <v>0</v>
      </c>
      <c r="G74" s="2"/>
      <c r="H74" s="6">
        <v>187.01</v>
      </c>
      <c r="I74" s="2"/>
      <c r="J74" s="7">
        <f t="shared" si="53"/>
        <v>1.3650364963503649E-3</v>
      </c>
      <c r="K74" s="2"/>
      <c r="L74" s="6">
        <f t="shared" si="54"/>
        <v>-187.01</v>
      </c>
      <c r="M74" s="2"/>
      <c r="N74" s="7">
        <f t="shared" si="55"/>
        <v>-1</v>
      </c>
      <c r="O74" s="11"/>
      <c r="P74" s="6">
        <v>366.09</v>
      </c>
      <c r="Q74" s="2"/>
      <c r="R74" s="7">
        <f t="shared" si="56"/>
        <v>1.2598272478791756E-3</v>
      </c>
      <c r="S74" s="2"/>
      <c r="T74" s="6">
        <v>670.09</v>
      </c>
      <c r="U74" s="2"/>
      <c r="V74" s="7">
        <f t="shared" si="57"/>
        <v>1.6504679802955666E-3</v>
      </c>
      <c r="W74" s="2"/>
      <c r="X74" s="6">
        <f t="shared" si="58"/>
        <v>-304.00000000000006</v>
      </c>
      <c r="Y74" s="2"/>
      <c r="Z74" s="7">
        <f t="shared" si="59"/>
        <v>-0.45367040248324858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435.62</v>
      </c>
      <c r="Q75" s="2"/>
      <c r="R75" s="7">
        <f t="shared" si="56"/>
        <v>1.4991011656180899E-3</v>
      </c>
      <c r="S75" s="2"/>
      <c r="T75" s="6">
        <v>800</v>
      </c>
      <c r="U75" s="2"/>
      <c r="V75" s="7">
        <f t="shared" si="57"/>
        <v>1.9704433497536944E-3</v>
      </c>
      <c r="W75" s="2"/>
      <c r="X75" s="6">
        <f t="shared" si="58"/>
        <v>-364.38</v>
      </c>
      <c r="Y75" s="2"/>
      <c r="Z75" s="7">
        <f t="shared" si="59"/>
        <v>-0.45547500000000002</v>
      </c>
    </row>
    <row r="76" spans="1:26" s="26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SUM(OSRRefD22_12x_0)</f>
        <v>192.28</v>
      </c>
      <c r="E76" s="1"/>
      <c r="F76" s="5">
        <f t="shared" ref="F76:F79" si="60">IF(D$12=0,0,D76/D$12)</f>
        <v>2.0215911145876702E-3</v>
      </c>
      <c r="G76" s="1"/>
      <c r="H76" s="1">
        <f>SUM(OSRRefH22_12x_0)</f>
        <v>195</v>
      </c>
      <c r="I76" s="1"/>
      <c r="J76" s="5">
        <f t="shared" ref="J76:J79" si="61">IF(H$12=0,0,H76/H$12)</f>
        <v>1.4233576642335767E-3</v>
      </c>
      <c r="K76" s="1"/>
      <c r="L76" s="1">
        <f t="shared" ref="L76:L79" si="62">+D76-H76</f>
        <v>-2.7199999999999989</v>
      </c>
      <c r="M76" s="1"/>
      <c r="N76" s="5">
        <f t="shared" ref="N76:N79" si="63">IF(H76=0,0,L76/H76)</f>
        <v>-1.3948717948717942E-2</v>
      </c>
      <c r="O76" s="13"/>
      <c r="P76" s="1">
        <f>SUM(OSRRefP22_12x_0)</f>
        <v>764.03</v>
      </c>
      <c r="Q76" s="1"/>
      <c r="R76" s="5">
        <f t="shared" ref="R76:R79" si="64">IF(P$12=0,0,P76/P$12)</f>
        <v>2.6292600513456435E-3</v>
      </c>
      <c r="S76" s="1"/>
      <c r="T76" s="1">
        <f>SUM(OSRRefT22_12x_0)</f>
        <v>390</v>
      </c>
      <c r="U76" s="1"/>
      <c r="V76" s="5">
        <f t="shared" ref="V76:V79" si="65">IF(T$12=0,0,T76/T$12)</f>
        <v>9.6059113300492609E-4</v>
      </c>
      <c r="W76" s="1"/>
      <c r="X76" s="1">
        <f t="shared" ref="X76:X79" si="66">+P76-T76</f>
        <v>374.03</v>
      </c>
      <c r="Y76" s="1"/>
      <c r="Z76" s="5">
        <f t="shared" ref="Z76:Z79" si="67">IF(T76=0,0,X76/T76)</f>
        <v>0.95905128205128198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192.28</v>
      </c>
      <c r="E77" s="2"/>
      <c r="F77" s="7">
        <f t="shared" si="60"/>
        <v>2.0215911145876702E-3</v>
      </c>
      <c r="G77" s="2"/>
      <c r="H77" s="6">
        <v>195</v>
      </c>
      <c r="I77" s="2"/>
      <c r="J77" s="7">
        <f t="shared" si="61"/>
        <v>1.4233576642335767E-3</v>
      </c>
      <c r="K77" s="2"/>
      <c r="L77" s="6">
        <f t="shared" si="62"/>
        <v>-2.7199999999999989</v>
      </c>
      <c r="M77" s="2"/>
      <c r="N77" s="7">
        <f t="shared" si="63"/>
        <v>-1.3948717948717942E-2</v>
      </c>
      <c r="O77" s="11"/>
      <c r="P77" s="6">
        <v>764.03</v>
      </c>
      <c r="Q77" s="2"/>
      <c r="R77" s="7">
        <f t="shared" si="64"/>
        <v>2.6292600513456435E-3</v>
      </c>
      <c r="S77" s="2"/>
      <c r="T77" s="6">
        <v>390</v>
      </c>
      <c r="U77" s="2"/>
      <c r="V77" s="7">
        <f t="shared" si="65"/>
        <v>9.6059113300492609E-4</v>
      </c>
      <c r="W77" s="2"/>
      <c r="X77" s="6">
        <f t="shared" si="66"/>
        <v>374.03</v>
      </c>
      <c r="Y77" s="2"/>
      <c r="Z77" s="7">
        <f t="shared" si="67"/>
        <v>0.95905128205128198</v>
      </c>
    </row>
    <row r="78" spans="1:26" s="26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SUM(OSRRefD22_13x_0)</f>
        <v>0</v>
      </c>
      <c r="E78" s="1"/>
      <c r="F78" s="5">
        <f t="shared" si="60"/>
        <v>0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0</v>
      </c>
      <c r="M78" s="1"/>
      <c r="N78" s="5">
        <f t="shared" si="63"/>
        <v>0</v>
      </c>
      <c r="O78" s="13"/>
      <c r="P78" s="1">
        <f>SUM(OSRRefP22_13x_0)</f>
        <v>175</v>
      </c>
      <c r="Q78" s="1"/>
      <c r="R78" s="5">
        <f t="shared" si="64"/>
        <v>6.0222832740270359E-4</v>
      </c>
      <c r="S78" s="1"/>
      <c r="T78" s="1">
        <f>SUM(OSRRefT22_13x_0)</f>
        <v>500</v>
      </c>
      <c r="U78" s="1"/>
      <c r="V78" s="5">
        <f t="shared" si="65"/>
        <v>1.2315270935960591E-3</v>
      </c>
      <c r="W78" s="1"/>
      <c r="X78" s="1">
        <f t="shared" si="66"/>
        <v>-325</v>
      </c>
      <c r="Y78" s="1"/>
      <c r="Z78" s="5">
        <f t="shared" si="67"/>
        <v>-0.65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175</v>
      </c>
      <c r="Q79" s="2"/>
      <c r="R79" s="7">
        <f t="shared" si="64"/>
        <v>6.0222832740270359E-4</v>
      </c>
      <c r="S79" s="2"/>
      <c r="T79" s="6">
        <v>500</v>
      </c>
      <c r="U79" s="2"/>
      <c r="V79" s="7">
        <f t="shared" si="65"/>
        <v>1.2315270935960591E-3</v>
      </c>
      <c r="W79" s="2"/>
      <c r="X79" s="6">
        <f t="shared" si="66"/>
        <v>-325</v>
      </c>
      <c r="Y79" s="2"/>
      <c r="Z79" s="7">
        <f t="shared" si="67"/>
        <v>-0.65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2">
        <f>+D22-D24+D81</f>
        <v>26786.639999999999</v>
      </c>
      <c r="E83" s="14"/>
      <c r="F83" s="20">
        <f>IF(D$12=0,0,D83/D$12)</f>
        <v>0.28162904833398517</v>
      </c>
      <c r="G83" s="14"/>
      <c r="H83" s="22">
        <f>+H22-H24+H81</f>
        <v>17204.186611057754</v>
      </c>
      <c r="I83" s="14"/>
      <c r="J83" s="20">
        <f>IF(H$12=0,0,H83/H$12)</f>
        <v>0.12557800446027559</v>
      </c>
      <c r="K83" s="16"/>
      <c r="L83" s="22">
        <f>+D83-H83</f>
        <v>9582.4533889422455</v>
      </c>
      <c r="M83" s="16"/>
      <c r="N83" s="20">
        <f>IF(H83=0,0,L83/H83)</f>
        <v>0.55698380897491873</v>
      </c>
      <c r="O83" s="29"/>
      <c r="P83" s="22">
        <f>+P22-P24+P81</f>
        <v>-5094.7599999999802</v>
      </c>
      <c r="Q83" s="14"/>
      <c r="R83" s="20">
        <f>IF(P$12=0,0,P83/P$12)</f>
        <v>-1.7532621676103921E-2</v>
      </c>
      <c r="S83" s="14"/>
      <c r="T83" s="22">
        <f>+T22-T24+T81</f>
        <v>2757.1642791423365</v>
      </c>
      <c r="U83" s="14"/>
      <c r="V83" s="20">
        <f>IF(T$12=0,0,T83/T$12)</f>
        <v>6.7910450225180698E-3</v>
      </c>
      <c r="W83" s="16"/>
      <c r="X83" s="22">
        <f>+P83-T83</f>
        <v>-7851.9242791423167</v>
      </c>
      <c r="Y83" s="16"/>
      <c r="Z83" s="20">
        <f>IF(T83=0,0,X83/T83)</f>
        <v>-2.8478260575698426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8254.75</v>
      </c>
      <c r="E85" s="4"/>
      <c r="F85" s="12">
        <f>IF(D$12=0,0,D85/D$12)</f>
        <v>8.6788689687656392E-2</v>
      </c>
      <c r="G85" s="4"/>
      <c r="H85" s="4">
        <v>14868</v>
      </c>
      <c r="I85" s="4"/>
      <c r="J85" s="12">
        <f>IF(H$12=0,0,H85/H$12)</f>
        <v>0.10852554744525547</v>
      </c>
      <c r="K85" s="4"/>
      <c r="L85" s="4">
        <f>+D85-H85</f>
        <v>-6613.25</v>
      </c>
      <c r="M85" s="4"/>
      <c r="N85" s="12">
        <f>IF(H85=0,0,L85/H85)</f>
        <v>-0.44479755178907721</v>
      </c>
      <c r="O85" s="10"/>
      <c r="P85" s="4">
        <v>29251.279999999999</v>
      </c>
      <c r="Q85" s="4"/>
      <c r="R85" s="12">
        <f>IF(P$12=0,0,P85/P$12)</f>
        <v>0.10066256816450374</v>
      </c>
      <c r="S85" s="4"/>
      <c r="T85" s="4">
        <v>48892</v>
      </c>
      <c r="U85" s="4"/>
      <c r="V85" s="12">
        <f>IF(T$12=0,0,T85/T$12)</f>
        <v>0.12042364532019705</v>
      </c>
      <c r="W85" s="4"/>
      <c r="X85" s="4">
        <f>+P85-T85</f>
        <v>-19640.72</v>
      </c>
      <c r="Y85" s="4"/>
      <c r="Z85" s="12">
        <f>IF(T85=0,0,X85/T85)</f>
        <v>-0.4017164362267856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1">
        <f>+D83-D85</f>
        <v>18531.89</v>
      </c>
      <c r="E87" s="14"/>
      <c r="F87" s="33">
        <f>IF(D$12=0,0,D87/D$12)</f>
        <v>0.19484035864632879</v>
      </c>
      <c r="G87" s="14"/>
      <c r="H87" s="31">
        <f>+H83-H85</f>
        <v>2336.1866110577539</v>
      </c>
      <c r="I87" s="14"/>
      <c r="J87" s="33">
        <f>IF(H$12=0,0,H87/H$12)</f>
        <v>1.7052457015020103E-2</v>
      </c>
      <c r="K87" s="16"/>
      <c r="L87" s="31">
        <f>D87-H87</f>
        <v>16195.703388942246</v>
      </c>
      <c r="M87" s="16"/>
      <c r="N87" s="33">
        <f>IF(H87=0,0,L87/H87)</f>
        <v>6.9325383992374334</v>
      </c>
      <c r="O87" s="29"/>
      <c r="P87" s="31">
        <f>+P83-P85</f>
        <v>-34346.039999999979</v>
      </c>
      <c r="Q87" s="14"/>
      <c r="R87" s="33">
        <f>IF(P$12=0,0,P87/P$12)</f>
        <v>-0.11819518984060766</v>
      </c>
      <c r="S87" s="14"/>
      <c r="T87" s="31">
        <f>+T83-T85</f>
        <v>-46134.835720857664</v>
      </c>
      <c r="U87" s="14"/>
      <c r="V87" s="33">
        <f>IF(T$12=0,0,T87/T$12)</f>
        <v>-0.11363260029767898</v>
      </c>
      <c r="W87" s="16"/>
      <c r="X87" s="31">
        <f>P87-T87</f>
        <v>11788.795720857685</v>
      </c>
      <c r="Y87" s="16"/>
      <c r="Z87" s="33">
        <f>IF(T87=0,0,X87/T87)</f>
        <v>-0.25552915788378855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2">
        <f>SUM(D87:D89)</f>
        <v>18531.89</v>
      </c>
      <c r="E90" s="14"/>
      <c r="F90" s="34">
        <f>IF(D$12=0,0,D90/D$12)</f>
        <v>0.19484035864632879</v>
      </c>
      <c r="G90" s="14"/>
      <c r="H90" s="32">
        <f>SUM(H87:H89)</f>
        <v>2336.1866110577539</v>
      </c>
      <c r="I90" s="14"/>
      <c r="J90" s="34">
        <f>IF(H$12=0,0,H90/H$12)</f>
        <v>1.7052457015020103E-2</v>
      </c>
      <c r="K90" s="16"/>
      <c r="L90" s="32">
        <f>+D90-H90</f>
        <v>16195.703388942246</v>
      </c>
      <c r="M90" s="16"/>
      <c r="N90" s="34">
        <f>IF(H90=0,0,L90/H90)</f>
        <v>6.9325383992374334</v>
      </c>
      <c r="O90" s="29"/>
      <c r="P90" s="32">
        <f>SUM(P87:P89)</f>
        <v>-34346.039999999979</v>
      </c>
      <c r="Q90" s="14"/>
      <c r="R90" s="34">
        <f>IF(P$12=0,0,P90/P$12)</f>
        <v>-0.11819518984060766</v>
      </c>
      <c r="S90" s="14"/>
      <c r="T90" s="32">
        <f>SUM(T87:T89)</f>
        <v>-46134.835720857664</v>
      </c>
      <c r="U90" s="14"/>
      <c r="V90" s="34">
        <f>IF(T$12=0,0,T90/T$12)</f>
        <v>-0.11363260029767898</v>
      </c>
      <c r="W90" s="16"/>
      <c r="X90" s="32">
        <f>+P90-T90</f>
        <v>11788.795720857685</v>
      </c>
      <c r="Y90" s="16"/>
      <c r="Z90" s="34">
        <f>IF(T90=0,0,X90/T90)</f>
        <v>-0.25552915788378855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0">
        <v>43791.348508252318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4" t="s">
        <v>314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5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54485.820000000007</v>
      </c>
      <c r="E12" s="4"/>
      <c r="F12" s="12"/>
      <c r="G12" s="4"/>
      <c r="H12" s="4">
        <f>SUM(OSRRefH13x_0)</f>
        <v>68790</v>
      </c>
      <c r="I12" s="4"/>
      <c r="J12" s="12"/>
      <c r="K12" s="4"/>
      <c r="L12" s="4">
        <f t="shared" ref="L12:L16" si="0">+D12-H12</f>
        <v>-14304.179999999993</v>
      </c>
      <c r="M12" s="4"/>
      <c r="N12" s="12">
        <f t="shared" ref="N12:N16" si="1">IF(H12=0,0,L12/H12)</f>
        <v>-0.20793981683384202</v>
      </c>
      <c r="O12" s="10"/>
      <c r="P12" s="4">
        <f>SUM(OSRRefP13x_0)</f>
        <v>129883.59999999999</v>
      </c>
      <c r="Q12" s="4"/>
      <c r="R12" s="12"/>
      <c r="S12" s="4"/>
      <c r="T12" s="4">
        <f>SUM(OSRRefT13x_0)</f>
        <v>157999</v>
      </c>
      <c r="U12" s="4"/>
      <c r="V12" s="12"/>
      <c r="W12" s="4"/>
      <c r="X12" s="4">
        <f t="shared" ref="X12:X16" si="2">+P12-T12</f>
        <v>-28115.400000000009</v>
      </c>
      <c r="Y12" s="4"/>
      <c r="Z12" s="12">
        <f t="shared" ref="Z12:Z16" si="3">IF(T12=0,0,X12/T12)</f>
        <v>-0.17794669586516376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13750</v>
      </c>
      <c r="I13" s="2"/>
      <c r="J13" s="19"/>
      <c r="K13" s="2"/>
      <c r="L13" s="2">
        <f t="shared" si="0"/>
        <v>-13750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30459</v>
      </c>
      <c r="U13" s="2"/>
      <c r="V13" s="19"/>
      <c r="W13" s="2"/>
      <c r="X13" s="2">
        <f t="shared" si="2"/>
        <v>-30459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--10668.2</f>
        <v>10668.2</v>
      </c>
      <c r="E14" s="2"/>
      <c r="F14" s="19"/>
      <c r="G14" s="2"/>
      <c r="H14" s="2"/>
      <c r="I14" s="2"/>
      <c r="J14" s="19"/>
      <c r="K14" s="2"/>
      <c r="L14" s="2">
        <f t="shared" si="0"/>
        <v>10668.2</v>
      </c>
      <c r="M14" s="2"/>
      <c r="N14" s="19">
        <f t="shared" si="1"/>
        <v>0</v>
      </c>
      <c r="O14" s="11"/>
      <c r="P14" s="2">
        <f>--31741.26</f>
        <v>31741.26</v>
      </c>
      <c r="Q14" s="2"/>
      <c r="R14" s="19"/>
      <c r="S14" s="2"/>
      <c r="T14" s="2"/>
      <c r="U14" s="2"/>
      <c r="V14" s="19"/>
      <c r="W14" s="2"/>
      <c r="X14" s="2">
        <f t="shared" si="2"/>
        <v>31741.26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55040</v>
      </c>
      <c r="I15" s="2"/>
      <c r="J15" s="19"/>
      <c r="K15" s="2"/>
      <c r="L15" s="2">
        <f t="shared" si="0"/>
        <v>-55040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127540</v>
      </c>
      <c r="U15" s="2"/>
      <c r="V15" s="19"/>
      <c r="W15" s="2"/>
      <c r="X15" s="2">
        <f t="shared" si="2"/>
        <v>-127540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--43817.62</f>
        <v>43817.62</v>
      </c>
      <c r="E16" s="2"/>
      <c r="F16" s="19"/>
      <c r="G16" s="2"/>
      <c r="H16" s="2"/>
      <c r="I16" s="2"/>
      <c r="J16" s="19"/>
      <c r="K16" s="2"/>
      <c r="L16" s="2">
        <f t="shared" si="0"/>
        <v>43817.62</v>
      </c>
      <c r="M16" s="2"/>
      <c r="N16" s="19">
        <f t="shared" si="1"/>
        <v>0</v>
      </c>
      <c r="O16" s="11"/>
      <c r="P16" s="2">
        <f>--98142.34</f>
        <v>98142.34</v>
      </c>
      <c r="Q16" s="2"/>
      <c r="R16" s="19"/>
      <c r="S16" s="2"/>
      <c r="T16" s="2"/>
      <c r="U16" s="2"/>
      <c r="V16" s="19"/>
      <c r="W16" s="2"/>
      <c r="X16" s="2">
        <f t="shared" si="2"/>
        <v>98142.34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16171.27</v>
      </c>
      <c r="E18" s="4"/>
      <c r="F18" s="12">
        <f t="shared" ref="F18:F21" si="4">IF(D$12=0,0,D18/D$12)</f>
        <v>0.29679777233783028</v>
      </c>
      <c r="G18" s="4"/>
      <c r="H18" s="4">
        <f>SUM(OSRRefH16x_0)</f>
        <v>23250</v>
      </c>
      <c r="I18" s="4"/>
      <c r="J18" s="12">
        <f t="shared" ref="J18:J21" si="5">IF(H$12=0,0,H18/H$12)</f>
        <v>0.3379851722634104</v>
      </c>
      <c r="K18" s="4"/>
      <c r="L18" s="4">
        <f t="shared" ref="L18:L21" si="6">+D18-H18</f>
        <v>-7078.73</v>
      </c>
      <c r="M18" s="4"/>
      <c r="N18" s="12">
        <f t="shared" ref="N18:N21" si="7">IF(H18=0,0,L18/H18)</f>
        <v>-0.30446150537634409</v>
      </c>
      <c r="O18" s="10"/>
      <c r="P18" s="4">
        <f>SUM(OSRRefP16x_0)</f>
        <v>38456.28</v>
      </c>
      <c r="Q18" s="4"/>
      <c r="R18" s="12">
        <f t="shared" ref="R18:R21" si="8">IF(P$12=0,0,P18/P$12)</f>
        <v>0.29608264630792497</v>
      </c>
      <c r="S18" s="4"/>
      <c r="T18" s="4">
        <f>SUM(OSRRefT16x_0)</f>
        <v>50350</v>
      </c>
      <c r="U18" s="4"/>
      <c r="V18" s="12">
        <f t="shared" ref="V18:V21" si="9">IF(T$12=0,0,T18/T$12)</f>
        <v>0.31867290299305689</v>
      </c>
      <c r="W18" s="4"/>
      <c r="X18" s="4">
        <f t="shared" ref="X18:X21" si="10">+P18-T18</f>
        <v>-11893.720000000001</v>
      </c>
      <c r="Y18" s="4"/>
      <c r="Z18" s="12">
        <f t="shared" ref="Z18:Z21" si="11">IF(T18=0,0,X18/T18)</f>
        <v>-0.23622085402184709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23250</v>
      </c>
      <c r="I19" s="2"/>
      <c r="J19" s="19">
        <f t="shared" si="5"/>
        <v>0.3379851722634104</v>
      </c>
      <c r="K19" s="2"/>
      <c r="L19" s="2">
        <f t="shared" si="6"/>
        <v>-23250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50350</v>
      </c>
      <c r="U19" s="2"/>
      <c r="V19" s="19">
        <f t="shared" si="9"/>
        <v>0.31867290299305689</v>
      </c>
      <c r="W19" s="2"/>
      <c r="X19" s="2">
        <f t="shared" si="10"/>
        <v>-50350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17450.310000000001</v>
      </c>
      <c r="E20" s="2"/>
      <c r="F20" s="19">
        <f t="shared" si="4"/>
        <v>0.32027250392854506</v>
      </c>
      <c r="G20" s="2"/>
      <c r="H20" s="2"/>
      <c r="I20" s="2"/>
      <c r="J20" s="19">
        <f t="shared" si="5"/>
        <v>0</v>
      </c>
      <c r="K20" s="2"/>
      <c r="L20" s="2">
        <f t="shared" si="6"/>
        <v>17450.310000000001</v>
      </c>
      <c r="M20" s="2"/>
      <c r="N20" s="19">
        <f t="shared" si="7"/>
        <v>0</v>
      </c>
      <c r="O20" s="11"/>
      <c r="P20" s="2">
        <v>43450.43</v>
      </c>
      <c r="Q20" s="2"/>
      <c r="R20" s="19">
        <f t="shared" si="8"/>
        <v>0.33453361317364166</v>
      </c>
      <c r="S20" s="2"/>
      <c r="T20" s="2"/>
      <c r="U20" s="2"/>
      <c r="V20" s="19">
        <f t="shared" si="9"/>
        <v>0</v>
      </c>
      <c r="W20" s="2"/>
      <c r="X20" s="2">
        <f t="shared" si="10"/>
        <v>43450.43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-1279.04</v>
      </c>
      <c r="E21" s="2"/>
      <c r="F21" s="19">
        <f t="shared" si="4"/>
        <v>-2.3474731590714792E-2</v>
      </c>
      <c r="G21" s="2"/>
      <c r="H21" s="2"/>
      <c r="I21" s="2"/>
      <c r="J21" s="19">
        <f t="shared" si="5"/>
        <v>0</v>
      </c>
      <c r="K21" s="2"/>
      <c r="L21" s="2">
        <f t="shared" si="6"/>
        <v>-1279.04</v>
      </c>
      <c r="M21" s="2"/>
      <c r="N21" s="19">
        <f t="shared" si="7"/>
        <v>0</v>
      </c>
      <c r="O21" s="11"/>
      <c r="P21" s="2">
        <v>-4994.1499999999996</v>
      </c>
      <c r="Q21" s="2"/>
      <c r="R21" s="19">
        <f t="shared" si="8"/>
        <v>-3.8450966865716689E-2</v>
      </c>
      <c r="S21" s="2"/>
      <c r="T21" s="2"/>
      <c r="U21" s="2"/>
      <c r="V21" s="19">
        <f t="shared" si="9"/>
        <v>0</v>
      </c>
      <c r="W21" s="2"/>
      <c r="X21" s="2">
        <f t="shared" si="10"/>
        <v>-4994.1499999999996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38314.550000000003</v>
      </c>
      <c r="E23" s="14"/>
      <c r="F23" s="20">
        <f>IF(D$12=0,0,D23/D$12)</f>
        <v>0.70320222766216967</v>
      </c>
      <c r="G23" s="14"/>
      <c r="H23" s="22">
        <f>H12-H18</f>
        <v>45540</v>
      </c>
      <c r="I23" s="14"/>
      <c r="J23" s="20">
        <f>IF(H$12=0,0,H23/H$12)</f>
        <v>0.6620148277365896</v>
      </c>
      <c r="K23" s="16"/>
      <c r="L23" s="22">
        <f>+D23-H23</f>
        <v>-7225.4499999999971</v>
      </c>
      <c r="M23" s="16"/>
      <c r="N23" s="20">
        <f>IF(H23=0,0,L23/H23)</f>
        <v>-0.15866161616161609</v>
      </c>
      <c r="O23" s="29"/>
      <c r="P23" s="22">
        <f>P12-P18</f>
        <v>91427.319999999992</v>
      </c>
      <c r="Q23" s="14"/>
      <c r="R23" s="20">
        <f>IF(P$12=0,0,P23/P$12)</f>
        <v>0.70391735369207509</v>
      </c>
      <c r="S23" s="14"/>
      <c r="T23" s="22">
        <f>T12-T18</f>
        <v>107649</v>
      </c>
      <c r="U23" s="14"/>
      <c r="V23" s="20">
        <f>IF(T$12=0,0,T23/T$12)</f>
        <v>0.68132709700694305</v>
      </c>
      <c r="W23" s="16"/>
      <c r="X23" s="22">
        <f>+P23-T23</f>
        <v>-16221.680000000008</v>
      </c>
      <c r="Y23" s="16"/>
      <c r="Z23" s="20">
        <f>IF(T23=0,0,X23/T23)</f>
        <v>-0.1506904848163941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27626.22</v>
      </c>
      <c r="E25" s="21"/>
      <c r="F25" s="35">
        <f t="shared" ref="F25:F35" si="12">IF(D$12=0,0,D25/D$12)</f>
        <v>0.50703504141077438</v>
      </c>
      <c r="G25" s="21"/>
      <c r="H25" s="21">
        <f>SUM(OSRRefH22x_0)</f>
        <v>23880.809539624999</v>
      </c>
      <c r="I25" s="21"/>
      <c r="J25" s="35">
        <f t="shared" ref="J25:J35" si="13">IF(H$12=0,0,H25/H$12)</f>
        <v>0.34715524843182149</v>
      </c>
      <c r="K25" s="4"/>
      <c r="L25" s="21">
        <f t="shared" ref="L25:L35" si="14">+D25-H25</f>
        <v>3745.410460375002</v>
      </c>
      <c r="M25" s="4"/>
      <c r="N25" s="35">
        <f t="shared" ref="N25:N35" si="15">IF(H25=0,0,L25/H25)</f>
        <v>0.15683766725580678</v>
      </c>
      <c r="O25" s="10"/>
      <c r="P25" s="21">
        <f>SUM(OSRRefP22x_0)</f>
        <v>87200.319999999992</v>
      </c>
      <c r="Q25" s="21"/>
      <c r="R25" s="35">
        <f t="shared" ref="R25:R35" si="16">IF(P$12=0,0,P25/P$12)</f>
        <v>0.67137282921015429</v>
      </c>
      <c r="S25" s="21"/>
      <c r="T25" s="21">
        <f>SUM(OSRRefT22x_0)</f>
        <v>73423.196837650001</v>
      </c>
      <c r="U25" s="21"/>
      <c r="V25" s="35">
        <f t="shared" ref="V25:V35" si="17">IF(T$12=0,0,T25/T$12)</f>
        <v>0.46470671863524454</v>
      </c>
      <c r="W25" s="4"/>
      <c r="X25" s="21">
        <f t="shared" ref="X25:X35" si="18">+P25-T25</f>
        <v>13777.123162349992</v>
      </c>
      <c r="Y25" s="4"/>
      <c r="Z25" s="35">
        <f t="shared" ref="Z25:Z35" si="19">IF(T25=0,0,X25/T25)</f>
        <v>0.18763992519711903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3735.82</v>
      </c>
      <c r="E26" s="1"/>
      <c r="F26" s="5">
        <f t="shared" si="12"/>
        <v>6.8564995442850996E-2</v>
      </c>
      <c r="G26" s="1"/>
      <c r="H26" s="1">
        <f>SUM(OSRRefH22_0x_0)</f>
        <v>4457.9563665480782</v>
      </c>
      <c r="I26" s="1"/>
      <c r="J26" s="5">
        <f t="shared" si="13"/>
        <v>6.4805296795291151E-2</v>
      </c>
      <c r="K26" s="1"/>
      <c r="L26" s="1">
        <f t="shared" si="14"/>
        <v>-722.13636654807806</v>
      </c>
      <c r="M26" s="1"/>
      <c r="N26" s="5">
        <f t="shared" si="15"/>
        <v>-0.16198820876016082</v>
      </c>
      <c r="O26" s="13"/>
      <c r="P26" s="1">
        <f>SUM(OSRRefP22_0x_0)</f>
        <v>14096.39</v>
      </c>
      <c r="Q26" s="1"/>
      <c r="R26" s="5">
        <f t="shared" si="16"/>
        <v>0.10853094617026322</v>
      </c>
      <c r="S26" s="1"/>
      <c r="T26" s="1">
        <f>SUM(OSRRefT22_0x_0)</f>
        <v>15420.825414573081</v>
      </c>
      <c r="U26" s="1"/>
      <c r="V26" s="5">
        <f t="shared" si="17"/>
        <v>9.7600778578175063E-2</v>
      </c>
      <c r="W26" s="1"/>
      <c r="X26" s="1">
        <f t="shared" si="18"/>
        <v>-1324.4354145730813</v>
      </c>
      <c r="Y26" s="1"/>
      <c r="Z26" s="5">
        <f t="shared" si="19"/>
        <v>-8.5886155829340713E-2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1255.9000000000001</v>
      </c>
      <c r="E27" s="2"/>
      <c r="F27" s="7">
        <f t="shared" si="12"/>
        <v>2.3050033935434942E-2</v>
      </c>
      <c r="G27" s="2"/>
      <c r="H27" s="6">
        <v>957.25026481730811</v>
      </c>
      <c r="I27" s="2"/>
      <c r="J27" s="7">
        <f t="shared" si="13"/>
        <v>1.3915543899074111E-2</v>
      </c>
      <c r="K27" s="2"/>
      <c r="L27" s="6">
        <f t="shared" si="14"/>
        <v>298.64973518269198</v>
      </c>
      <c r="M27" s="2"/>
      <c r="N27" s="7">
        <f t="shared" si="15"/>
        <v>0.31198710113670169</v>
      </c>
      <c r="O27" s="11"/>
      <c r="P27" s="6">
        <v>3173.65</v>
      </c>
      <c r="Q27" s="2"/>
      <c r="R27" s="7">
        <f t="shared" si="16"/>
        <v>2.4434570646332563E-2</v>
      </c>
      <c r="S27" s="2"/>
      <c r="T27" s="6">
        <v>3088.3614683423079</v>
      </c>
      <c r="U27" s="2"/>
      <c r="V27" s="7">
        <f t="shared" si="17"/>
        <v>1.954671528517464E-2</v>
      </c>
      <c r="W27" s="2"/>
      <c r="X27" s="6">
        <f t="shared" si="18"/>
        <v>85.288531657692147</v>
      </c>
      <c r="Y27" s="2"/>
      <c r="Z27" s="7">
        <f t="shared" si="19"/>
        <v>2.7616110527201712E-2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-47.36</v>
      </c>
      <c r="E28" s="2"/>
      <c r="F28" s="7">
        <f t="shared" si="12"/>
        <v>-8.6921698159264183E-4</v>
      </c>
      <c r="G28" s="2"/>
      <c r="H28" s="6">
        <v>656.54140346153804</v>
      </c>
      <c r="I28" s="2"/>
      <c r="J28" s="7">
        <f t="shared" si="13"/>
        <v>9.544140186968135E-3</v>
      </c>
      <c r="K28" s="2"/>
      <c r="L28" s="6">
        <f t="shared" si="14"/>
        <v>-703.90140346153805</v>
      </c>
      <c r="M28" s="2"/>
      <c r="N28" s="7">
        <f t="shared" si="15"/>
        <v>-1.0721355877181544</v>
      </c>
      <c r="O28" s="11"/>
      <c r="P28" s="6">
        <v>1192.4000000000001</v>
      </c>
      <c r="Q28" s="2"/>
      <c r="R28" s="7">
        <f t="shared" si="16"/>
        <v>9.1805277956570359E-3</v>
      </c>
      <c r="S28" s="2"/>
      <c r="T28" s="6">
        <v>1916.6002124615381</v>
      </c>
      <c r="U28" s="2"/>
      <c r="V28" s="7">
        <f t="shared" si="17"/>
        <v>1.2130457866578511E-2</v>
      </c>
      <c r="W28" s="2"/>
      <c r="X28" s="6">
        <f t="shared" si="18"/>
        <v>-724.20021246153806</v>
      </c>
      <c r="Y28" s="2"/>
      <c r="Z28" s="7">
        <f t="shared" si="19"/>
        <v>-0.37785669006653683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1290.46</v>
      </c>
      <c r="E29" s="2"/>
      <c r="F29" s="7">
        <f t="shared" si="12"/>
        <v>2.3684327408489032E-2</v>
      </c>
      <c r="G29" s="2"/>
      <c r="H29" s="6">
        <v>1381</v>
      </c>
      <c r="I29" s="2"/>
      <c r="J29" s="7">
        <f t="shared" si="13"/>
        <v>2.0075592382613753E-2</v>
      </c>
      <c r="K29" s="2"/>
      <c r="L29" s="6">
        <f t="shared" si="14"/>
        <v>-90.539999999999964</v>
      </c>
      <c r="M29" s="2"/>
      <c r="N29" s="7">
        <f t="shared" si="15"/>
        <v>-6.5561187545257027E-2</v>
      </c>
      <c r="O29" s="11"/>
      <c r="P29" s="6">
        <v>5150.26</v>
      </c>
      <c r="Q29" s="2"/>
      <c r="R29" s="7">
        <f t="shared" si="16"/>
        <v>3.965288920233194E-2</v>
      </c>
      <c r="S29" s="2"/>
      <c r="T29" s="6">
        <v>5524</v>
      </c>
      <c r="U29" s="2"/>
      <c r="V29" s="7">
        <f t="shared" si="17"/>
        <v>3.4962246596497444E-2</v>
      </c>
      <c r="W29" s="2"/>
      <c r="X29" s="6">
        <f t="shared" si="18"/>
        <v>-373.73999999999978</v>
      </c>
      <c r="Y29" s="2"/>
      <c r="Z29" s="7">
        <f t="shared" si="19"/>
        <v>-6.7657494569152751E-2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46.65</v>
      </c>
      <c r="E30" s="2"/>
      <c r="F30" s="7">
        <f t="shared" si="12"/>
        <v>8.5618606822839395E-4</v>
      </c>
      <c r="G30" s="2"/>
      <c r="H30" s="6">
        <v>43.995042499999997</v>
      </c>
      <c r="I30" s="2"/>
      <c r="J30" s="7">
        <f t="shared" si="13"/>
        <v>6.3955578572466923E-4</v>
      </c>
      <c r="K30" s="2"/>
      <c r="L30" s="6">
        <f t="shared" si="14"/>
        <v>2.6549575000000019</v>
      </c>
      <c r="M30" s="2"/>
      <c r="N30" s="7">
        <f t="shared" si="15"/>
        <v>6.034674247672342E-2</v>
      </c>
      <c r="O30" s="11"/>
      <c r="P30" s="6">
        <v>129.72999999999999</v>
      </c>
      <c r="Q30" s="2"/>
      <c r="R30" s="7">
        <f t="shared" si="16"/>
        <v>9.9881740265899614E-4</v>
      </c>
      <c r="S30" s="2"/>
      <c r="T30" s="6">
        <v>128.431973</v>
      </c>
      <c r="U30" s="2"/>
      <c r="V30" s="7">
        <f t="shared" si="17"/>
        <v>8.1286573332742609E-4</v>
      </c>
      <c r="W30" s="2"/>
      <c r="X30" s="6">
        <f t="shared" si="18"/>
        <v>1.2980269999999905</v>
      </c>
      <c r="Y30" s="2"/>
      <c r="Z30" s="7">
        <f t="shared" si="19"/>
        <v>1.0106727862850714E-2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326.52</v>
      </c>
      <c r="E31" s="2"/>
      <c r="F31" s="7">
        <f t="shared" si="12"/>
        <v>5.9927518756256208E-3</v>
      </c>
      <c r="G31" s="2"/>
      <c r="H31" s="6">
        <v>502.512636538462</v>
      </c>
      <c r="I31" s="2"/>
      <c r="J31" s="7">
        <f t="shared" si="13"/>
        <v>7.305024517203983E-3</v>
      </c>
      <c r="K31" s="2"/>
      <c r="L31" s="6">
        <f t="shared" si="14"/>
        <v>-175.99263653846202</v>
      </c>
      <c r="M31" s="2"/>
      <c r="N31" s="7">
        <f t="shared" si="15"/>
        <v>-0.35022529532944724</v>
      </c>
      <c r="O31" s="11"/>
      <c r="P31" s="6">
        <v>1306.08</v>
      </c>
      <c r="Q31" s="2"/>
      <c r="R31" s="7">
        <f t="shared" si="16"/>
        <v>1.0055773015222862E-2</v>
      </c>
      <c r="S31" s="2"/>
      <c r="T31" s="6">
        <v>1809.0454915384619</v>
      </c>
      <c r="U31" s="2"/>
      <c r="V31" s="7">
        <f t="shared" si="17"/>
        <v>1.1449727476366698E-2</v>
      </c>
      <c r="W31" s="2"/>
      <c r="X31" s="6">
        <f t="shared" si="18"/>
        <v>-502.96549153846195</v>
      </c>
      <c r="Y31" s="2"/>
      <c r="Z31" s="7">
        <f t="shared" si="19"/>
        <v>-0.27802810592160748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404.07</v>
      </c>
      <c r="E33" s="2"/>
      <c r="F33" s="7">
        <f t="shared" si="12"/>
        <v>7.4160579761853628E-3</v>
      </c>
      <c r="G33" s="2"/>
      <c r="H33" s="6">
        <v>292.15850961538496</v>
      </c>
      <c r="I33" s="2"/>
      <c r="J33" s="7">
        <f t="shared" si="13"/>
        <v>4.247107277444177E-3</v>
      </c>
      <c r="K33" s="2"/>
      <c r="L33" s="6">
        <f t="shared" si="14"/>
        <v>111.91149038461504</v>
      </c>
      <c r="M33" s="2"/>
      <c r="N33" s="7">
        <f t="shared" si="15"/>
        <v>0.38305059309051809</v>
      </c>
      <c r="O33" s="11"/>
      <c r="P33" s="6">
        <v>1296.3</v>
      </c>
      <c r="Q33" s="2"/>
      <c r="R33" s="7">
        <f t="shared" si="16"/>
        <v>9.9804748251511363E-3</v>
      </c>
      <c r="S33" s="2"/>
      <c r="T33" s="6">
        <v>1051.7706346153861</v>
      </c>
      <c r="U33" s="2"/>
      <c r="V33" s="7">
        <f t="shared" si="17"/>
        <v>6.6568183002132051E-3</v>
      </c>
      <c r="W33" s="2"/>
      <c r="X33" s="6">
        <f t="shared" si="18"/>
        <v>244.52936538461381</v>
      </c>
      <c r="Y33" s="2"/>
      <c r="Z33" s="7">
        <f t="shared" si="19"/>
        <v>0.23249305251237962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323.43</v>
      </c>
      <c r="E34" s="2"/>
      <c r="F34" s="7">
        <f t="shared" si="12"/>
        <v>5.9360398723924861E-3</v>
      </c>
      <c r="G34" s="2"/>
      <c r="H34" s="6">
        <v>624.49850961538493</v>
      </c>
      <c r="I34" s="2"/>
      <c r="J34" s="7">
        <f t="shared" si="13"/>
        <v>9.078332746262319E-3</v>
      </c>
      <c r="K34" s="2"/>
      <c r="L34" s="6">
        <f t="shared" si="14"/>
        <v>-301.06850961538493</v>
      </c>
      <c r="M34" s="2"/>
      <c r="N34" s="7">
        <f t="shared" si="15"/>
        <v>-0.48209644215293079</v>
      </c>
      <c r="O34" s="11"/>
      <c r="P34" s="6">
        <v>1304.18</v>
      </c>
      <c r="Q34" s="2"/>
      <c r="R34" s="7">
        <f t="shared" si="16"/>
        <v>1.0041144532489091E-2</v>
      </c>
      <c r="S34" s="2"/>
      <c r="T34" s="6">
        <v>1902.6156346153862</v>
      </c>
      <c r="U34" s="2"/>
      <c r="V34" s="7">
        <f t="shared" si="17"/>
        <v>1.2041947320017128E-2</v>
      </c>
      <c r="W34" s="2"/>
      <c r="X34" s="6">
        <f t="shared" si="18"/>
        <v>-598.43563461538611</v>
      </c>
      <c r="Y34" s="2"/>
      <c r="Z34" s="7">
        <f t="shared" si="19"/>
        <v>-0.31453312152370694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136.15</v>
      </c>
      <c r="E35" s="2"/>
      <c r="F35" s="7">
        <f t="shared" si="12"/>
        <v>2.4988152880877994E-3</v>
      </c>
      <c r="G35" s="2"/>
      <c r="H35" s="6"/>
      <c r="I35" s="2"/>
      <c r="J35" s="7">
        <f t="shared" si="13"/>
        <v>0</v>
      </c>
      <c r="K35" s="2"/>
      <c r="L35" s="6">
        <f t="shared" si="14"/>
        <v>136.15</v>
      </c>
      <c r="M35" s="2"/>
      <c r="N35" s="7">
        <f t="shared" si="15"/>
        <v>0</v>
      </c>
      <c r="O35" s="11"/>
      <c r="P35" s="6">
        <v>543.79</v>
      </c>
      <c r="Q35" s="2"/>
      <c r="R35" s="7">
        <f t="shared" si="16"/>
        <v>4.1867487504196063E-3</v>
      </c>
      <c r="S35" s="2"/>
      <c r="T35" s="6"/>
      <c r="U35" s="2"/>
      <c r="V35" s="7">
        <f t="shared" si="17"/>
        <v>0</v>
      </c>
      <c r="W35" s="2"/>
      <c r="X35" s="6">
        <f t="shared" si="18"/>
        <v>543.79</v>
      </c>
      <c r="Y35" s="2"/>
      <c r="Z35" s="7">
        <f t="shared" si="19"/>
        <v>0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18759.560000000001</v>
      </c>
      <c r="E36" s="1"/>
      <c r="F36" s="5">
        <f t="shared" ref="F36:F46" si="20">IF(D$12=0,0,D36/D$12)</f>
        <v>0.34430169170620906</v>
      </c>
      <c r="G36" s="1"/>
      <c r="H36" s="1">
        <f>SUM(OSRRefH22_1x_0)</f>
        <v>16336.853173076921</v>
      </c>
      <c r="I36" s="1"/>
      <c r="J36" s="5">
        <f t="shared" ref="J36:J46" si="21">IF(H$12=0,0,H36/H$12)</f>
        <v>0.2374887799545998</v>
      </c>
      <c r="K36" s="1"/>
      <c r="L36" s="1">
        <f t="shared" ref="L36:L46" si="22">+D36-H36</f>
        <v>2422.7068269230804</v>
      </c>
      <c r="M36" s="1"/>
      <c r="N36" s="5">
        <f t="shared" ref="N36:N46" si="23">IF(H36=0,0,L36/H36)</f>
        <v>0.14829703133499988</v>
      </c>
      <c r="O36" s="13"/>
      <c r="P36" s="1">
        <f>SUM(OSRRefP22_1x_0)</f>
        <v>53180.42</v>
      </c>
      <c r="Q36" s="1"/>
      <c r="R36" s="5">
        <f t="shared" ref="R36:R46" si="24">IF(P$12=0,0,P36/P$12)</f>
        <v>0.40944676618141168</v>
      </c>
      <c r="S36" s="1"/>
      <c r="T36" s="1">
        <f>SUM(OSRRefT22_1x_0)</f>
        <v>47293.371423076918</v>
      </c>
      <c r="U36" s="1"/>
      <c r="V36" s="5">
        <f t="shared" ref="V36:V46" si="25">IF(T$12=0,0,T36/T$12)</f>
        <v>0.29932703006396827</v>
      </c>
      <c r="W36" s="1"/>
      <c r="X36" s="1">
        <f t="shared" ref="X36:X46" si="26">+P36-T36</f>
        <v>5887.04857692308</v>
      </c>
      <c r="Y36" s="1"/>
      <c r="Z36" s="5">
        <f t="shared" ref="Z36:Z46" si="27">IF(T36=0,0,X36/T36)</f>
        <v>0.12447935936431209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5842.93</v>
      </c>
      <c r="E38" s="2"/>
      <c r="F38" s="7">
        <f t="shared" si="20"/>
        <v>0.10723762623009069</v>
      </c>
      <c r="G38" s="2"/>
      <c r="H38" s="6">
        <v>5258.85317307692</v>
      </c>
      <c r="I38" s="2"/>
      <c r="J38" s="7">
        <f t="shared" si="21"/>
        <v>7.6447930993995064E-2</v>
      </c>
      <c r="K38" s="2"/>
      <c r="L38" s="6">
        <f t="shared" si="22"/>
        <v>584.07682692308026</v>
      </c>
      <c r="M38" s="2"/>
      <c r="N38" s="7">
        <f t="shared" si="23"/>
        <v>0.11106543721610329</v>
      </c>
      <c r="O38" s="11"/>
      <c r="P38" s="6">
        <v>20100.870000000003</v>
      </c>
      <c r="Q38" s="2"/>
      <c r="R38" s="7">
        <f t="shared" si="24"/>
        <v>0.15476064722566979</v>
      </c>
      <c r="S38" s="2"/>
      <c r="T38" s="6">
        <v>18931.871423076918</v>
      </c>
      <c r="U38" s="2"/>
      <c r="V38" s="7">
        <f t="shared" si="25"/>
        <v>0.11982272940383748</v>
      </c>
      <c r="W38" s="2"/>
      <c r="X38" s="6">
        <f t="shared" si="26"/>
        <v>1168.9985769230843</v>
      </c>
      <c r="Y38" s="2"/>
      <c r="Z38" s="7">
        <f t="shared" si="27"/>
        <v>6.1747650340480277E-2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6665</v>
      </c>
      <c r="I40" s="2"/>
      <c r="J40" s="7">
        <f t="shared" si="21"/>
        <v>9.6889082715510971E-2</v>
      </c>
      <c r="K40" s="2"/>
      <c r="L40" s="6">
        <f t="shared" si="22"/>
        <v>-6665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15599.5</v>
      </c>
      <c r="U40" s="2"/>
      <c r="V40" s="7">
        <f t="shared" si="25"/>
        <v>9.8731637542009754E-2</v>
      </c>
      <c r="W40" s="2"/>
      <c r="X40" s="6">
        <f t="shared" si="26"/>
        <v>-15599.5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6974.63</v>
      </c>
      <c r="E41" s="2"/>
      <c r="F41" s="7">
        <f t="shared" si="20"/>
        <v>0.12800816799673748</v>
      </c>
      <c r="G41" s="2"/>
      <c r="H41" s="6">
        <v>765</v>
      </c>
      <c r="I41" s="2"/>
      <c r="J41" s="7">
        <f t="shared" si="21"/>
        <v>1.1120802442215439E-2</v>
      </c>
      <c r="K41" s="2"/>
      <c r="L41" s="6">
        <f t="shared" si="22"/>
        <v>6209.63</v>
      </c>
      <c r="M41" s="2"/>
      <c r="N41" s="7">
        <f t="shared" si="23"/>
        <v>8.11716339869281</v>
      </c>
      <c r="O41" s="11"/>
      <c r="P41" s="6">
        <v>14355.24</v>
      </c>
      <c r="Q41" s="2"/>
      <c r="R41" s="7">
        <f t="shared" si="24"/>
        <v>0.11052388446270353</v>
      </c>
      <c r="S41" s="2"/>
      <c r="T41" s="6">
        <v>1734</v>
      </c>
      <c r="U41" s="2"/>
      <c r="V41" s="7">
        <f t="shared" si="25"/>
        <v>1.0974753004765853E-2</v>
      </c>
      <c r="W41" s="2"/>
      <c r="X41" s="6">
        <f t="shared" si="26"/>
        <v>12621.24</v>
      </c>
      <c r="Y41" s="2"/>
      <c r="Z41" s="7">
        <f t="shared" si="27"/>
        <v>7.2786851211072667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4931</v>
      </c>
      <c r="E43" s="2"/>
      <c r="F43" s="7">
        <f t="shared" si="20"/>
        <v>9.0500610984656185E-2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4931</v>
      </c>
      <c r="M43" s="2"/>
      <c r="N43" s="7">
        <f t="shared" si="23"/>
        <v>0</v>
      </c>
      <c r="O43" s="11"/>
      <c r="P43" s="6">
        <v>16966.310000000001</v>
      </c>
      <c r="Q43" s="2"/>
      <c r="R43" s="7">
        <f t="shared" si="24"/>
        <v>0.13062703836358094</v>
      </c>
      <c r="S43" s="2"/>
      <c r="T43" s="6">
        <v>3720</v>
      </c>
      <c r="U43" s="2"/>
      <c r="V43" s="7">
        <f t="shared" si="25"/>
        <v>2.3544452812992486E-2</v>
      </c>
      <c r="W43" s="2"/>
      <c r="X43" s="6">
        <f t="shared" si="26"/>
        <v>13246.310000000001</v>
      </c>
      <c r="Y43" s="2"/>
      <c r="Z43" s="7">
        <f t="shared" si="27"/>
        <v>3.5608360215053767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1011</v>
      </c>
      <c r="E44" s="2"/>
      <c r="F44" s="7">
        <f t="shared" si="20"/>
        <v>1.8555286494724679E-2</v>
      </c>
      <c r="G44" s="2"/>
      <c r="H44" s="6">
        <v>3648</v>
      </c>
      <c r="I44" s="2"/>
      <c r="J44" s="7">
        <f t="shared" si="21"/>
        <v>5.3030963802878327E-2</v>
      </c>
      <c r="K44" s="2"/>
      <c r="L44" s="6">
        <f t="shared" si="22"/>
        <v>-2637</v>
      </c>
      <c r="M44" s="2"/>
      <c r="N44" s="7">
        <f t="shared" si="23"/>
        <v>-0.72286184210526316</v>
      </c>
      <c r="O44" s="11"/>
      <c r="P44" s="6">
        <v>1758</v>
      </c>
      <c r="Q44" s="2"/>
      <c r="R44" s="7">
        <f t="shared" si="24"/>
        <v>1.3535196129457453E-2</v>
      </c>
      <c r="S44" s="2"/>
      <c r="T44" s="6">
        <v>7308</v>
      </c>
      <c r="U44" s="2"/>
      <c r="V44" s="7">
        <f t="shared" si="25"/>
        <v>4.6253457300362663E-2</v>
      </c>
      <c r="W44" s="2"/>
      <c r="X44" s="6">
        <f t="shared" si="26"/>
        <v>-5550</v>
      </c>
      <c r="Y44" s="2"/>
      <c r="Z44" s="7">
        <f t="shared" si="27"/>
        <v>-0.7594417077175698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288.79000000000002</v>
      </c>
      <c r="E47" s="1"/>
      <c r="F47" s="5">
        <f t="shared" ref="F47:F60" si="28">IF(D$12=0,0,D47/D$12)</f>
        <v>5.3002781274100307E-3</v>
      </c>
      <c r="G47" s="1"/>
      <c r="H47" s="1">
        <f>SUM(OSRRefH22_2x_0)</f>
        <v>75</v>
      </c>
      <c r="I47" s="1"/>
      <c r="J47" s="5">
        <f t="shared" ref="J47:J60" si="29">IF(H$12=0,0,H47/H$12)</f>
        <v>1.0902747492368076E-3</v>
      </c>
      <c r="K47" s="1"/>
      <c r="L47" s="1">
        <f t="shared" ref="L47:L60" si="30">+D47-H47</f>
        <v>213.79000000000002</v>
      </c>
      <c r="M47" s="1"/>
      <c r="N47" s="5">
        <f t="shared" ref="N47:N60" si="31">IF(H47=0,0,L47/H47)</f>
        <v>2.8505333333333338</v>
      </c>
      <c r="O47" s="13"/>
      <c r="P47" s="1">
        <f>SUM(OSRRefP22_2x_0)</f>
        <v>1329.72</v>
      </c>
      <c r="Q47" s="1"/>
      <c r="R47" s="5">
        <f t="shared" ref="R47:R60" si="32">IF(P$12=0,0,P47/P$12)</f>
        <v>1.0237782137236726E-2</v>
      </c>
      <c r="S47" s="1"/>
      <c r="T47" s="1">
        <f>SUM(OSRRefT22_2x_0)</f>
        <v>475</v>
      </c>
      <c r="U47" s="1"/>
      <c r="V47" s="5">
        <f t="shared" ref="V47:V60" si="33">IF(T$12=0,0,T47/T$12)</f>
        <v>3.0063481414439332E-3</v>
      </c>
      <c r="W47" s="1"/>
      <c r="X47" s="1">
        <f t="shared" ref="X47:X60" si="34">+P47-T47</f>
        <v>854.72</v>
      </c>
      <c r="Y47" s="1"/>
      <c r="Z47" s="5">
        <f t="shared" ref="Z47:Z60" si="35">IF(T47=0,0,X47/T47)</f>
        <v>1.7994105263157896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288.79000000000002</v>
      </c>
      <c r="E48" s="2"/>
      <c r="F48" s="7">
        <f t="shared" si="28"/>
        <v>5.3002781274100307E-3</v>
      </c>
      <c r="G48" s="2"/>
      <c r="H48" s="6">
        <v>75</v>
      </c>
      <c r="I48" s="2"/>
      <c r="J48" s="7">
        <f t="shared" si="29"/>
        <v>1.0902747492368076E-3</v>
      </c>
      <c r="K48" s="2"/>
      <c r="L48" s="6">
        <f t="shared" si="30"/>
        <v>213.79000000000002</v>
      </c>
      <c r="M48" s="2"/>
      <c r="N48" s="7">
        <f t="shared" si="31"/>
        <v>2.8505333333333338</v>
      </c>
      <c r="O48" s="11"/>
      <c r="P48" s="6">
        <v>1329.72</v>
      </c>
      <c r="Q48" s="2"/>
      <c r="R48" s="7">
        <f t="shared" si="32"/>
        <v>1.0237782137236726E-2</v>
      </c>
      <c r="S48" s="2"/>
      <c r="T48" s="6">
        <v>475</v>
      </c>
      <c r="U48" s="2"/>
      <c r="V48" s="7">
        <f t="shared" si="33"/>
        <v>3.0063481414439332E-3</v>
      </c>
      <c r="W48" s="2"/>
      <c r="X48" s="6">
        <f t="shared" si="34"/>
        <v>854.72</v>
      </c>
      <c r="Y48" s="2"/>
      <c r="Z48" s="7">
        <f t="shared" si="35"/>
        <v>1.7994105263157896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11.17</v>
      </c>
      <c r="E49" s="1"/>
      <c r="F49" s="5">
        <f t="shared" si="28"/>
        <v>2.0500746799809562E-4</v>
      </c>
      <c r="G49" s="1"/>
      <c r="H49" s="1">
        <f>SUM(OSRRefH22_3x_0)</f>
        <v>20</v>
      </c>
      <c r="I49" s="1"/>
      <c r="J49" s="5">
        <f t="shared" si="29"/>
        <v>2.9073993312981537E-4</v>
      </c>
      <c r="K49" s="1"/>
      <c r="L49" s="1">
        <f t="shared" si="30"/>
        <v>-8.83</v>
      </c>
      <c r="M49" s="1"/>
      <c r="N49" s="5">
        <f t="shared" si="31"/>
        <v>-0.4415</v>
      </c>
      <c r="O49" s="13"/>
      <c r="P49" s="1">
        <f>SUM(OSRRefP22_3x_0)</f>
        <v>-26.56</v>
      </c>
      <c r="Q49" s="1"/>
      <c r="R49" s="5">
        <f t="shared" si="32"/>
        <v>-2.0449079021523888E-4</v>
      </c>
      <c r="S49" s="1"/>
      <c r="T49" s="1">
        <f>SUM(OSRRefT22_3x_0)</f>
        <v>80</v>
      </c>
      <c r="U49" s="1"/>
      <c r="V49" s="5">
        <f t="shared" si="33"/>
        <v>5.063323185589782E-4</v>
      </c>
      <c r="W49" s="1"/>
      <c r="X49" s="1">
        <f t="shared" si="34"/>
        <v>-106.56</v>
      </c>
      <c r="Y49" s="1"/>
      <c r="Z49" s="5">
        <f t="shared" si="35"/>
        <v>-1.3320000000000001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11.17</v>
      </c>
      <c r="E50" s="2"/>
      <c r="F50" s="7">
        <f t="shared" si="28"/>
        <v>2.0500746799809562E-4</v>
      </c>
      <c r="G50" s="2"/>
      <c r="H50" s="6">
        <v>20</v>
      </c>
      <c r="I50" s="2"/>
      <c r="J50" s="7">
        <f t="shared" si="29"/>
        <v>2.9073993312981537E-4</v>
      </c>
      <c r="K50" s="2"/>
      <c r="L50" s="6">
        <f t="shared" si="30"/>
        <v>-8.83</v>
      </c>
      <c r="M50" s="2"/>
      <c r="N50" s="7">
        <f t="shared" si="31"/>
        <v>-0.4415</v>
      </c>
      <c r="O50" s="11"/>
      <c r="P50" s="6">
        <v>-26.56</v>
      </c>
      <c r="Q50" s="2"/>
      <c r="R50" s="7">
        <f t="shared" si="32"/>
        <v>-2.0449079021523888E-4</v>
      </c>
      <c r="S50" s="2"/>
      <c r="T50" s="6">
        <v>80</v>
      </c>
      <c r="U50" s="2"/>
      <c r="V50" s="7">
        <f t="shared" si="33"/>
        <v>5.063323185589782E-4</v>
      </c>
      <c r="W50" s="2"/>
      <c r="X50" s="6">
        <f t="shared" si="34"/>
        <v>-106.56</v>
      </c>
      <c r="Y50" s="2"/>
      <c r="Z50" s="7">
        <f t="shared" si="35"/>
        <v>-1.3320000000000001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2122.56</v>
      </c>
      <c r="E51" s="1"/>
      <c r="F51" s="5">
        <f t="shared" si="28"/>
        <v>3.8956190803405358E-2</v>
      </c>
      <c r="G51" s="1"/>
      <c r="H51" s="1">
        <f>SUM(OSRRefH22_4x_0)</f>
        <v>1800</v>
      </c>
      <c r="I51" s="1"/>
      <c r="J51" s="5">
        <f t="shared" si="29"/>
        <v>2.6166593981683386E-2</v>
      </c>
      <c r="K51" s="1"/>
      <c r="L51" s="1">
        <f t="shared" si="30"/>
        <v>322.55999999999995</v>
      </c>
      <c r="M51" s="1"/>
      <c r="N51" s="5">
        <f t="shared" si="31"/>
        <v>0.17919999999999997</v>
      </c>
      <c r="O51" s="13"/>
      <c r="P51" s="1">
        <f>SUM(OSRRefP22_4x_0)</f>
        <v>4622.76</v>
      </c>
      <c r="Q51" s="1"/>
      <c r="R51" s="5">
        <f t="shared" si="32"/>
        <v>3.5591560443350823E-2</v>
      </c>
      <c r="S51" s="1"/>
      <c r="T51" s="1">
        <f>SUM(OSRRefT22_4x_0)</f>
        <v>4200</v>
      </c>
      <c r="U51" s="1"/>
      <c r="V51" s="5">
        <f t="shared" si="33"/>
        <v>2.6582446724346356E-2</v>
      </c>
      <c r="W51" s="1"/>
      <c r="X51" s="1">
        <f t="shared" si="34"/>
        <v>422.76000000000022</v>
      </c>
      <c r="Y51" s="1"/>
      <c r="Z51" s="5">
        <f t="shared" si="35"/>
        <v>0.1006571428571429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2122.56</v>
      </c>
      <c r="E52" s="2"/>
      <c r="F52" s="7">
        <f t="shared" si="28"/>
        <v>3.8956190803405358E-2</v>
      </c>
      <c r="G52" s="2"/>
      <c r="H52" s="6">
        <v>1800</v>
      </c>
      <c r="I52" s="2"/>
      <c r="J52" s="7">
        <f t="shared" si="29"/>
        <v>2.6166593981683386E-2</v>
      </c>
      <c r="K52" s="2"/>
      <c r="L52" s="6">
        <f t="shared" si="30"/>
        <v>322.55999999999995</v>
      </c>
      <c r="M52" s="2"/>
      <c r="N52" s="7">
        <f t="shared" si="31"/>
        <v>0.17919999999999997</v>
      </c>
      <c r="O52" s="11"/>
      <c r="P52" s="6">
        <v>4622.76</v>
      </c>
      <c r="Q52" s="2"/>
      <c r="R52" s="7">
        <f t="shared" si="32"/>
        <v>3.5591560443350823E-2</v>
      </c>
      <c r="S52" s="2"/>
      <c r="T52" s="6">
        <v>4200</v>
      </c>
      <c r="U52" s="2"/>
      <c r="V52" s="7">
        <f t="shared" si="33"/>
        <v>2.6582446724346356E-2</v>
      </c>
      <c r="W52" s="2"/>
      <c r="X52" s="6">
        <f t="shared" si="34"/>
        <v>422.76000000000022</v>
      </c>
      <c r="Y52" s="2"/>
      <c r="Z52" s="7">
        <f t="shared" si="35"/>
        <v>0.1006571428571429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1.1566495649693809E-2</v>
      </c>
      <c r="G53" s="1"/>
      <c r="H53" s="1">
        <f>SUM(OSRRefH22_5x_0)</f>
        <v>636</v>
      </c>
      <c r="I53" s="1"/>
      <c r="J53" s="5">
        <f t="shared" si="29"/>
        <v>9.2455298735281289E-3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2520.84</v>
      </c>
      <c r="Q53" s="1"/>
      <c r="R53" s="5">
        <f t="shared" si="32"/>
        <v>1.9408454955052064E-2</v>
      </c>
      <c r="S53" s="1"/>
      <c r="T53" s="1">
        <f>SUM(OSRRefT22_5x_0)</f>
        <v>2544</v>
      </c>
      <c r="U53" s="1"/>
      <c r="V53" s="5">
        <f t="shared" si="33"/>
        <v>1.6101367730175509E-2</v>
      </c>
      <c r="W53" s="1"/>
      <c r="X53" s="1">
        <f t="shared" si="34"/>
        <v>-23.159999999999854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1.1566495649693809E-2</v>
      </c>
      <c r="G54" s="2"/>
      <c r="H54" s="6">
        <v>636</v>
      </c>
      <c r="I54" s="2"/>
      <c r="J54" s="7">
        <f t="shared" si="29"/>
        <v>9.2455298735281289E-3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2520.84</v>
      </c>
      <c r="Q54" s="2"/>
      <c r="R54" s="7">
        <f t="shared" si="32"/>
        <v>1.9408454955052064E-2</v>
      </c>
      <c r="S54" s="2"/>
      <c r="T54" s="6">
        <v>2544</v>
      </c>
      <c r="U54" s="2"/>
      <c r="V54" s="7">
        <f t="shared" si="33"/>
        <v>1.6101367730175509E-2</v>
      </c>
      <c r="W54" s="2"/>
      <c r="X54" s="6">
        <f t="shared" si="34"/>
        <v>-23.159999999999854</v>
      </c>
      <c r="Y54" s="2"/>
      <c r="Z54" s="7">
        <f t="shared" si="35"/>
        <v>-9.1037735849056039E-3</v>
      </c>
    </row>
    <row r="55" spans="1:26" s="26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SUM(OSRRefD22_6x_0)</f>
        <v>101.8</v>
      </c>
      <c r="E55" s="1"/>
      <c r="F55" s="5">
        <f t="shared" si="28"/>
        <v>1.8683760288456699E-3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101.8</v>
      </c>
      <c r="M55" s="1"/>
      <c r="N55" s="5">
        <f t="shared" si="31"/>
        <v>0</v>
      </c>
      <c r="O55" s="13"/>
      <c r="P55" s="1">
        <f>SUM(OSRRefP22_6x_0)</f>
        <v>851.35</v>
      </c>
      <c r="Q55" s="1"/>
      <c r="R55" s="5">
        <f t="shared" si="32"/>
        <v>6.554715144945167E-3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851.35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>
        <v>101.8</v>
      </c>
      <c r="E56" s="2"/>
      <c r="F56" s="7">
        <f t="shared" si="28"/>
        <v>1.8683760288456699E-3</v>
      </c>
      <c r="G56" s="2"/>
      <c r="H56" s="6"/>
      <c r="I56" s="2"/>
      <c r="J56" s="7">
        <f t="shared" si="29"/>
        <v>0</v>
      </c>
      <c r="K56" s="2"/>
      <c r="L56" s="6">
        <f t="shared" si="30"/>
        <v>101.8</v>
      </c>
      <c r="M56" s="2"/>
      <c r="N56" s="7">
        <f t="shared" si="31"/>
        <v>0</v>
      </c>
      <c r="O56" s="11"/>
      <c r="P56" s="6">
        <v>851.35</v>
      </c>
      <c r="Q56" s="2"/>
      <c r="R56" s="7">
        <f t="shared" si="32"/>
        <v>6.554715144945167E-3</v>
      </c>
      <c r="S56" s="2"/>
      <c r="T56" s="6"/>
      <c r="U56" s="2"/>
      <c r="V56" s="7">
        <f t="shared" si="33"/>
        <v>0</v>
      </c>
      <c r="W56" s="2"/>
      <c r="X56" s="6">
        <f t="shared" si="34"/>
        <v>851.35</v>
      </c>
      <c r="Y56" s="2"/>
      <c r="Z56" s="7">
        <f t="shared" si="35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SUM(OSRRefD22_7x_0)</f>
        <v>1098.97</v>
      </c>
      <c r="E57" s="1"/>
      <c r="F57" s="5">
        <f t="shared" si="28"/>
        <v>2.0169835013954088E-2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1098.97</v>
      </c>
      <c r="M57" s="1"/>
      <c r="N57" s="5">
        <f t="shared" si="31"/>
        <v>0</v>
      </c>
      <c r="O57" s="13"/>
      <c r="P57" s="1">
        <f>SUM(OSRRefP22_7x_0)</f>
        <v>7677.8099999999995</v>
      </c>
      <c r="Q57" s="1"/>
      <c r="R57" s="5">
        <f t="shared" si="32"/>
        <v>5.9113005799038526E-2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7677.8099999999995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874.62</v>
      </c>
      <c r="Q58" s="2"/>
      <c r="R58" s="7">
        <f t="shared" si="32"/>
        <v>6.7338755624266654E-3</v>
      </c>
      <c r="S58" s="2"/>
      <c r="T58" s="6"/>
      <c r="U58" s="2"/>
      <c r="V58" s="7">
        <f t="shared" si="33"/>
        <v>0</v>
      </c>
      <c r="W58" s="2"/>
      <c r="X58" s="6">
        <f t="shared" si="34"/>
        <v>874.62</v>
      </c>
      <c r="Y58" s="2"/>
      <c r="Z58" s="7">
        <f t="shared" si="35"/>
        <v>0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157.29</v>
      </c>
      <c r="E59" s="2"/>
      <c r="F59" s="7">
        <f t="shared" si="28"/>
        <v>2.8868061451585011E-3</v>
      </c>
      <c r="G59" s="2"/>
      <c r="H59" s="6"/>
      <c r="I59" s="2"/>
      <c r="J59" s="7">
        <f t="shared" si="29"/>
        <v>0</v>
      </c>
      <c r="K59" s="2"/>
      <c r="L59" s="6">
        <f t="shared" si="30"/>
        <v>157.29</v>
      </c>
      <c r="M59" s="2"/>
      <c r="N59" s="7">
        <f t="shared" si="31"/>
        <v>0</v>
      </c>
      <c r="O59" s="11"/>
      <c r="P59" s="6">
        <v>157.29</v>
      </c>
      <c r="Q59" s="2"/>
      <c r="R59" s="7">
        <f t="shared" si="32"/>
        <v>1.2110073943130619E-3</v>
      </c>
      <c r="S59" s="2"/>
      <c r="T59" s="6"/>
      <c r="U59" s="2"/>
      <c r="V59" s="7">
        <f t="shared" si="33"/>
        <v>0</v>
      </c>
      <c r="W59" s="2"/>
      <c r="X59" s="6">
        <f t="shared" si="34"/>
        <v>157.29</v>
      </c>
      <c r="Y59" s="2"/>
      <c r="Z59" s="7">
        <f t="shared" si="35"/>
        <v>0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941.68</v>
      </c>
      <c r="E60" s="2"/>
      <c r="F60" s="7">
        <f t="shared" si="28"/>
        <v>1.7283028868795583E-2</v>
      </c>
      <c r="G60" s="2"/>
      <c r="H60" s="6"/>
      <c r="I60" s="2"/>
      <c r="J60" s="7">
        <f t="shared" si="29"/>
        <v>0</v>
      </c>
      <c r="K60" s="2"/>
      <c r="L60" s="6">
        <f t="shared" si="30"/>
        <v>941.68</v>
      </c>
      <c r="M60" s="2"/>
      <c r="N60" s="7">
        <f t="shared" si="31"/>
        <v>0</v>
      </c>
      <c r="O60" s="11"/>
      <c r="P60" s="6">
        <v>6645.9</v>
      </c>
      <c r="Q60" s="2"/>
      <c r="R60" s="7">
        <f t="shared" si="32"/>
        <v>5.1168122842298797E-2</v>
      </c>
      <c r="S60" s="2"/>
      <c r="T60" s="6"/>
      <c r="U60" s="2"/>
      <c r="V60" s="7">
        <f t="shared" si="33"/>
        <v>0</v>
      </c>
      <c r="W60" s="2"/>
      <c r="X60" s="6">
        <f t="shared" si="34"/>
        <v>6645.9</v>
      </c>
      <c r="Y60" s="2"/>
      <c r="Z60" s="7">
        <f t="shared" si="35"/>
        <v>0</v>
      </c>
    </row>
    <row r="61" spans="1:26" s="26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SUM(OSRRefD22_8x_0)</f>
        <v>206.55</v>
      </c>
      <c r="E61" s="1"/>
      <c r="F61" s="5">
        <f t="shared" ref="F61:F69" si="36">IF(D$12=0,0,D61/D$12)</f>
        <v>3.7908945850498349E-3</v>
      </c>
      <c r="G61" s="1"/>
      <c r="H61" s="1">
        <f>SUM(OSRRefH22_8x_0)</f>
        <v>0</v>
      </c>
      <c r="I61" s="1"/>
      <c r="J61" s="5">
        <f t="shared" ref="J61:J69" si="37">IF(H$12=0,0,H61/H$12)</f>
        <v>0</v>
      </c>
      <c r="K61" s="1"/>
      <c r="L61" s="1">
        <f t="shared" ref="L61:L69" si="38">+D61-H61</f>
        <v>206.55</v>
      </c>
      <c r="M61" s="1"/>
      <c r="N61" s="5">
        <f t="shared" ref="N61:N69" si="39">IF(H61=0,0,L61/H61)</f>
        <v>0</v>
      </c>
      <c r="O61" s="13"/>
      <c r="P61" s="1">
        <f>SUM(OSRRefP22_8x_0)</f>
        <v>273.77</v>
      </c>
      <c r="Q61" s="1"/>
      <c r="R61" s="5">
        <f t="shared" ref="R61:R69" si="40">IF(P$12=0,0,P61/P$12)</f>
        <v>2.1078103779076035E-3</v>
      </c>
      <c r="S61" s="1"/>
      <c r="T61" s="1">
        <f>SUM(OSRRefT22_8x_0)</f>
        <v>90</v>
      </c>
      <c r="U61" s="1"/>
      <c r="V61" s="5">
        <f t="shared" ref="V61:V69" si="41">IF(T$12=0,0,T61/T$12)</f>
        <v>5.6962385837885053E-4</v>
      </c>
      <c r="W61" s="1"/>
      <c r="X61" s="1">
        <f t="shared" ref="X61:X69" si="42">+P61-T61</f>
        <v>183.76999999999998</v>
      </c>
      <c r="Y61" s="1"/>
      <c r="Z61" s="5">
        <f t="shared" ref="Z61:Z69" si="43">IF(T61=0,0,X61/T61)</f>
        <v>2.0418888888888889</v>
      </c>
    </row>
    <row r="62" spans="1:26" s="24" customFormat="1" hidden="1" outlineLevel="2" x14ac:dyDescent="0.25">
      <c r="A62" s="27"/>
      <c r="B62" s="11" t="str">
        <f>CONCATENATE("          ", "6286", " - ", "LAUNDRY EXPENSE")</f>
        <v xml:space="preserve">          6286 - LAUNDRY EXPENSE</v>
      </c>
      <c r="C62" s="11"/>
      <c r="D62" s="6">
        <v>206.55</v>
      </c>
      <c r="E62" s="2"/>
      <c r="F62" s="7">
        <f t="shared" si="36"/>
        <v>3.7908945850498349E-3</v>
      </c>
      <c r="G62" s="2"/>
      <c r="H62" s="6"/>
      <c r="I62" s="2"/>
      <c r="J62" s="7">
        <f t="shared" si="37"/>
        <v>0</v>
      </c>
      <c r="K62" s="2"/>
      <c r="L62" s="6">
        <f t="shared" si="38"/>
        <v>206.55</v>
      </c>
      <c r="M62" s="2"/>
      <c r="N62" s="7">
        <f t="shared" si="39"/>
        <v>0</v>
      </c>
      <c r="O62" s="11"/>
      <c r="P62" s="6">
        <v>273.77</v>
      </c>
      <c r="Q62" s="2"/>
      <c r="R62" s="7">
        <f t="shared" si="40"/>
        <v>2.1078103779076035E-3</v>
      </c>
      <c r="S62" s="2"/>
      <c r="T62" s="6">
        <v>90</v>
      </c>
      <c r="U62" s="2"/>
      <c r="V62" s="7">
        <f t="shared" si="41"/>
        <v>5.6962385837885053E-4</v>
      </c>
      <c r="W62" s="2"/>
      <c r="X62" s="6">
        <f t="shared" si="42"/>
        <v>183.76999999999998</v>
      </c>
      <c r="Y62" s="2"/>
      <c r="Z62" s="7">
        <f t="shared" si="43"/>
        <v>2.0418888888888889</v>
      </c>
    </row>
    <row r="63" spans="1:26" s="26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SUM(OSRRefD22_9x_0)</f>
        <v>599.79000000000008</v>
      </c>
      <c r="E63" s="1"/>
      <c r="F63" s="5">
        <f t="shared" si="36"/>
        <v>1.1008185248932658E-2</v>
      </c>
      <c r="G63" s="1"/>
      <c r="H63" s="1">
        <f>SUM(OSRRefH22_9x_0)</f>
        <v>460</v>
      </c>
      <c r="I63" s="1"/>
      <c r="J63" s="5">
        <f t="shared" si="37"/>
        <v>6.6870184619857538E-3</v>
      </c>
      <c r="K63" s="1"/>
      <c r="L63" s="1">
        <f t="shared" si="38"/>
        <v>139.79000000000008</v>
      </c>
      <c r="M63" s="1"/>
      <c r="N63" s="5">
        <f t="shared" si="39"/>
        <v>0.30389130434782624</v>
      </c>
      <c r="O63" s="13"/>
      <c r="P63" s="1">
        <f>SUM(OSRRefP22_9x_0)</f>
        <v>2389.8199999999997</v>
      </c>
      <c r="Q63" s="1"/>
      <c r="R63" s="5">
        <f t="shared" si="40"/>
        <v>1.8399705582536979E-2</v>
      </c>
      <c r="S63" s="1"/>
      <c r="T63" s="1">
        <f>SUM(OSRRefT22_9x_0)</f>
        <v>2640</v>
      </c>
      <c r="U63" s="1"/>
      <c r="V63" s="5">
        <f t="shared" si="41"/>
        <v>1.6708966512446282E-2</v>
      </c>
      <c r="W63" s="1"/>
      <c r="X63" s="1">
        <f t="shared" si="42"/>
        <v>-250.18000000000029</v>
      </c>
      <c r="Y63" s="1"/>
      <c r="Z63" s="5">
        <f t="shared" si="43"/>
        <v>-9.4765151515151622E-2</v>
      </c>
    </row>
    <row r="64" spans="1:26" s="24" customFormat="1" hidden="1" outlineLevel="2" x14ac:dyDescent="0.25">
      <c r="A64" s="27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36"/>
        <v>0</v>
      </c>
      <c r="G64" s="2"/>
      <c r="H64" s="6">
        <v>80</v>
      </c>
      <c r="I64" s="2"/>
      <c r="J64" s="7">
        <f t="shared" si="37"/>
        <v>1.1629597325192615E-3</v>
      </c>
      <c r="K64" s="2"/>
      <c r="L64" s="6">
        <f t="shared" si="38"/>
        <v>-80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80</v>
      </c>
      <c r="U64" s="2"/>
      <c r="V64" s="7">
        <f t="shared" si="41"/>
        <v>5.063323185589782E-4</v>
      </c>
      <c r="W64" s="2"/>
      <c r="X64" s="6">
        <f t="shared" si="42"/>
        <v>-80</v>
      </c>
      <c r="Y64" s="2"/>
      <c r="Z64" s="7">
        <f t="shared" si="43"/>
        <v>-1</v>
      </c>
    </row>
    <row r="65" spans="1:26" s="24" customFormat="1" hidden="1" outlineLevel="2" x14ac:dyDescent="0.25">
      <c r="A65" s="27"/>
      <c r="B65" s="11" t="str">
        <f>CONCATENATE("          ", "6239", " - ", "KITCHEN SUPPLIES")</f>
        <v xml:space="preserve">          6239 - KITCHEN SUPPLIES</v>
      </c>
      <c r="C65" s="11"/>
      <c r="D65" s="6"/>
      <c r="E65" s="2"/>
      <c r="F65" s="7">
        <f t="shared" si="36"/>
        <v>0</v>
      </c>
      <c r="G65" s="2"/>
      <c r="H65" s="6">
        <v>40</v>
      </c>
      <c r="I65" s="2"/>
      <c r="J65" s="7">
        <f t="shared" si="37"/>
        <v>5.8147986625963074E-4</v>
      </c>
      <c r="K65" s="2"/>
      <c r="L65" s="6">
        <f t="shared" si="38"/>
        <v>-40</v>
      </c>
      <c r="M65" s="2"/>
      <c r="N65" s="7">
        <f t="shared" si="39"/>
        <v>-1</v>
      </c>
      <c r="O65" s="11"/>
      <c r="P65" s="6">
        <v>540.89</v>
      </c>
      <c r="Q65" s="2"/>
      <c r="R65" s="7">
        <f t="shared" si="40"/>
        <v>4.1644210662470094E-3</v>
      </c>
      <c r="S65" s="2"/>
      <c r="T65" s="6">
        <v>660</v>
      </c>
      <c r="U65" s="2"/>
      <c r="V65" s="7">
        <f t="shared" si="41"/>
        <v>4.1772416281115705E-3</v>
      </c>
      <c r="W65" s="2"/>
      <c r="X65" s="6">
        <f t="shared" si="42"/>
        <v>-119.11000000000001</v>
      </c>
      <c r="Y65" s="2"/>
      <c r="Z65" s="7">
        <f t="shared" si="43"/>
        <v>-0.180469696969697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237.09</v>
      </c>
      <c r="E66" s="2"/>
      <c r="F66" s="7">
        <f t="shared" si="36"/>
        <v>4.3514073937035358E-3</v>
      </c>
      <c r="G66" s="2"/>
      <c r="H66" s="6">
        <v>40</v>
      </c>
      <c r="I66" s="2"/>
      <c r="J66" s="7">
        <f t="shared" si="37"/>
        <v>5.8147986625963074E-4</v>
      </c>
      <c r="K66" s="2"/>
      <c r="L66" s="6">
        <f t="shared" si="38"/>
        <v>197.09</v>
      </c>
      <c r="M66" s="2"/>
      <c r="N66" s="7">
        <f t="shared" si="39"/>
        <v>4.9272499999999999</v>
      </c>
      <c r="O66" s="11"/>
      <c r="P66" s="6">
        <v>419.47</v>
      </c>
      <c r="Q66" s="2"/>
      <c r="R66" s="7">
        <f t="shared" si="40"/>
        <v>3.2295840275446634E-3</v>
      </c>
      <c r="S66" s="2"/>
      <c r="T66" s="6">
        <v>60</v>
      </c>
      <c r="U66" s="2"/>
      <c r="V66" s="7">
        <f t="shared" si="41"/>
        <v>3.7974923891923365E-4</v>
      </c>
      <c r="W66" s="2"/>
      <c r="X66" s="6">
        <f t="shared" si="42"/>
        <v>359.47</v>
      </c>
      <c r="Y66" s="2"/>
      <c r="Z66" s="7">
        <f t="shared" si="43"/>
        <v>5.9911666666666674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6">
        <v>319.72000000000003</v>
      </c>
      <c r="E67" s="2"/>
      <c r="F67" s="7">
        <f t="shared" si="36"/>
        <v>5.8679487617145157E-3</v>
      </c>
      <c r="G67" s="2"/>
      <c r="H67" s="6">
        <v>300</v>
      </c>
      <c r="I67" s="2"/>
      <c r="J67" s="7">
        <f t="shared" si="37"/>
        <v>4.3610989969472304E-3</v>
      </c>
      <c r="K67" s="2"/>
      <c r="L67" s="6">
        <f t="shared" si="38"/>
        <v>19.720000000000027</v>
      </c>
      <c r="M67" s="2"/>
      <c r="N67" s="7">
        <f t="shared" si="39"/>
        <v>6.5733333333333421E-2</v>
      </c>
      <c r="O67" s="11"/>
      <c r="P67" s="6">
        <v>691.24</v>
      </c>
      <c r="Q67" s="2"/>
      <c r="R67" s="7">
        <f t="shared" si="40"/>
        <v>5.3219960025746131E-3</v>
      </c>
      <c r="S67" s="2"/>
      <c r="T67" s="6">
        <v>940</v>
      </c>
      <c r="U67" s="2"/>
      <c r="V67" s="7">
        <f t="shared" si="41"/>
        <v>5.9494047430679944E-3</v>
      </c>
      <c r="W67" s="2"/>
      <c r="X67" s="6">
        <f t="shared" si="42"/>
        <v>-248.76</v>
      </c>
      <c r="Y67" s="2"/>
      <c r="Z67" s="7">
        <f t="shared" si="43"/>
        <v>-0.26463829787234039</v>
      </c>
    </row>
    <row r="68" spans="1:26" s="24" customFormat="1" hidden="1" outlineLevel="2" x14ac:dyDescent="0.25">
      <c r="A68" s="27"/>
      <c r="B68" s="11" t="str">
        <f>CONCATENATE("          ", "6247", " - ", "STORE SUPPLIES")</f>
        <v xml:space="preserve">          6247 - STORE SUPPLIES</v>
      </c>
      <c r="C68" s="11"/>
      <c r="D68" s="6">
        <v>42.98</v>
      </c>
      <c r="E68" s="2"/>
      <c r="F68" s="7">
        <f t="shared" si="36"/>
        <v>7.88829093514606E-4</v>
      </c>
      <c r="G68" s="2"/>
      <c r="H68" s="6"/>
      <c r="I68" s="2"/>
      <c r="J68" s="7">
        <f t="shared" si="37"/>
        <v>0</v>
      </c>
      <c r="K68" s="2"/>
      <c r="L68" s="6">
        <f t="shared" si="38"/>
        <v>42.98</v>
      </c>
      <c r="M68" s="2"/>
      <c r="N68" s="7">
        <f t="shared" si="39"/>
        <v>0</v>
      </c>
      <c r="O68" s="11"/>
      <c r="P68" s="6">
        <v>42.98</v>
      </c>
      <c r="Q68" s="2"/>
      <c r="R68" s="7">
        <f t="shared" si="40"/>
        <v>3.3091167784077437E-4</v>
      </c>
      <c r="S68" s="2"/>
      <c r="T68" s="6">
        <v>900</v>
      </c>
      <c r="U68" s="2"/>
      <c r="V68" s="7">
        <f t="shared" si="41"/>
        <v>5.6962385837885047E-3</v>
      </c>
      <c r="W68" s="2"/>
      <c r="X68" s="6">
        <f t="shared" si="42"/>
        <v>-857.02</v>
      </c>
      <c r="Y68" s="2"/>
      <c r="Z68" s="7">
        <f t="shared" si="43"/>
        <v>-0.95224444444444445</v>
      </c>
    </row>
    <row r="69" spans="1:26" s="24" customFormat="1" hidden="1" outlineLevel="2" x14ac:dyDescent="0.25">
      <c r="A69" s="27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>
        <v>695.24</v>
      </c>
      <c r="Q69" s="2"/>
      <c r="R69" s="7">
        <f t="shared" si="40"/>
        <v>5.3527928083299207E-3</v>
      </c>
      <c r="S69" s="2"/>
      <c r="T69" s="6"/>
      <c r="U69" s="2"/>
      <c r="V69" s="7">
        <f t="shared" si="41"/>
        <v>0</v>
      </c>
      <c r="W69" s="2"/>
      <c r="X69" s="6">
        <f t="shared" si="42"/>
        <v>695.24</v>
      </c>
      <c r="Y69" s="2"/>
      <c r="Z69" s="7">
        <f t="shared" si="43"/>
        <v>0</v>
      </c>
    </row>
    <row r="70" spans="1:26" s="26" customFormat="1" outlineLevel="1" collapsed="1" x14ac:dyDescent="0.25">
      <c r="A70" s="25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SUM(OSRRefD22_10x_0)</f>
        <v>71</v>
      </c>
      <c r="E70" s="1"/>
      <c r="F70" s="5">
        <f t="shared" ref="F70:F72" si="44">IF(D$12=0,0,D70/D$12)</f>
        <v>1.3030913364247797E-3</v>
      </c>
      <c r="G70" s="1"/>
      <c r="H70" s="1">
        <f>SUM(OSRRefH22_10x_0)</f>
        <v>95</v>
      </c>
      <c r="I70" s="1"/>
      <c r="J70" s="5">
        <f t="shared" ref="J70:J72" si="45">IF(H$12=0,0,H70/H$12)</f>
        <v>1.3810146823666231E-3</v>
      </c>
      <c r="K70" s="1"/>
      <c r="L70" s="1">
        <f t="shared" ref="L70:L72" si="46">+D70-H70</f>
        <v>-24</v>
      </c>
      <c r="M70" s="1"/>
      <c r="N70" s="5">
        <f t="shared" ref="N70:N72" si="47">IF(H70=0,0,L70/H70)</f>
        <v>-0.25263157894736843</v>
      </c>
      <c r="O70" s="13"/>
      <c r="P70" s="1">
        <f>SUM(OSRRefP22_10x_0)</f>
        <v>284</v>
      </c>
      <c r="Q70" s="1"/>
      <c r="R70" s="5">
        <f t="shared" ref="R70:R72" si="48">IF(P$12=0,0,P70/P$12)</f>
        <v>2.1865732086268014E-3</v>
      </c>
      <c r="S70" s="1"/>
      <c r="T70" s="1">
        <f>SUM(OSRRefT22_10x_0)</f>
        <v>380</v>
      </c>
      <c r="U70" s="1"/>
      <c r="V70" s="5">
        <f t="shared" ref="V70:V72" si="49">IF(T$12=0,0,T70/T$12)</f>
        <v>2.4050785131551466E-3</v>
      </c>
      <c r="W70" s="1"/>
      <c r="X70" s="1">
        <f t="shared" ref="X70:X72" si="50">+P70-T70</f>
        <v>-96</v>
      </c>
      <c r="Y70" s="1"/>
      <c r="Z70" s="5">
        <f t="shared" ref="Z70:Z72" si="51">IF(T70=0,0,X70/T70)</f>
        <v>-0.25263157894736843</v>
      </c>
    </row>
    <row r="71" spans="1:26" s="24" customFormat="1" hidden="1" outlineLevel="2" x14ac:dyDescent="0.25">
      <c r="A71" s="27"/>
      <c r="B71" s="11" t="str">
        <f>CONCATENATE("          ", "6303", " - ", "DATA PHONE LINES")</f>
        <v xml:space="preserve">          6303 - DATA PHONE LINES</v>
      </c>
      <c r="C71" s="11"/>
      <c r="D71" s="6"/>
      <c r="E71" s="2"/>
      <c r="F71" s="7">
        <f t="shared" si="44"/>
        <v>0</v>
      </c>
      <c r="G71" s="2"/>
      <c r="H71" s="6">
        <v>50</v>
      </c>
      <c r="I71" s="2"/>
      <c r="J71" s="7">
        <f t="shared" si="45"/>
        <v>7.268498328245384E-4</v>
      </c>
      <c r="K71" s="2"/>
      <c r="L71" s="6">
        <f t="shared" si="46"/>
        <v>-50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200</v>
      </c>
      <c r="U71" s="2"/>
      <c r="V71" s="7">
        <f t="shared" si="49"/>
        <v>1.2658307963974455E-3</v>
      </c>
      <c r="W71" s="2"/>
      <c r="X71" s="6">
        <f t="shared" si="50"/>
        <v>-200</v>
      </c>
      <c r="Y71" s="2"/>
      <c r="Z71" s="7">
        <f t="shared" si="51"/>
        <v>-1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71</v>
      </c>
      <c r="E72" s="2"/>
      <c r="F72" s="7">
        <f t="shared" si="44"/>
        <v>1.3030913364247797E-3</v>
      </c>
      <c r="G72" s="2"/>
      <c r="H72" s="6">
        <v>45</v>
      </c>
      <c r="I72" s="2"/>
      <c r="J72" s="7">
        <f t="shared" si="45"/>
        <v>6.5416484954208462E-4</v>
      </c>
      <c r="K72" s="2"/>
      <c r="L72" s="6">
        <f t="shared" si="46"/>
        <v>26</v>
      </c>
      <c r="M72" s="2"/>
      <c r="N72" s="7">
        <f t="shared" si="47"/>
        <v>0.57777777777777772</v>
      </c>
      <c r="O72" s="11"/>
      <c r="P72" s="6">
        <v>284</v>
      </c>
      <c r="Q72" s="2"/>
      <c r="R72" s="7">
        <f t="shared" si="48"/>
        <v>2.1865732086268014E-3</v>
      </c>
      <c r="S72" s="2"/>
      <c r="T72" s="6">
        <v>180</v>
      </c>
      <c r="U72" s="2"/>
      <c r="V72" s="7">
        <f t="shared" si="49"/>
        <v>1.1392477167577011E-3</v>
      </c>
      <c r="W72" s="2"/>
      <c r="X72" s="6">
        <f t="shared" si="50"/>
        <v>104</v>
      </c>
      <c r="Y72" s="2"/>
      <c r="Z72" s="7">
        <f t="shared" si="51"/>
        <v>0.57777777777777772</v>
      </c>
    </row>
    <row r="73" spans="1:26" s="26" customFormat="1" outlineLevel="1" collapsed="1" x14ac:dyDescent="0.25">
      <c r="A73" s="25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SUM(OSRRefD22_11x_0)</f>
        <v>0</v>
      </c>
      <c r="E73" s="1"/>
      <c r="F73" s="5">
        <f t="shared" ref="F73:F74" si="52">IF(D$12=0,0,D73/D$12)</f>
        <v>0</v>
      </c>
      <c r="G73" s="1"/>
      <c r="H73" s="1">
        <f>SUM(OSRRefH22_11x_0)</f>
        <v>0</v>
      </c>
      <c r="I73" s="1"/>
      <c r="J73" s="5">
        <f t="shared" ref="J73:J74" si="53">IF(H$12=0,0,H73/H$12)</f>
        <v>0</v>
      </c>
      <c r="K73" s="1"/>
      <c r="L73" s="1">
        <f t="shared" ref="L73:L74" si="54">+D73-H73</f>
        <v>0</v>
      </c>
      <c r="M73" s="1"/>
      <c r="N73" s="5">
        <f t="shared" ref="N73:N74" si="55">IF(H73=0,0,L73/H73)</f>
        <v>0</v>
      </c>
      <c r="O73" s="13"/>
      <c r="P73" s="1">
        <f>SUM(OSRRefP22_11x_0)</f>
        <v>0</v>
      </c>
      <c r="Q73" s="1"/>
      <c r="R73" s="5">
        <f t="shared" ref="R73:R74" si="56">IF(P$12=0,0,P73/P$12)</f>
        <v>0</v>
      </c>
      <c r="S73" s="1"/>
      <c r="T73" s="1">
        <f>SUM(OSRRefT22_11x_0)</f>
        <v>300</v>
      </c>
      <c r="U73" s="1"/>
      <c r="V73" s="5">
        <f t="shared" ref="V73:V74" si="57">IF(T$12=0,0,T73/T$12)</f>
        <v>1.8987461945961684E-3</v>
      </c>
      <c r="W73" s="1"/>
      <c r="X73" s="1">
        <f t="shared" ref="X73:X74" si="58">+P73-T73</f>
        <v>-300</v>
      </c>
      <c r="Y73" s="1"/>
      <c r="Z73" s="5">
        <f t="shared" ref="Z73:Z74" si="59">IF(T73=0,0,X73/T73)</f>
        <v>-1</v>
      </c>
    </row>
    <row r="74" spans="1:26" s="24" customFormat="1" hidden="1" outlineLevel="2" x14ac:dyDescent="0.25">
      <c r="A74" s="27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300</v>
      </c>
      <c r="U74" s="2"/>
      <c r="V74" s="7">
        <f t="shared" si="57"/>
        <v>1.8987461945961684E-3</v>
      </c>
      <c r="W74" s="2"/>
      <c r="X74" s="6">
        <f t="shared" si="58"/>
        <v>-300</v>
      </c>
      <c r="Y74" s="2"/>
      <c r="Z74" s="7">
        <f t="shared" si="59"/>
        <v>-1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9" t="s">
        <v>0</v>
      </c>
      <c r="C76" s="10"/>
      <c r="D76" s="4">
        <f>SUM(OSRRefD25x_0)</f>
        <v>143</v>
      </c>
      <c r="E76" s="4"/>
      <c r="F76" s="12">
        <f t="shared" ref="F76:F77" si="60">IF(D$12=0,0,D76/D$12)</f>
        <v>2.6245360719541339E-3</v>
      </c>
      <c r="G76" s="4"/>
      <c r="H76" s="4">
        <f>SUM(OSRRefH25x_0)</f>
        <v>0</v>
      </c>
      <c r="I76" s="4"/>
      <c r="J76" s="12">
        <f t="shared" ref="J76:J77" si="61">IF(H$12=0,0,H76/H$12)</f>
        <v>0</v>
      </c>
      <c r="K76" s="4"/>
      <c r="L76" s="4">
        <f t="shared" ref="L76:L77" si="62">+D76-H76</f>
        <v>143</v>
      </c>
      <c r="M76" s="4"/>
      <c r="N76" s="12">
        <f t="shared" ref="N76:N77" si="63">IF(H76=0,0,L76/H76)</f>
        <v>0</v>
      </c>
      <c r="O76" s="10"/>
      <c r="P76" s="4">
        <f>SUM(OSRRefP25x_0)</f>
        <v>279</v>
      </c>
      <c r="Q76" s="4"/>
      <c r="R76" s="12">
        <f t="shared" ref="R76:R77" si="64">IF(P$12=0,0,P76/P$12)</f>
        <v>2.1480772014326674E-3</v>
      </c>
      <c r="S76" s="4"/>
      <c r="T76" s="4">
        <f>SUM(OSRRefT25x_0)</f>
        <v>0</v>
      </c>
      <c r="U76" s="4"/>
      <c r="V76" s="12">
        <f t="shared" ref="V76:V77" si="65">IF(T$12=0,0,T76/T$12)</f>
        <v>0</v>
      </c>
      <c r="W76" s="4"/>
      <c r="X76" s="4">
        <f t="shared" ref="X76:X77" si="66">+P76-T76</f>
        <v>279</v>
      </c>
      <c r="Y76" s="4"/>
      <c r="Z76" s="12">
        <f t="shared" ref="Z76:Z77" si="67">IF(T76=0,0,X76/T76)</f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--143</f>
        <v>143</v>
      </c>
      <c r="E77" s="2"/>
      <c r="F77" s="19">
        <f t="shared" si="60"/>
        <v>2.6245360719541339E-3</v>
      </c>
      <c r="G77" s="2"/>
      <c r="H77" s="2"/>
      <c r="I77" s="2"/>
      <c r="J77" s="19">
        <f t="shared" si="61"/>
        <v>0</v>
      </c>
      <c r="K77" s="2"/>
      <c r="L77" s="2">
        <f t="shared" si="62"/>
        <v>143</v>
      </c>
      <c r="M77" s="2"/>
      <c r="N77" s="19">
        <f t="shared" si="63"/>
        <v>0</v>
      </c>
      <c r="O77" s="11"/>
      <c r="P77" s="2">
        <f>--279</f>
        <v>279</v>
      </c>
      <c r="Q77" s="2"/>
      <c r="R77" s="19">
        <f t="shared" si="64"/>
        <v>2.1480772014326674E-3</v>
      </c>
      <c r="S77" s="2"/>
      <c r="T77" s="2"/>
      <c r="U77" s="2"/>
      <c r="V77" s="19">
        <f t="shared" si="65"/>
        <v>0</v>
      </c>
      <c r="W77" s="2"/>
      <c r="X77" s="2">
        <f t="shared" si="66"/>
        <v>279</v>
      </c>
      <c r="Y77" s="2"/>
      <c r="Z77" s="19">
        <f t="shared" si="67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2">
        <f>+D23-D25+D76</f>
        <v>10831.330000000002</v>
      </c>
      <c r="E79" s="14"/>
      <c r="F79" s="20">
        <f>IF(D$12=0,0,D79/D$12)</f>
        <v>0.19879172232334946</v>
      </c>
      <c r="G79" s="14"/>
      <c r="H79" s="22">
        <f>+H23-H25+H76</f>
        <v>21659.190460375001</v>
      </c>
      <c r="I79" s="14"/>
      <c r="J79" s="20">
        <f>IF(H$12=0,0,H79/H$12)</f>
        <v>0.31485957930476816</v>
      </c>
      <c r="K79" s="16"/>
      <c r="L79" s="22">
        <f>+D79-H79</f>
        <v>-10827.860460374999</v>
      </c>
      <c r="M79" s="16"/>
      <c r="N79" s="20">
        <f>IF(H79=0,0,L79/H79)</f>
        <v>-0.49991990606409437</v>
      </c>
      <c r="O79" s="29"/>
      <c r="P79" s="22">
        <f>+P23-P25+P76</f>
        <v>4506</v>
      </c>
      <c r="Q79" s="14"/>
      <c r="R79" s="20">
        <f>IF(P$12=0,0,P79/P$12)</f>
        <v>3.4692601683353405E-2</v>
      </c>
      <c r="S79" s="14"/>
      <c r="T79" s="22">
        <f>+T23-T25+T76</f>
        <v>34225.803162349999</v>
      </c>
      <c r="U79" s="14"/>
      <c r="V79" s="20">
        <f>IF(T$12=0,0,T79/T$12)</f>
        <v>0.21662037837169856</v>
      </c>
      <c r="W79" s="16"/>
      <c r="X79" s="22">
        <f>+P79-T79</f>
        <v>-29719.803162349999</v>
      </c>
      <c r="Y79" s="16"/>
      <c r="Z79" s="20">
        <f>IF(T79=0,0,X79/T79)</f>
        <v>-0.86834494493450443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4975.6899999999996</v>
      </c>
      <c r="E81" s="4"/>
      <c r="F81" s="12">
        <f>IF(D$12=0,0,D81/D$12)</f>
        <v>9.1320824390639599E-2</v>
      </c>
      <c r="G81" s="4"/>
      <c r="H81" s="4">
        <v>7743</v>
      </c>
      <c r="I81" s="4"/>
      <c r="J81" s="12">
        <f>IF(H$12=0,0,H81/H$12)</f>
        <v>0.11255996511120803</v>
      </c>
      <c r="K81" s="4"/>
      <c r="L81" s="4">
        <f>+D81-H81</f>
        <v>-2767.3100000000004</v>
      </c>
      <c r="M81" s="4"/>
      <c r="N81" s="12">
        <f>IF(H81=0,0,L81/H81)</f>
        <v>-0.35739506651168801</v>
      </c>
      <c r="O81" s="10"/>
      <c r="P81" s="4">
        <v>13074.41</v>
      </c>
      <c r="Q81" s="4"/>
      <c r="R81" s="12">
        <f>IF(P$12=0,0,P81/P$12)</f>
        <v>0.10066251628381105</v>
      </c>
      <c r="S81" s="4"/>
      <c r="T81" s="4">
        <v>19027</v>
      </c>
      <c r="U81" s="4"/>
      <c r="V81" s="12">
        <f>IF(T$12=0,0,T81/T$12)</f>
        <v>0.12042481281527098</v>
      </c>
      <c r="W81" s="4"/>
      <c r="X81" s="4">
        <f>+P81-T81</f>
        <v>-5952.59</v>
      </c>
      <c r="Y81" s="4"/>
      <c r="Z81" s="12">
        <f>IF(T81=0,0,X81/T81)</f>
        <v>-0.31284963472959482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1">
        <f>+D79-D81</f>
        <v>5855.6400000000021</v>
      </c>
      <c r="E83" s="14"/>
      <c r="F83" s="33">
        <f>IF(D$12=0,0,D83/D$12)</f>
        <v>0.10747089793270986</v>
      </c>
      <c r="G83" s="14"/>
      <c r="H83" s="31">
        <f>+H79-H81</f>
        <v>13916.190460375001</v>
      </c>
      <c r="I83" s="14"/>
      <c r="J83" s="33">
        <f>IF(H$12=0,0,H83/H$12)</f>
        <v>0.20229961419356013</v>
      </c>
      <c r="K83" s="16"/>
      <c r="L83" s="31">
        <f>D83-H83</f>
        <v>-8060.5504603749987</v>
      </c>
      <c r="M83" s="16"/>
      <c r="N83" s="33">
        <f>IF(H83=0,0,L83/H83)</f>
        <v>-0.579221050712595</v>
      </c>
      <c r="O83" s="29"/>
      <c r="P83" s="31">
        <f>+P79-P81</f>
        <v>-8568.41</v>
      </c>
      <c r="Q83" s="14"/>
      <c r="R83" s="33">
        <f>IF(P$12=0,0,P83/P$12)</f>
        <v>-6.5969914600457646E-2</v>
      </c>
      <c r="S83" s="14"/>
      <c r="T83" s="31">
        <f>+T79-T81</f>
        <v>15198.803162349999</v>
      </c>
      <c r="U83" s="14"/>
      <c r="V83" s="33">
        <f>IF(T$12=0,0,T83/T$12)</f>
        <v>9.6195565556427567E-2</v>
      </c>
      <c r="W83" s="16"/>
      <c r="X83" s="31">
        <f>P83-T83</f>
        <v>-23767.213162349999</v>
      </c>
      <c r="Y83" s="16"/>
      <c r="Z83" s="33">
        <f>IF(T83=0,0,X83/T83)</f>
        <v>-1.5637555739405453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2">
        <f>SUM(D83:D85)</f>
        <v>5855.6400000000021</v>
      </c>
      <c r="E86" s="14"/>
      <c r="F86" s="34">
        <f>IF(D$12=0,0,D86/D$12)</f>
        <v>0.10747089793270986</v>
      </c>
      <c r="G86" s="14"/>
      <c r="H86" s="32">
        <f>SUM(H83:H85)</f>
        <v>13916.190460375001</v>
      </c>
      <c r="I86" s="14"/>
      <c r="J86" s="34">
        <f>IF(H$12=0,0,H86/H$12)</f>
        <v>0.20229961419356013</v>
      </c>
      <c r="K86" s="16"/>
      <c r="L86" s="32">
        <f>+D86-H86</f>
        <v>-8060.5504603749987</v>
      </c>
      <c r="M86" s="16"/>
      <c r="N86" s="34">
        <f>IF(H86=0,0,L86/H86)</f>
        <v>-0.579221050712595</v>
      </c>
      <c r="O86" s="29"/>
      <c r="P86" s="32">
        <f>SUM(P83:P85)</f>
        <v>-8568.41</v>
      </c>
      <c r="Q86" s="14"/>
      <c r="R86" s="34">
        <f>IF(P$12=0,0,P86/P$12)</f>
        <v>-6.5969914600457646E-2</v>
      </c>
      <c r="S86" s="14"/>
      <c r="T86" s="32">
        <f>SUM(T83:T85)</f>
        <v>15198.803162349999</v>
      </c>
      <c r="U86" s="14"/>
      <c r="V86" s="34">
        <f>IF(T$12=0,0,T86/T$12)</f>
        <v>9.6195565556427567E-2</v>
      </c>
      <c r="W86" s="16"/>
      <c r="X86" s="32">
        <f>+P86-T86</f>
        <v>-23767.213162349999</v>
      </c>
      <c r="Y86" s="16"/>
      <c r="Z86" s="34">
        <f>IF(T86=0,0,X86/T86)</f>
        <v>-1.5637555739405453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0">
        <v>43791.348523113425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4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5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117328.67</v>
      </c>
      <c r="E12" s="4"/>
      <c r="F12" s="12"/>
      <c r="G12" s="4"/>
      <c r="H12" s="4">
        <f>SUM(OSRRefH13x_0)</f>
        <v>120000</v>
      </c>
      <c r="I12" s="4"/>
      <c r="J12" s="12"/>
      <c r="K12" s="4"/>
      <c r="L12" s="4">
        <f t="shared" ref="L12:L16" si="0">+D12-H12</f>
        <v>-2671.3300000000017</v>
      </c>
      <c r="M12" s="4"/>
      <c r="N12" s="12">
        <f t="shared" ref="N12:N16" si="1">IF(H12=0,0,L12/H12)</f>
        <v>-2.2261083333333348E-2</v>
      </c>
      <c r="O12" s="10"/>
      <c r="P12" s="4">
        <f>SUM(OSRRefP13x_0)</f>
        <v>271866.2</v>
      </c>
      <c r="Q12" s="4"/>
      <c r="R12" s="12"/>
      <c r="S12" s="4"/>
      <c r="T12" s="4">
        <f>SUM(OSRRefT13x_0)</f>
        <v>309800</v>
      </c>
      <c r="U12" s="4"/>
      <c r="V12" s="12"/>
      <c r="W12" s="4"/>
      <c r="X12" s="4">
        <f t="shared" ref="X12:X16" si="2">+P12-T12</f>
        <v>-37933.799999999988</v>
      </c>
      <c r="Y12" s="4"/>
      <c r="Z12" s="12">
        <f t="shared" ref="Z12:Z16" si="3">IF(T12=0,0,X12/T12)</f>
        <v>-0.12244609425435761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48000</v>
      </c>
      <c r="I13" s="2"/>
      <c r="J13" s="19"/>
      <c r="K13" s="2"/>
      <c r="L13" s="2">
        <f t="shared" si="0"/>
        <v>-48000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111200</v>
      </c>
      <c r="U13" s="2"/>
      <c r="V13" s="19"/>
      <c r="W13" s="2"/>
      <c r="X13" s="2">
        <f t="shared" si="2"/>
        <v>-111200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--21855.03</f>
        <v>21855.03</v>
      </c>
      <c r="E14" s="2"/>
      <c r="F14" s="19"/>
      <c r="G14" s="2"/>
      <c r="H14" s="2"/>
      <c r="I14" s="2"/>
      <c r="J14" s="19"/>
      <c r="K14" s="2"/>
      <c r="L14" s="2">
        <f t="shared" si="0"/>
        <v>21855.03</v>
      </c>
      <c r="M14" s="2"/>
      <c r="N14" s="19">
        <f t="shared" si="1"/>
        <v>0</v>
      </c>
      <c r="O14" s="11"/>
      <c r="P14" s="2">
        <f>--64145.93</f>
        <v>64145.93</v>
      </c>
      <c r="Q14" s="2"/>
      <c r="R14" s="19"/>
      <c r="S14" s="2"/>
      <c r="T14" s="2"/>
      <c r="U14" s="2"/>
      <c r="V14" s="19"/>
      <c r="W14" s="2"/>
      <c r="X14" s="2">
        <f t="shared" si="2"/>
        <v>64145.93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72000</v>
      </c>
      <c r="I15" s="2"/>
      <c r="J15" s="19"/>
      <c r="K15" s="2"/>
      <c r="L15" s="2">
        <f t="shared" si="0"/>
        <v>-72000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198600</v>
      </c>
      <c r="U15" s="2"/>
      <c r="V15" s="19"/>
      <c r="W15" s="2"/>
      <c r="X15" s="2">
        <f t="shared" si="2"/>
        <v>-198600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--95473.64</f>
        <v>95473.64</v>
      </c>
      <c r="E16" s="2"/>
      <c r="F16" s="19"/>
      <c r="G16" s="2"/>
      <c r="H16" s="2"/>
      <c r="I16" s="2"/>
      <c r="J16" s="19"/>
      <c r="K16" s="2"/>
      <c r="L16" s="2">
        <f t="shared" si="0"/>
        <v>95473.64</v>
      </c>
      <c r="M16" s="2"/>
      <c r="N16" s="19">
        <f t="shared" si="1"/>
        <v>0</v>
      </c>
      <c r="O16" s="11"/>
      <c r="P16" s="2">
        <f>--207720.27</f>
        <v>207720.27</v>
      </c>
      <c r="Q16" s="2"/>
      <c r="R16" s="19"/>
      <c r="S16" s="2"/>
      <c r="T16" s="2"/>
      <c r="U16" s="2"/>
      <c r="V16" s="19"/>
      <c r="W16" s="2"/>
      <c r="X16" s="2">
        <f t="shared" si="2"/>
        <v>207720.27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30425.61</v>
      </c>
      <c r="E18" s="4"/>
      <c r="F18" s="12">
        <f t="shared" ref="F18:F21" si="4">IF(D$12=0,0,D18/D$12)</f>
        <v>0.25931948261239135</v>
      </c>
      <c r="G18" s="4"/>
      <c r="H18" s="4">
        <f>SUM(OSRRefH16x_0)</f>
        <v>33300</v>
      </c>
      <c r="I18" s="4"/>
      <c r="J18" s="12">
        <f t="shared" ref="J18:J21" si="5">IF(H$12=0,0,H18/H$12)</f>
        <v>0.27750000000000002</v>
      </c>
      <c r="K18" s="4"/>
      <c r="L18" s="4">
        <f t="shared" ref="L18:L21" si="6">+D18-H18</f>
        <v>-2874.3899999999994</v>
      </c>
      <c r="M18" s="4"/>
      <c r="N18" s="12">
        <f t="shared" ref="N18:N21" si="7">IF(H18=0,0,L18/H18)</f>
        <v>-8.6318018018018E-2</v>
      </c>
      <c r="O18" s="10"/>
      <c r="P18" s="4">
        <f>SUM(OSRRefP16x_0)</f>
        <v>92355.51</v>
      </c>
      <c r="Q18" s="4"/>
      <c r="R18" s="12">
        <f t="shared" ref="R18:R21" si="8">IF(P$12=0,0,P18/P$12)</f>
        <v>0.33970942323834297</v>
      </c>
      <c r="S18" s="4"/>
      <c r="T18" s="4">
        <f>SUM(OSRRefT16x_0)</f>
        <v>97300</v>
      </c>
      <c r="U18" s="4"/>
      <c r="V18" s="12">
        <f t="shared" ref="V18:V21" si="9">IF(T$12=0,0,T18/T$12)</f>
        <v>0.31407359586830214</v>
      </c>
      <c r="W18" s="4"/>
      <c r="X18" s="4">
        <f t="shared" ref="X18:X21" si="10">+P18-T18</f>
        <v>-4944.4900000000052</v>
      </c>
      <c r="Y18" s="4"/>
      <c r="Z18" s="12">
        <f t="shared" ref="Z18:Z21" si="11">IF(T18=0,0,X18/T18)</f>
        <v>-5.0816957862281659E-2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33300</v>
      </c>
      <c r="I19" s="2"/>
      <c r="J19" s="19">
        <f t="shared" si="5"/>
        <v>0.27750000000000002</v>
      </c>
      <c r="K19" s="2"/>
      <c r="L19" s="2">
        <f t="shared" si="6"/>
        <v>-33300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97300</v>
      </c>
      <c r="U19" s="2"/>
      <c r="V19" s="19">
        <f t="shared" si="9"/>
        <v>0.31407359586830214</v>
      </c>
      <c r="W19" s="2"/>
      <c r="X19" s="2">
        <f t="shared" si="10"/>
        <v>-97300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37612.61</v>
      </c>
      <c r="E20" s="2"/>
      <c r="F20" s="19">
        <f t="shared" si="4"/>
        <v>0.3205747580706404</v>
      </c>
      <c r="G20" s="2"/>
      <c r="H20" s="2"/>
      <c r="I20" s="2"/>
      <c r="J20" s="19">
        <f t="shared" si="5"/>
        <v>0</v>
      </c>
      <c r="K20" s="2"/>
      <c r="L20" s="2">
        <f t="shared" si="6"/>
        <v>37612.61</v>
      </c>
      <c r="M20" s="2"/>
      <c r="N20" s="19">
        <f t="shared" si="7"/>
        <v>0</v>
      </c>
      <c r="O20" s="11"/>
      <c r="P20" s="2">
        <v>89048.51</v>
      </c>
      <c r="Q20" s="2"/>
      <c r="R20" s="19">
        <f t="shared" si="8"/>
        <v>0.32754535135298168</v>
      </c>
      <c r="S20" s="2"/>
      <c r="T20" s="2"/>
      <c r="U20" s="2"/>
      <c r="V20" s="19">
        <f t="shared" si="9"/>
        <v>0</v>
      </c>
      <c r="W20" s="2"/>
      <c r="X20" s="2">
        <f t="shared" si="10"/>
        <v>89048.51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-7187</v>
      </c>
      <c r="E21" s="2"/>
      <c r="F21" s="19">
        <f t="shared" si="4"/>
        <v>-6.1255275458249041E-2</v>
      </c>
      <c r="G21" s="2"/>
      <c r="H21" s="2"/>
      <c r="I21" s="2"/>
      <c r="J21" s="19">
        <f t="shared" si="5"/>
        <v>0</v>
      </c>
      <c r="K21" s="2"/>
      <c r="L21" s="2">
        <f t="shared" si="6"/>
        <v>-7187</v>
      </c>
      <c r="M21" s="2"/>
      <c r="N21" s="19">
        <f t="shared" si="7"/>
        <v>0</v>
      </c>
      <c r="O21" s="11"/>
      <c r="P21" s="2">
        <v>3307</v>
      </c>
      <c r="Q21" s="2"/>
      <c r="R21" s="19">
        <f t="shared" si="8"/>
        <v>1.2164071885361255E-2</v>
      </c>
      <c r="S21" s="2"/>
      <c r="T21" s="2"/>
      <c r="U21" s="2"/>
      <c r="V21" s="19">
        <f t="shared" si="9"/>
        <v>0</v>
      </c>
      <c r="W21" s="2"/>
      <c r="X21" s="2">
        <f t="shared" si="10"/>
        <v>3307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86903.06</v>
      </c>
      <c r="E23" s="14"/>
      <c r="F23" s="20">
        <f>IF(D$12=0,0,D23/D$12)</f>
        <v>0.74068051738760865</v>
      </c>
      <c r="G23" s="14"/>
      <c r="H23" s="22">
        <f>H12-H18</f>
        <v>86700</v>
      </c>
      <c r="I23" s="14"/>
      <c r="J23" s="20">
        <f>IF(H$12=0,0,H23/H$12)</f>
        <v>0.72250000000000003</v>
      </c>
      <c r="K23" s="16"/>
      <c r="L23" s="22">
        <f>+D23-H23</f>
        <v>203.05999999999767</v>
      </c>
      <c r="M23" s="16"/>
      <c r="N23" s="20">
        <f>IF(H23=0,0,L23/H23)</f>
        <v>2.3420991926181968E-3</v>
      </c>
      <c r="O23" s="29"/>
      <c r="P23" s="22">
        <f>P12-P18</f>
        <v>179510.69</v>
      </c>
      <c r="Q23" s="14"/>
      <c r="R23" s="20">
        <f>IF(P$12=0,0,P23/P$12)</f>
        <v>0.66029057676165703</v>
      </c>
      <c r="S23" s="14"/>
      <c r="T23" s="22">
        <f>T12-T18</f>
        <v>212500</v>
      </c>
      <c r="U23" s="14"/>
      <c r="V23" s="20">
        <f>IF(T$12=0,0,T23/T$12)</f>
        <v>0.68592640413169792</v>
      </c>
      <c r="W23" s="16"/>
      <c r="X23" s="22">
        <f>+P23-T23</f>
        <v>-32989.31</v>
      </c>
      <c r="Y23" s="16"/>
      <c r="Z23" s="20">
        <f>IF(T23=0,0,X23/T23)</f>
        <v>-0.15524381176470586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47383.26</v>
      </c>
      <c r="E25" s="21"/>
      <c r="F25" s="35">
        <f t="shared" ref="F25:F35" si="12">IF(D$12=0,0,D25/D$12)</f>
        <v>0.40385065304157969</v>
      </c>
      <c r="G25" s="21"/>
      <c r="H25" s="21">
        <f>SUM(OSRRefH22x_0)</f>
        <v>44431.801533999998</v>
      </c>
      <c r="I25" s="21"/>
      <c r="J25" s="35">
        <f t="shared" ref="J25:J35" si="13">IF(H$12=0,0,H25/H$12)</f>
        <v>0.37026501278333335</v>
      </c>
      <c r="K25" s="4"/>
      <c r="L25" s="21">
        <f t="shared" ref="L25:L35" si="14">+D25-H25</f>
        <v>2951.4584660000037</v>
      </c>
      <c r="M25" s="4"/>
      <c r="N25" s="35">
        <f t="shared" ref="N25:N35" si="15">IF(H25=0,0,L25/H25)</f>
        <v>6.6426711591729984E-2</v>
      </c>
      <c r="O25" s="10"/>
      <c r="P25" s="21">
        <f>SUM(OSRRefP22x_0)</f>
        <v>139054.48000000001</v>
      </c>
      <c r="Q25" s="21"/>
      <c r="R25" s="35">
        <f t="shared" ref="R25:R35" si="16">IF(P$12=0,0,P25/P$12)</f>
        <v>0.51148130955595072</v>
      </c>
      <c r="S25" s="21"/>
      <c r="T25" s="21">
        <f>SUM(OSRRefT22x_0)</f>
        <v>146609.67752239999</v>
      </c>
      <c r="U25" s="21"/>
      <c r="V25" s="35">
        <f t="shared" ref="V25:V35" si="17">IF(T$12=0,0,T25/T$12)</f>
        <v>0.47323975959457709</v>
      </c>
      <c r="W25" s="4"/>
      <c r="X25" s="21">
        <f t="shared" ref="X25:X35" si="18">+P25-T25</f>
        <v>-7555.1975223999762</v>
      </c>
      <c r="Y25" s="4"/>
      <c r="Z25" s="35">
        <f t="shared" ref="Z25:Z35" si="19">IF(T25=0,0,X25/T25)</f>
        <v>-5.1532734060107617E-2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1737.2800000000002</v>
      </c>
      <c r="E26" s="1"/>
      <c r="F26" s="5">
        <f t="shared" si="12"/>
        <v>1.4806952128580339E-2</v>
      </c>
      <c r="G26" s="1"/>
      <c r="H26" s="1">
        <f>SUM(OSRRefH22_0x_0)</f>
        <v>4960.8815340000001</v>
      </c>
      <c r="I26" s="1"/>
      <c r="J26" s="5">
        <f t="shared" si="13"/>
        <v>4.1340679450000001E-2</v>
      </c>
      <c r="K26" s="1"/>
      <c r="L26" s="1">
        <f t="shared" si="14"/>
        <v>-3223.6015339999999</v>
      </c>
      <c r="M26" s="1"/>
      <c r="N26" s="5">
        <f t="shared" si="15"/>
        <v>-0.6498041753076863</v>
      </c>
      <c r="O26" s="13"/>
      <c r="P26" s="1">
        <f>SUM(OSRRefP22_0x_0)</f>
        <v>9681.65</v>
      </c>
      <c r="Q26" s="1"/>
      <c r="R26" s="5">
        <f t="shared" si="16"/>
        <v>3.5611819343485875E-2</v>
      </c>
      <c r="S26" s="1"/>
      <c r="T26" s="1">
        <f>SUM(OSRRefT22_0x_0)</f>
        <v>18371.965522400002</v>
      </c>
      <c r="U26" s="1"/>
      <c r="V26" s="5">
        <f t="shared" si="17"/>
        <v>5.930266469464171E-2</v>
      </c>
      <c r="W26" s="1"/>
      <c r="X26" s="1">
        <f t="shared" si="18"/>
        <v>-8690.315522400002</v>
      </c>
      <c r="Y26" s="1"/>
      <c r="Z26" s="5">
        <f t="shared" si="19"/>
        <v>-0.47302045672817877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652.94000000000005</v>
      </c>
      <c r="E27" s="2"/>
      <c r="F27" s="7">
        <f t="shared" si="12"/>
        <v>5.5650507246012429E-3</v>
      </c>
      <c r="G27" s="2"/>
      <c r="H27" s="6">
        <v>835.99841400000003</v>
      </c>
      <c r="I27" s="2"/>
      <c r="J27" s="7">
        <f t="shared" si="13"/>
        <v>6.9666534500000005E-3</v>
      </c>
      <c r="K27" s="2"/>
      <c r="L27" s="6">
        <f t="shared" si="14"/>
        <v>-183.05841399999997</v>
      </c>
      <c r="M27" s="2"/>
      <c r="N27" s="7">
        <f t="shared" si="15"/>
        <v>-0.21896981015085989</v>
      </c>
      <c r="O27" s="11"/>
      <c r="P27" s="6">
        <v>2898.63</v>
      </c>
      <c r="Q27" s="2"/>
      <c r="R27" s="7">
        <f t="shared" si="16"/>
        <v>1.0661972690978136E-2</v>
      </c>
      <c r="S27" s="2"/>
      <c r="T27" s="6">
        <v>3615.7118903999999</v>
      </c>
      <c r="U27" s="2"/>
      <c r="V27" s="7">
        <f t="shared" si="17"/>
        <v>1.1671116495803744E-2</v>
      </c>
      <c r="W27" s="2"/>
      <c r="X27" s="6">
        <f t="shared" si="18"/>
        <v>-717.08189039999979</v>
      </c>
      <c r="Y27" s="2"/>
      <c r="Z27" s="7">
        <f t="shared" si="19"/>
        <v>-0.19832384662724614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-427.93</v>
      </c>
      <c r="E28" s="2"/>
      <c r="F28" s="7">
        <f t="shared" si="12"/>
        <v>-3.6472756403017267E-3</v>
      </c>
      <c r="G28" s="2"/>
      <c r="H28" s="6">
        <v>889.44344000000001</v>
      </c>
      <c r="I28" s="2"/>
      <c r="J28" s="7">
        <f t="shared" si="13"/>
        <v>7.4120286666666665E-3</v>
      </c>
      <c r="K28" s="2"/>
      <c r="L28" s="6">
        <f t="shared" si="14"/>
        <v>-1317.3734400000001</v>
      </c>
      <c r="M28" s="2"/>
      <c r="N28" s="7">
        <f t="shared" si="15"/>
        <v>-1.4811210929837204</v>
      </c>
      <c r="O28" s="11"/>
      <c r="P28" s="6">
        <v>1457.73</v>
      </c>
      <c r="Q28" s="2"/>
      <c r="R28" s="7">
        <f t="shared" si="16"/>
        <v>5.3619390714991413E-3</v>
      </c>
      <c r="S28" s="2"/>
      <c r="T28" s="6">
        <v>2927.2923839999999</v>
      </c>
      <c r="U28" s="2"/>
      <c r="V28" s="7">
        <f t="shared" si="17"/>
        <v>9.4489747708198825E-3</v>
      </c>
      <c r="W28" s="2"/>
      <c r="X28" s="6">
        <f t="shared" si="18"/>
        <v>-1469.5623839999998</v>
      </c>
      <c r="Y28" s="2"/>
      <c r="Z28" s="7">
        <f t="shared" si="19"/>
        <v>-0.50202104580749662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650.39</v>
      </c>
      <c r="E29" s="2"/>
      <c r="F29" s="7">
        <f t="shared" si="12"/>
        <v>5.5433169062599963E-3</v>
      </c>
      <c r="G29" s="2"/>
      <c r="H29" s="6">
        <v>1381</v>
      </c>
      <c r="I29" s="2"/>
      <c r="J29" s="7">
        <f t="shared" si="13"/>
        <v>1.1508333333333334E-2</v>
      </c>
      <c r="K29" s="2"/>
      <c r="L29" s="6">
        <f t="shared" si="14"/>
        <v>-730.61</v>
      </c>
      <c r="M29" s="2"/>
      <c r="N29" s="7">
        <f t="shared" si="15"/>
        <v>-0.52904417089065892</v>
      </c>
      <c r="O29" s="11"/>
      <c r="P29" s="6">
        <v>2601.56</v>
      </c>
      <c r="Q29" s="2"/>
      <c r="R29" s="7">
        <f t="shared" si="16"/>
        <v>9.5692660580829828E-3</v>
      </c>
      <c r="S29" s="2"/>
      <c r="T29" s="6">
        <v>5524</v>
      </c>
      <c r="U29" s="2"/>
      <c r="V29" s="7">
        <f t="shared" si="17"/>
        <v>1.7830858618463525E-2</v>
      </c>
      <c r="W29" s="2"/>
      <c r="X29" s="6">
        <f t="shared" si="18"/>
        <v>-2922.44</v>
      </c>
      <c r="Y29" s="2"/>
      <c r="Z29" s="7">
        <f t="shared" si="19"/>
        <v>-0.52904417089065892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55.46</v>
      </c>
      <c r="E30" s="2"/>
      <c r="F30" s="7">
        <f t="shared" si="12"/>
        <v>4.7268924125706021E-4</v>
      </c>
      <c r="G30" s="2"/>
      <c r="H30" s="6">
        <v>71.522880000000001</v>
      </c>
      <c r="I30" s="2"/>
      <c r="J30" s="7">
        <f t="shared" si="13"/>
        <v>5.9602400000000001E-4</v>
      </c>
      <c r="K30" s="2"/>
      <c r="L30" s="6">
        <f t="shared" si="14"/>
        <v>-16.06288</v>
      </c>
      <c r="M30" s="2"/>
      <c r="N30" s="7">
        <f t="shared" si="15"/>
        <v>-0.22458379752045779</v>
      </c>
      <c r="O30" s="11"/>
      <c r="P30" s="6">
        <v>181.82</v>
      </c>
      <c r="Q30" s="2"/>
      <c r="R30" s="7">
        <f t="shared" si="16"/>
        <v>6.6878486549633602E-4</v>
      </c>
      <c r="S30" s="2"/>
      <c r="T30" s="6">
        <v>237.94076799999999</v>
      </c>
      <c r="U30" s="2"/>
      <c r="V30" s="7">
        <f t="shared" si="17"/>
        <v>7.6804637830858616E-4</v>
      </c>
      <c r="W30" s="2"/>
      <c r="X30" s="6">
        <f t="shared" si="18"/>
        <v>-56.120767999999998</v>
      </c>
      <c r="Y30" s="2"/>
      <c r="Z30" s="7">
        <f t="shared" si="19"/>
        <v>-0.23586024568938099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527.93679999999995</v>
      </c>
      <c r="I31" s="2"/>
      <c r="J31" s="7">
        <f t="shared" si="13"/>
        <v>4.3994733333333333E-3</v>
      </c>
      <c r="K31" s="2"/>
      <c r="L31" s="6">
        <f t="shared" si="14"/>
        <v>-527.93679999999995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1900.57248</v>
      </c>
      <c r="U31" s="2"/>
      <c r="V31" s="7">
        <f t="shared" si="17"/>
        <v>6.1348369270497098E-3</v>
      </c>
      <c r="W31" s="2"/>
      <c r="X31" s="6">
        <f t="shared" si="18"/>
        <v>-1900.57248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288.75</v>
      </c>
      <c r="E33" s="2"/>
      <c r="F33" s="7">
        <f t="shared" si="12"/>
        <v>2.4610353121705037E-3</v>
      </c>
      <c r="G33" s="2"/>
      <c r="H33" s="6">
        <v>306.94</v>
      </c>
      <c r="I33" s="2"/>
      <c r="J33" s="7">
        <f t="shared" si="13"/>
        <v>2.5578333333333334E-3</v>
      </c>
      <c r="K33" s="2"/>
      <c r="L33" s="6">
        <f t="shared" si="14"/>
        <v>-18.189999999999998</v>
      </c>
      <c r="M33" s="2"/>
      <c r="N33" s="7">
        <f t="shared" si="15"/>
        <v>-5.9262396559588183E-2</v>
      </c>
      <c r="O33" s="11"/>
      <c r="P33" s="6">
        <v>866.25</v>
      </c>
      <c r="Q33" s="2"/>
      <c r="R33" s="7">
        <f t="shared" si="16"/>
        <v>3.1863100304488014E-3</v>
      </c>
      <c r="S33" s="2"/>
      <c r="T33" s="6">
        <v>1104.9839999999999</v>
      </c>
      <c r="U33" s="2"/>
      <c r="V33" s="7">
        <f t="shared" si="17"/>
        <v>3.5667656552614588E-3</v>
      </c>
      <c r="W33" s="2"/>
      <c r="X33" s="6">
        <f t="shared" si="18"/>
        <v>-238.73399999999992</v>
      </c>
      <c r="Y33" s="2"/>
      <c r="Z33" s="7">
        <f t="shared" si="19"/>
        <v>-0.21605199713299011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345.93</v>
      </c>
      <c r="E34" s="2"/>
      <c r="F34" s="7">
        <f t="shared" si="12"/>
        <v>2.9483842269753847E-3</v>
      </c>
      <c r="G34" s="2"/>
      <c r="H34" s="6">
        <v>948.04</v>
      </c>
      <c r="I34" s="2"/>
      <c r="J34" s="7">
        <f t="shared" si="13"/>
        <v>7.9003333333333339E-3</v>
      </c>
      <c r="K34" s="2"/>
      <c r="L34" s="6">
        <f t="shared" si="14"/>
        <v>-602.1099999999999</v>
      </c>
      <c r="M34" s="2"/>
      <c r="N34" s="7">
        <f t="shared" si="15"/>
        <v>-0.63511033289734597</v>
      </c>
      <c r="O34" s="11"/>
      <c r="P34" s="6">
        <v>1037.79</v>
      </c>
      <c r="Q34" s="2"/>
      <c r="R34" s="7">
        <f t="shared" si="16"/>
        <v>3.8172821777771562E-3</v>
      </c>
      <c r="S34" s="2"/>
      <c r="T34" s="6">
        <v>3061.4639999999999</v>
      </c>
      <c r="U34" s="2"/>
      <c r="V34" s="7">
        <f t="shared" si="17"/>
        <v>9.8820658489347964E-3</v>
      </c>
      <c r="W34" s="2"/>
      <c r="X34" s="6">
        <f t="shared" si="18"/>
        <v>-2023.674</v>
      </c>
      <c r="Y34" s="2"/>
      <c r="Z34" s="7">
        <f t="shared" si="19"/>
        <v>-0.66101512217684089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171.74</v>
      </c>
      <c r="E35" s="2"/>
      <c r="F35" s="7">
        <f t="shared" si="12"/>
        <v>1.4637513576178781E-3</v>
      </c>
      <c r="G35" s="2"/>
      <c r="H35" s="6"/>
      <c r="I35" s="2"/>
      <c r="J35" s="7">
        <f t="shared" si="13"/>
        <v>0</v>
      </c>
      <c r="K35" s="2"/>
      <c r="L35" s="6">
        <f t="shared" si="14"/>
        <v>171.74</v>
      </c>
      <c r="M35" s="2"/>
      <c r="N35" s="7">
        <f t="shared" si="15"/>
        <v>0</v>
      </c>
      <c r="O35" s="11"/>
      <c r="P35" s="6">
        <v>637.87</v>
      </c>
      <c r="Q35" s="2"/>
      <c r="R35" s="7">
        <f t="shared" si="16"/>
        <v>2.3462644492033211E-3</v>
      </c>
      <c r="S35" s="2"/>
      <c r="T35" s="6"/>
      <c r="U35" s="2"/>
      <c r="V35" s="7">
        <f t="shared" si="17"/>
        <v>0</v>
      </c>
      <c r="W35" s="2"/>
      <c r="X35" s="6">
        <f t="shared" si="18"/>
        <v>637.87</v>
      </c>
      <c r="Y35" s="2"/>
      <c r="Z35" s="7">
        <f t="shared" si="19"/>
        <v>0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28225.86</v>
      </c>
      <c r="E36" s="1"/>
      <c r="F36" s="5">
        <f t="shared" ref="F36:F46" si="20">IF(D$12=0,0,D36/D$12)</f>
        <v>0.24057086814331058</v>
      </c>
      <c r="G36" s="1"/>
      <c r="H36" s="1">
        <f>SUM(OSRRefH22_1x_0)</f>
        <v>22309.919999999998</v>
      </c>
      <c r="I36" s="1"/>
      <c r="J36" s="5">
        <f t="shared" ref="J36:J46" si="21">IF(H$12=0,0,H36/H$12)</f>
        <v>0.185916</v>
      </c>
      <c r="K36" s="1"/>
      <c r="L36" s="1">
        <f t="shared" ref="L36:L46" si="22">+D36-H36</f>
        <v>5915.9400000000023</v>
      </c>
      <c r="M36" s="1"/>
      <c r="N36" s="5">
        <f t="shared" ref="N36:N46" si="23">IF(H36=0,0,L36/H36)</f>
        <v>0.26517082983713086</v>
      </c>
      <c r="O36" s="13"/>
      <c r="P36" s="1">
        <f>SUM(OSRRefP22_1x_0)</f>
        <v>81303.100000000006</v>
      </c>
      <c r="Q36" s="1"/>
      <c r="R36" s="5">
        <f t="shared" ref="R36:R46" si="24">IF(P$12=0,0,P36/P$12)</f>
        <v>0.29905556483299506</v>
      </c>
      <c r="S36" s="1"/>
      <c r="T36" s="1">
        <f>SUM(OSRRefT22_1x_0)</f>
        <v>73235.712</v>
      </c>
      <c r="U36" s="1"/>
      <c r="V36" s="5">
        <f t="shared" ref="V36:V46" si="25">IF(T$12=0,0,T36/T$12)</f>
        <v>0.2363967462879277</v>
      </c>
      <c r="W36" s="1"/>
      <c r="X36" s="1">
        <f t="shared" ref="X36:X46" si="26">+P36-T36</f>
        <v>8067.3880000000063</v>
      </c>
      <c r="Y36" s="1"/>
      <c r="Z36" s="5">
        <f t="shared" ref="Z36:Z46" si="27">IF(T36=0,0,X36/T36)</f>
        <v>0.1101564766653734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5524.92</v>
      </c>
      <c r="I38" s="2"/>
      <c r="J38" s="7">
        <f t="shared" si="21"/>
        <v>4.6040999999999999E-2</v>
      </c>
      <c r="K38" s="2"/>
      <c r="L38" s="6">
        <f t="shared" si="22"/>
        <v>-5524.92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19889.712</v>
      </c>
      <c r="U38" s="2"/>
      <c r="V38" s="7">
        <f t="shared" si="25"/>
        <v>6.4201781794706259E-2</v>
      </c>
      <c r="W38" s="2"/>
      <c r="X38" s="6">
        <f t="shared" si="26"/>
        <v>-19889.712</v>
      </c>
      <c r="Y38" s="2"/>
      <c r="Z38" s="7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8535.16</v>
      </c>
      <c r="E40" s="2"/>
      <c r="F40" s="7">
        <f t="shared" si="20"/>
        <v>7.274573213861539E-2</v>
      </c>
      <c r="G40" s="2"/>
      <c r="H40" s="6">
        <v>4785</v>
      </c>
      <c r="I40" s="2"/>
      <c r="J40" s="7">
        <f t="shared" si="21"/>
        <v>3.9875000000000001E-2</v>
      </c>
      <c r="K40" s="2"/>
      <c r="L40" s="6">
        <f t="shared" si="22"/>
        <v>3750.16</v>
      </c>
      <c r="M40" s="2"/>
      <c r="N40" s="7">
        <f t="shared" si="23"/>
        <v>0.78373249738766981</v>
      </c>
      <c r="O40" s="11"/>
      <c r="P40" s="6">
        <v>25070.31</v>
      </c>
      <c r="Q40" s="2"/>
      <c r="R40" s="7">
        <f t="shared" si="24"/>
        <v>9.221561930096496E-2</v>
      </c>
      <c r="S40" s="2"/>
      <c r="T40" s="6">
        <v>17226</v>
      </c>
      <c r="U40" s="2"/>
      <c r="V40" s="7">
        <f t="shared" si="25"/>
        <v>5.5603615235635895E-2</v>
      </c>
      <c r="W40" s="2"/>
      <c r="X40" s="6">
        <f t="shared" si="26"/>
        <v>7844.3100000000013</v>
      </c>
      <c r="Y40" s="2"/>
      <c r="Z40" s="7">
        <f t="shared" si="27"/>
        <v>0.45537617554858939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1997.5</v>
      </c>
      <c r="Q41" s="2"/>
      <c r="R41" s="7">
        <f t="shared" si="24"/>
        <v>7.3473642549165726E-3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1997.5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1.0758968933982966E-4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19690.7</v>
      </c>
      <c r="E43" s="2"/>
      <c r="F43" s="7">
        <f t="shared" si="20"/>
        <v>0.1678251360046952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19690.7</v>
      </c>
      <c r="M43" s="2"/>
      <c r="N43" s="7">
        <f t="shared" si="23"/>
        <v>0</v>
      </c>
      <c r="O43" s="11"/>
      <c r="P43" s="6">
        <v>54206.04</v>
      </c>
      <c r="Q43" s="2"/>
      <c r="R43" s="7">
        <f t="shared" si="24"/>
        <v>0.19938499158777367</v>
      </c>
      <c r="S43" s="2"/>
      <c r="T43" s="6">
        <v>3720</v>
      </c>
      <c r="U43" s="2"/>
      <c r="V43" s="7">
        <f t="shared" si="25"/>
        <v>1.2007746933505488E-2</v>
      </c>
      <c r="W43" s="2"/>
      <c r="X43" s="6">
        <f t="shared" si="26"/>
        <v>50486.04</v>
      </c>
      <c r="Y43" s="2"/>
      <c r="Z43" s="7">
        <f t="shared" si="27"/>
        <v>13.571516129032258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12000</v>
      </c>
      <c r="I44" s="2"/>
      <c r="J44" s="7">
        <f t="shared" si="21"/>
        <v>0.1</v>
      </c>
      <c r="K44" s="2"/>
      <c r="L44" s="6">
        <f t="shared" si="22"/>
        <v>-12000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32400</v>
      </c>
      <c r="U44" s="2"/>
      <c r="V44" s="7">
        <f t="shared" si="25"/>
        <v>0.10458360232408005</v>
      </c>
      <c r="W44" s="2"/>
      <c r="X44" s="6">
        <f t="shared" si="26"/>
        <v>-32400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48.68</v>
      </c>
      <c r="E47" s="1"/>
      <c r="F47" s="5">
        <f t="shared" ref="F47:F55" si="28">IF(D$12=0,0,D47/D$12)</f>
        <v>4.1490285366739435E-4</v>
      </c>
      <c r="G47" s="1"/>
      <c r="H47" s="1">
        <f>SUM(OSRRefH22_2x_0)</f>
        <v>450</v>
      </c>
      <c r="I47" s="1"/>
      <c r="J47" s="5">
        <f t="shared" ref="J47:J55" si="29">IF(H$12=0,0,H47/H$12)</f>
        <v>3.7499999999999999E-3</v>
      </c>
      <c r="K47" s="1"/>
      <c r="L47" s="1">
        <f t="shared" ref="L47:L55" si="30">+D47-H47</f>
        <v>-401.32</v>
      </c>
      <c r="M47" s="1"/>
      <c r="N47" s="5">
        <f t="shared" ref="N47:N55" si="31">IF(H47=0,0,L47/H47)</f>
        <v>-0.89182222222222218</v>
      </c>
      <c r="O47" s="13"/>
      <c r="P47" s="1">
        <f>SUM(OSRRefP22_2x_0)</f>
        <v>579.89</v>
      </c>
      <c r="Q47" s="1"/>
      <c r="R47" s="5">
        <f t="shared" ref="R47:R55" si="32">IF(P$12=0,0,P47/P$12)</f>
        <v>2.1329977761119254E-3</v>
      </c>
      <c r="S47" s="1"/>
      <c r="T47" s="1">
        <f>SUM(OSRRefT22_2x_0)</f>
        <v>550</v>
      </c>
      <c r="U47" s="1"/>
      <c r="V47" s="5">
        <f t="shared" ref="V47:V55" si="33">IF(T$12=0,0,T47/T$12)</f>
        <v>1.7753389283408651E-3</v>
      </c>
      <c r="W47" s="1"/>
      <c r="X47" s="1">
        <f t="shared" ref="X47:X55" si="34">+P47-T47</f>
        <v>29.889999999999986</v>
      </c>
      <c r="Y47" s="1"/>
      <c r="Z47" s="5">
        <f t="shared" ref="Z47:Z55" si="35">IF(T47=0,0,X47/T47)</f>
        <v>5.4345454545454523E-2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48.68</v>
      </c>
      <c r="E48" s="2"/>
      <c r="F48" s="7">
        <f t="shared" si="28"/>
        <v>4.1490285366739435E-4</v>
      </c>
      <c r="G48" s="2"/>
      <c r="H48" s="6">
        <v>450</v>
      </c>
      <c r="I48" s="2"/>
      <c r="J48" s="7">
        <f t="shared" si="29"/>
        <v>3.7499999999999999E-3</v>
      </c>
      <c r="K48" s="2"/>
      <c r="L48" s="6">
        <f t="shared" si="30"/>
        <v>-401.32</v>
      </c>
      <c r="M48" s="2"/>
      <c r="N48" s="7">
        <f t="shared" si="31"/>
        <v>-0.89182222222222218</v>
      </c>
      <c r="O48" s="11"/>
      <c r="P48" s="6">
        <v>579.89</v>
      </c>
      <c r="Q48" s="2"/>
      <c r="R48" s="7">
        <f t="shared" si="32"/>
        <v>2.1329977761119254E-3</v>
      </c>
      <c r="S48" s="2"/>
      <c r="T48" s="6">
        <v>550</v>
      </c>
      <c r="U48" s="2"/>
      <c r="V48" s="7">
        <f t="shared" si="33"/>
        <v>1.7753389283408651E-3</v>
      </c>
      <c r="W48" s="2"/>
      <c r="X48" s="6">
        <f t="shared" si="34"/>
        <v>29.889999999999986</v>
      </c>
      <c r="Y48" s="2"/>
      <c r="Z48" s="7">
        <f t="shared" si="35"/>
        <v>5.4345454545454523E-2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1.68</v>
      </c>
      <c r="E49" s="1"/>
      <c r="F49" s="5">
        <f t="shared" si="28"/>
        <v>1.4318750907173839E-5</v>
      </c>
      <c r="G49" s="1"/>
      <c r="H49" s="1">
        <f>SUM(OSRRefH22_3x_0)</f>
        <v>10</v>
      </c>
      <c r="I49" s="1"/>
      <c r="J49" s="5">
        <f t="shared" si="29"/>
        <v>8.3333333333333331E-5</v>
      </c>
      <c r="K49" s="1"/>
      <c r="L49" s="1">
        <f t="shared" si="30"/>
        <v>-8.32</v>
      </c>
      <c r="M49" s="1"/>
      <c r="N49" s="5">
        <f t="shared" si="31"/>
        <v>-0.83200000000000007</v>
      </c>
      <c r="O49" s="13"/>
      <c r="P49" s="1">
        <f>SUM(OSRRefP22_3x_0)</f>
        <v>1.88</v>
      </c>
      <c r="Q49" s="1"/>
      <c r="R49" s="5">
        <f t="shared" si="32"/>
        <v>6.9151663575685388E-6</v>
      </c>
      <c r="S49" s="1"/>
      <c r="T49" s="1">
        <f>SUM(OSRRefT22_3x_0)</f>
        <v>20</v>
      </c>
      <c r="U49" s="1"/>
      <c r="V49" s="5">
        <f t="shared" si="33"/>
        <v>6.45577792123951E-5</v>
      </c>
      <c r="W49" s="1"/>
      <c r="X49" s="1">
        <f t="shared" si="34"/>
        <v>-18.12</v>
      </c>
      <c r="Y49" s="1"/>
      <c r="Z49" s="5">
        <f t="shared" si="35"/>
        <v>-0.90600000000000003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1.68</v>
      </c>
      <c r="E50" s="2"/>
      <c r="F50" s="7">
        <f t="shared" si="28"/>
        <v>1.4318750907173839E-5</v>
      </c>
      <c r="G50" s="2"/>
      <c r="H50" s="6">
        <v>10</v>
      </c>
      <c r="I50" s="2"/>
      <c r="J50" s="7">
        <f t="shared" si="29"/>
        <v>8.3333333333333331E-5</v>
      </c>
      <c r="K50" s="2"/>
      <c r="L50" s="6">
        <f t="shared" si="30"/>
        <v>-8.32</v>
      </c>
      <c r="M50" s="2"/>
      <c r="N50" s="7">
        <f t="shared" si="31"/>
        <v>-0.83200000000000007</v>
      </c>
      <c r="O50" s="11"/>
      <c r="P50" s="6">
        <v>1.88</v>
      </c>
      <c r="Q50" s="2"/>
      <c r="R50" s="7">
        <f t="shared" si="32"/>
        <v>6.9151663575685388E-6</v>
      </c>
      <c r="S50" s="2"/>
      <c r="T50" s="6">
        <v>20</v>
      </c>
      <c r="U50" s="2"/>
      <c r="V50" s="7">
        <f t="shared" si="33"/>
        <v>6.45577792123951E-5</v>
      </c>
      <c r="W50" s="2"/>
      <c r="X50" s="6">
        <f t="shared" si="34"/>
        <v>-18.12</v>
      </c>
      <c r="Y50" s="2"/>
      <c r="Z50" s="7">
        <f t="shared" si="35"/>
        <v>-0.90600000000000003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3652.09</v>
      </c>
      <c r="E51" s="1"/>
      <c r="F51" s="5">
        <f t="shared" si="28"/>
        <v>3.1127004167012209E-2</v>
      </c>
      <c r="G51" s="1"/>
      <c r="H51" s="1">
        <f>SUM(OSRRefH22_4x_0)</f>
        <v>2400</v>
      </c>
      <c r="I51" s="1"/>
      <c r="J51" s="5">
        <f t="shared" si="29"/>
        <v>0.02</v>
      </c>
      <c r="K51" s="1"/>
      <c r="L51" s="1">
        <f t="shared" si="30"/>
        <v>1252.0900000000001</v>
      </c>
      <c r="M51" s="1"/>
      <c r="N51" s="5">
        <f t="shared" si="31"/>
        <v>0.52170416666666675</v>
      </c>
      <c r="O51" s="13"/>
      <c r="P51" s="1">
        <f>SUM(OSRRefP22_4x_0)</f>
        <v>7431.61</v>
      </c>
      <c r="Q51" s="1"/>
      <c r="R51" s="5">
        <f t="shared" si="32"/>
        <v>2.7335542263069109E-2</v>
      </c>
      <c r="S51" s="1"/>
      <c r="T51" s="1">
        <f>SUM(OSRRefT22_4x_0)</f>
        <v>7766</v>
      </c>
      <c r="U51" s="1"/>
      <c r="V51" s="5">
        <f t="shared" si="33"/>
        <v>2.5067785668173016E-2</v>
      </c>
      <c r="W51" s="1"/>
      <c r="X51" s="1">
        <f t="shared" si="34"/>
        <v>-334.39000000000033</v>
      </c>
      <c r="Y51" s="1"/>
      <c r="Z51" s="5">
        <f t="shared" si="35"/>
        <v>-4.3058202420808697E-2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3652.09</v>
      </c>
      <c r="E52" s="2"/>
      <c r="F52" s="7">
        <f t="shared" si="28"/>
        <v>3.1127004167012209E-2</v>
      </c>
      <c r="G52" s="2"/>
      <c r="H52" s="6">
        <v>2400</v>
      </c>
      <c r="I52" s="2"/>
      <c r="J52" s="7">
        <f t="shared" si="29"/>
        <v>0.02</v>
      </c>
      <c r="K52" s="2"/>
      <c r="L52" s="6">
        <f t="shared" si="30"/>
        <v>1252.0900000000001</v>
      </c>
      <c r="M52" s="2"/>
      <c r="N52" s="7">
        <f t="shared" si="31"/>
        <v>0.52170416666666675</v>
      </c>
      <c r="O52" s="11"/>
      <c r="P52" s="6">
        <v>7431.61</v>
      </c>
      <c r="Q52" s="2"/>
      <c r="R52" s="7">
        <f t="shared" si="32"/>
        <v>2.7335542263069109E-2</v>
      </c>
      <c r="S52" s="2"/>
      <c r="T52" s="6">
        <v>7766</v>
      </c>
      <c r="U52" s="2"/>
      <c r="V52" s="7">
        <f t="shared" si="33"/>
        <v>2.5067785668173016E-2</v>
      </c>
      <c r="W52" s="2"/>
      <c r="X52" s="6">
        <f t="shared" si="34"/>
        <v>-334.39000000000033</v>
      </c>
      <c r="Y52" s="2"/>
      <c r="Z52" s="7">
        <f t="shared" si="35"/>
        <v>-4.3058202420808697E-2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1647.59</v>
      </c>
      <c r="E53" s="1"/>
      <c r="F53" s="5">
        <f t="shared" si="28"/>
        <v>1.4042518337589609E-2</v>
      </c>
      <c r="G53" s="1"/>
      <c r="H53" s="1">
        <f>SUM(OSRRefH22_5x_0)</f>
        <v>2401</v>
      </c>
      <c r="I53" s="1"/>
      <c r="J53" s="5">
        <f t="shared" si="29"/>
        <v>2.0008333333333333E-2</v>
      </c>
      <c r="K53" s="1"/>
      <c r="L53" s="1">
        <f t="shared" si="30"/>
        <v>-753.41000000000008</v>
      </c>
      <c r="M53" s="1"/>
      <c r="N53" s="5">
        <f t="shared" si="31"/>
        <v>-0.31379008746355691</v>
      </c>
      <c r="O53" s="13"/>
      <c r="P53" s="1">
        <f>SUM(OSRRefP22_5x_0)</f>
        <v>6590.36</v>
      </c>
      <c r="Q53" s="1"/>
      <c r="R53" s="5">
        <f t="shared" si="32"/>
        <v>2.4241189232056062E-2</v>
      </c>
      <c r="S53" s="1"/>
      <c r="T53" s="1">
        <f>SUM(OSRRefT22_5x_0)</f>
        <v>8270</v>
      </c>
      <c r="U53" s="1"/>
      <c r="V53" s="5">
        <f t="shared" si="33"/>
        <v>2.669464170432537E-2</v>
      </c>
      <c r="W53" s="1"/>
      <c r="X53" s="1">
        <f t="shared" si="34"/>
        <v>-1679.6400000000003</v>
      </c>
      <c r="Y53" s="1"/>
      <c r="Z53" s="5">
        <f t="shared" si="35"/>
        <v>-0.20310036275695287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1647.59</v>
      </c>
      <c r="E54" s="2"/>
      <c r="F54" s="7">
        <f t="shared" si="28"/>
        <v>1.4042518337589609E-2</v>
      </c>
      <c r="G54" s="2"/>
      <c r="H54" s="6">
        <v>1674</v>
      </c>
      <c r="I54" s="2"/>
      <c r="J54" s="7">
        <f t="shared" si="29"/>
        <v>1.3950000000000001E-2</v>
      </c>
      <c r="K54" s="2"/>
      <c r="L54" s="6">
        <f t="shared" si="30"/>
        <v>-26.410000000000082</v>
      </c>
      <c r="M54" s="2"/>
      <c r="N54" s="7">
        <f t="shared" si="31"/>
        <v>-1.5776583034647601E-2</v>
      </c>
      <c r="O54" s="11"/>
      <c r="P54" s="6">
        <v>6590.36</v>
      </c>
      <c r="Q54" s="2"/>
      <c r="R54" s="7">
        <f t="shared" si="32"/>
        <v>2.4241189232056062E-2</v>
      </c>
      <c r="S54" s="2"/>
      <c r="T54" s="6">
        <v>6696</v>
      </c>
      <c r="U54" s="2"/>
      <c r="V54" s="7">
        <f t="shared" si="33"/>
        <v>2.1613944480309878E-2</v>
      </c>
      <c r="W54" s="2"/>
      <c r="X54" s="6">
        <f t="shared" si="34"/>
        <v>-105.64000000000033</v>
      </c>
      <c r="Y54" s="2"/>
      <c r="Z54" s="7">
        <f t="shared" si="35"/>
        <v>-1.5776583034647601E-2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727</v>
      </c>
      <c r="I55" s="2"/>
      <c r="J55" s="7">
        <f t="shared" si="29"/>
        <v>6.0583333333333331E-3</v>
      </c>
      <c r="K55" s="2"/>
      <c r="L55" s="6">
        <f t="shared" si="30"/>
        <v>-727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1574</v>
      </c>
      <c r="U55" s="2"/>
      <c r="V55" s="7">
        <f t="shared" si="33"/>
        <v>5.080697224015494E-3</v>
      </c>
      <c r="W55" s="2"/>
      <c r="X55" s="6">
        <f t="shared" si="34"/>
        <v>-1574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3"/>
      <c r="P56" s="1">
        <f>SUM(OSRRefP22_6x_0)</f>
        <v>0</v>
      </c>
      <c r="Q56" s="1"/>
      <c r="R56" s="5">
        <f t="shared" ref="R56:R64" si="40">IF(P$12=0,0,P56/P$12)</f>
        <v>0</v>
      </c>
      <c r="S56" s="1"/>
      <c r="T56" s="1">
        <f>SUM(OSRRefT22_6x_0)</f>
        <v>40</v>
      </c>
      <c r="U56" s="1"/>
      <c r="V56" s="5">
        <f t="shared" ref="V56:V64" si="41">IF(T$12=0,0,T56/T$12)</f>
        <v>1.291155584247902E-4</v>
      </c>
      <c r="W56" s="1"/>
      <c r="X56" s="1">
        <f t="shared" ref="X56:X64" si="42">+P56-T56</f>
        <v>-40</v>
      </c>
      <c r="Y56" s="1"/>
      <c r="Z56" s="5">
        <f t="shared" ref="Z56:Z64" si="43">IF(T56=0,0,X56/T56)</f>
        <v>-1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40</v>
      </c>
      <c r="U57" s="2"/>
      <c r="V57" s="7">
        <f t="shared" si="41"/>
        <v>1.291155584247902E-4</v>
      </c>
      <c r="W57" s="2"/>
      <c r="X57" s="6">
        <f t="shared" si="42"/>
        <v>-40</v>
      </c>
      <c r="Y57" s="2"/>
      <c r="Z57" s="7">
        <f t="shared" si="43"/>
        <v>-1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1.0134777799833579E-3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475.64</v>
      </c>
      <c r="Q58" s="1"/>
      <c r="R58" s="5">
        <f t="shared" si="40"/>
        <v>1.7495370884648403E-3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475.64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118.91</v>
      </c>
      <c r="E59" s="2"/>
      <c r="F59" s="7">
        <f t="shared" si="36"/>
        <v>1.0134777799833579E-3</v>
      </c>
      <c r="G59" s="2"/>
      <c r="H59" s="6"/>
      <c r="I59" s="2"/>
      <c r="J59" s="7">
        <f t="shared" si="37"/>
        <v>0</v>
      </c>
      <c r="K59" s="2"/>
      <c r="L59" s="6">
        <f t="shared" si="38"/>
        <v>118.91</v>
      </c>
      <c r="M59" s="2"/>
      <c r="N59" s="7">
        <f t="shared" si="39"/>
        <v>0</v>
      </c>
      <c r="O59" s="11"/>
      <c r="P59" s="6">
        <v>475.64</v>
      </c>
      <c r="Q59" s="2"/>
      <c r="R59" s="7">
        <f t="shared" si="40"/>
        <v>1.7495370884648403E-3</v>
      </c>
      <c r="S59" s="2"/>
      <c r="T59" s="6"/>
      <c r="U59" s="2"/>
      <c r="V59" s="7">
        <f t="shared" si="41"/>
        <v>0</v>
      </c>
      <c r="W59" s="2"/>
      <c r="X59" s="6">
        <f t="shared" si="42"/>
        <v>475.64</v>
      </c>
      <c r="Y59" s="2"/>
      <c r="Z59" s="7">
        <f t="shared" si="43"/>
        <v>0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1465.02</v>
      </c>
      <c r="E60" s="1"/>
      <c r="F60" s="5">
        <f t="shared" si="36"/>
        <v>1.2486462175016559E-2</v>
      </c>
      <c r="G60" s="1"/>
      <c r="H60" s="1">
        <f>SUM(OSRRefH22_8x_0)</f>
        <v>1000</v>
      </c>
      <c r="I60" s="1"/>
      <c r="J60" s="5">
        <f t="shared" si="37"/>
        <v>8.3333333333333332E-3</v>
      </c>
      <c r="K60" s="1"/>
      <c r="L60" s="1">
        <f t="shared" si="38"/>
        <v>465.02</v>
      </c>
      <c r="M60" s="1"/>
      <c r="N60" s="5">
        <f t="shared" si="39"/>
        <v>0.46501999999999999</v>
      </c>
      <c r="O60" s="13"/>
      <c r="P60" s="1">
        <f>SUM(OSRRefP22_8x_0)</f>
        <v>4201.76</v>
      </c>
      <c r="Q60" s="1"/>
      <c r="R60" s="5">
        <f t="shared" si="40"/>
        <v>1.5455249677966588E-2</v>
      </c>
      <c r="S60" s="1"/>
      <c r="T60" s="1">
        <f>SUM(OSRRefT22_8x_0)</f>
        <v>4600</v>
      </c>
      <c r="U60" s="1"/>
      <c r="V60" s="5">
        <f t="shared" si="41"/>
        <v>1.4848289218850872E-2</v>
      </c>
      <c r="W60" s="1"/>
      <c r="X60" s="1">
        <f t="shared" si="42"/>
        <v>-398.23999999999978</v>
      </c>
      <c r="Y60" s="1"/>
      <c r="Z60" s="5">
        <f t="shared" si="43"/>
        <v>-8.6573913043478209E-2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1465.02</v>
      </c>
      <c r="E61" s="2"/>
      <c r="F61" s="7">
        <f t="shared" si="36"/>
        <v>1.2486462175016559E-2</v>
      </c>
      <c r="G61" s="2"/>
      <c r="H61" s="6">
        <v>1000</v>
      </c>
      <c r="I61" s="2"/>
      <c r="J61" s="7">
        <f t="shared" si="37"/>
        <v>8.3333333333333332E-3</v>
      </c>
      <c r="K61" s="2"/>
      <c r="L61" s="6">
        <f t="shared" si="38"/>
        <v>465.02</v>
      </c>
      <c r="M61" s="2"/>
      <c r="N61" s="7">
        <f t="shared" si="39"/>
        <v>0.46501999999999999</v>
      </c>
      <c r="O61" s="11"/>
      <c r="P61" s="6">
        <v>4201.76</v>
      </c>
      <c r="Q61" s="2"/>
      <c r="R61" s="7">
        <f t="shared" si="40"/>
        <v>1.5455249677966588E-2</v>
      </c>
      <c r="S61" s="2"/>
      <c r="T61" s="6">
        <v>4600</v>
      </c>
      <c r="U61" s="2"/>
      <c r="V61" s="7">
        <f t="shared" si="41"/>
        <v>1.4848289218850872E-2</v>
      </c>
      <c r="W61" s="2"/>
      <c r="X61" s="6">
        <f t="shared" si="42"/>
        <v>-398.23999999999978</v>
      </c>
      <c r="Y61" s="2"/>
      <c r="Z61" s="7">
        <f t="shared" si="43"/>
        <v>-8.6573913043478209E-2</v>
      </c>
    </row>
    <row r="62" spans="1:26" s="26" customFormat="1" outlineLevel="1" collapsed="1" x14ac:dyDescent="0.25">
      <c r="A62" s="25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377</v>
      </c>
      <c r="E62" s="1"/>
      <c r="F62" s="5">
        <f t="shared" si="36"/>
        <v>3.2131958880979388E-3</v>
      </c>
      <c r="G62" s="1"/>
      <c r="H62" s="1">
        <f>SUM(OSRRefH22_9x_0)</f>
        <v>200</v>
      </c>
      <c r="I62" s="1"/>
      <c r="J62" s="5">
        <f t="shared" si="37"/>
        <v>1.6666666666666668E-3</v>
      </c>
      <c r="K62" s="1"/>
      <c r="L62" s="1">
        <f t="shared" si="38"/>
        <v>177</v>
      </c>
      <c r="M62" s="1"/>
      <c r="N62" s="5">
        <f t="shared" si="39"/>
        <v>0.88500000000000001</v>
      </c>
      <c r="O62" s="13"/>
      <c r="P62" s="1">
        <f>SUM(OSRRefP22_9x_0)</f>
        <v>3971.6299999999997</v>
      </c>
      <c r="Q62" s="1"/>
      <c r="R62" s="5">
        <f t="shared" si="40"/>
        <v>1.4608767106760604E-2</v>
      </c>
      <c r="S62" s="1"/>
      <c r="T62" s="1">
        <f>SUM(OSRRefT22_9x_0)</f>
        <v>1700</v>
      </c>
      <c r="U62" s="1"/>
      <c r="V62" s="5">
        <f t="shared" si="41"/>
        <v>5.4874112330535827E-3</v>
      </c>
      <c r="W62" s="1"/>
      <c r="X62" s="1">
        <f t="shared" si="42"/>
        <v>2271.6299999999997</v>
      </c>
      <c r="Y62" s="1"/>
      <c r="Z62" s="5">
        <f t="shared" si="43"/>
        <v>1.3362529411764703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111.64</v>
      </c>
      <c r="E63" s="2"/>
      <c r="F63" s="7">
        <f t="shared" si="36"/>
        <v>9.5151509004576631E-4</v>
      </c>
      <c r="G63" s="2"/>
      <c r="H63" s="6"/>
      <c r="I63" s="2"/>
      <c r="J63" s="7">
        <f t="shared" si="37"/>
        <v>0</v>
      </c>
      <c r="K63" s="2"/>
      <c r="L63" s="6">
        <f t="shared" si="38"/>
        <v>111.64</v>
      </c>
      <c r="M63" s="2"/>
      <c r="N63" s="7">
        <f t="shared" si="39"/>
        <v>0</v>
      </c>
      <c r="O63" s="11"/>
      <c r="P63" s="6">
        <v>111.64</v>
      </c>
      <c r="Q63" s="2"/>
      <c r="R63" s="7">
        <f t="shared" si="40"/>
        <v>4.1064317668029347E-4</v>
      </c>
      <c r="S63" s="2"/>
      <c r="T63" s="6"/>
      <c r="U63" s="2"/>
      <c r="V63" s="7">
        <f t="shared" si="41"/>
        <v>0</v>
      </c>
      <c r="W63" s="2"/>
      <c r="X63" s="6">
        <f t="shared" si="42"/>
        <v>111.64</v>
      </c>
      <c r="Y63" s="2"/>
      <c r="Z63" s="7">
        <f t="shared" si="43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265.36</v>
      </c>
      <c r="E64" s="2"/>
      <c r="F64" s="7">
        <f t="shared" si="36"/>
        <v>2.2616807980521728E-3</v>
      </c>
      <c r="G64" s="2"/>
      <c r="H64" s="6">
        <v>200</v>
      </c>
      <c r="I64" s="2"/>
      <c r="J64" s="7">
        <f t="shared" si="37"/>
        <v>1.6666666666666668E-3</v>
      </c>
      <c r="K64" s="2"/>
      <c r="L64" s="6">
        <f t="shared" si="38"/>
        <v>65.360000000000014</v>
      </c>
      <c r="M64" s="2"/>
      <c r="N64" s="7">
        <f t="shared" si="39"/>
        <v>0.32680000000000009</v>
      </c>
      <c r="O64" s="11"/>
      <c r="P64" s="6">
        <v>3859.99</v>
      </c>
      <c r="Q64" s="2"/>
      <c r="R64" s="7">
        <f t="shared" si="40"/>
        <v>1.419812393008031E-2</v>
      </c>
      <c r="S64" s="2"/>
      <c r="T64" s="6">
        <v>1700</v>
      </c>
      <c r="U64" s="2"/>
      <c r="V64" s="7">
        <f t="shared" si="41"/>
        <v>5.4874112330535827E-3</v>
      </c>
      <c r="W64" s="2"/>
      <c r="X64" s="6">
        <f t="shared" si="42"/>
        <v>2159.9899999999998</v>
      </c>
      <c r="Y64" s="2"/>
      <c r="Z64" s="7">
        <f t="shared" si="43"/>
        <v>1.2705823529411764</v>
      </c>
    </row>
    <row r="65" spans="1:26" s="26" customFormat="1" outlineLevel="1" collapsed="1" x14ac:dyDescent="0.25">
      <c r="A65" s="25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9386.32</v>
      </c>
      <c r="E65" s="1"/>
      <c r="F65" s="5">
        <f t="shared" ref="F65:F78" si="44">IF(D$12=0,0,D65/D$12)</f>
        <v>8.0000225008942827E-2</v>
      </c>
      <c r="G65" s="1"/>
      <c r="H65" s="1">
        <f>SUM(OSRRefH22_10x_0)</f>
        <v>9600</v>
      </c>
      <c r="I65" s="1"/>
      <c r="J65" s="5">
        <f t="shared" ref="J65:J78" si="45">IF(H$12=0,0,H65/H$12)</f>
        <v>0.08</v>
      </c>
      <c r="K65" s="1"/>
      <c r="L65" s="1">
        <f t="shared" ref="L65:L78" si="46">+D65-H65</f>
        <v>-213.68000000000029</v>
      </c>
      <c r="M65" s="1"/>
      <c r="N65" s="5">
        <f t="shared" ref="N65:N78" si="47">IF(H65=0,0,L65/H65)</f>
        <v>-2.2258333333333363E-2</v>
      </c>
      <c r="O65" s="13"/>
      <c r="P65" s="1">
        <f>SUM(OSRRefP22_10x_0)</f>
        <v>18529.52</v>
      </c>
      <c r="Q65" s="1"/>
      <c r="R65" s="5">
        <f t="shared" ref="R65:R78" si="48">IF(P$12=0,0,P65/P$12)</f>
        <v>6.8156762407390103E-2</v>
      </c>
      <c r="S65" s="1"/>
      <c r="T65" s="1">
        <f>SUM(OSRRefT22_10x_0)</f>
        <v>25120</v>
      </c>
      <c r="U65" s="1"/>
      <c r="V65" s="5">
        <f t="shared" ref="V65:V78" si="49">IF(T$12=0,0,T65/T$12)</f>
        <v>8.1084570690768243E-2</v>
      </c>
      <c r="W65" s="1"/>
      <c r="X65" s="1">
        <f t="shared" ref="X65:X78" si="50">+P65-T65</f>
        <v>-6590.48</v>
      </c>
      <c r="Y65" s="1"/>
      <c r="Z65" s="5">
        <f t="shared" ref="Z65:Z78" si="51">IF(T65=0,0,X65/T65)</f>
        <v>-0.26235987261146493</v>
      </c>
    </row>
    <row r="66" spans="1:26" s="24" customFormat="1" hidden="1" outlineLevel="2" x14ac:dyDescent="0.25">
      <c r="A66" s="27"/>
      <c r="B66" s="11" t="str">
        <f>CONCATENATE("          ", "6259", " - ", "ROYALTY &amp; COMMISSIONS")</f>
        <v xml:space="preserve">          6259 - ROYALTY &amp; COMMISSIONS</v>
      </c>
      <c r="C66" s="11"/>
      <c r="D66" s="6">
        <v>9386.32</v>
      </c>
      <c r="E66" s="2"/>
      <c r="F66" s="7">
        <f t="shared" si="44"/>
        <v>8.0000225008942827E-2</v>
      </c>
      <c r="G66" s="2"/>
      <c r="H66" s="6">
        <v>9600</v>
      </c>
      <c r="I66" s="2"/>
      <c r="J66" s="7">
        <f t="shared" si="45"/>
        <v>0.08</v>
      </c>
      <c r="K66" s="2"/>
      <c r="L66" s="6">
        <f t="shared" si="46"/>
        <v>-213.68000000000029</v>
      </c>
      <c r="M66" s="2"/>
      <c r="N66" s="7">
        <f t="shared" si="47"/>
        <v>-2.2258333333333363E-2</v>
      </c>
      <c r="O66" s="11"/>
      <c r="P66" s="6">
        <v>18529.52</v>
      </c>
      <c r="Q66" s="2"/>
      <c r="R66" s="7">
        <f t="shared" si="48"/>
        <v>6.8156762407390103E-2</v>
      </c>
      <c r="S66" s="2"/>
      <c r="T66" s="6">
        <v>25120</v>
      </c>
      <c r="U66" s="2"/>
      <c r="V66" s="7">
        <f t="shared" si="49"/>
        <v>8.1084570690768243E-2</v>
      </c>
      <c r="W66" s="2"/>
      <c r="X66" s="6">
        <f t="shared" si="50"/>
        <v>-6590.48</v>
      </c>
      <c r="Y66" s="2"/>
      <c r="Z66" s="7">
        <f t="shared" si="51"/>
        <v>-0.26235987261146493</v>
      </c>
    </row>
    <row r="67" spans="1:26" s="26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146.25</v>
      </c>
      <c r="E67" s="1"/>
      <c r="F67" s="5">
        <f t="shared" si="44"/>
        <v>1.2464984048655798E-3</v>
      </c>
      <c r="G67" s="1"/>
      <c r="H67" s="1">
        <f>SUM(OSRRefH22_11x_0)</f>
        <v>120</v>
      </c>
      <c r="I67" s="1"/>
      <c r="J67" s="5">
        <f t="shared" si="45"/>
        <v>1E-3</v>
      </c>
      <c r="K67" s="1"/>
      <c r="L67" s="1">
        <f t="shared" si="46"/>
        <v>26.25</v>
      </c>
      <c r="M67" s="1"/>
      <c r="N67" s="5">
        <f t="shared" si="47"/>
        <v>0.21875</v>
      </c>
      <c r="O67" s="13"/>
      <c r="P67" s="1">
        <f>SUM(OSRRefP22_11x_0)</f>
        <v>232.35</v>
      </c>
      <c r="Q67" s="1"/>
      <c r="R67" s="5">
        <f t="shared" si="48"/>
        <v>8.5464835275587763E-4</v>
      </c>
      <c r="S67" s="1"/>
      <c r="T67" s="1">
        <f>SUM(OSRRefT22_11x_0)</f>
        <v>480</v>
      </c>
      <c r="U67" s="1"/>
      <c r="V67" s="5">
        <f t="shared" si="49"/>
        <v>1.5493867010974822E-3</v>
      </c>
      <c r="W67" s="1"/>
      <c r="X67" s="1">
        <f t="shared" si="50"/>
        <v>-247.65</v>
      </c>
      <c r="Y67" s="1"/>
      <c r="Z67" s="5">
        <f t="shared" si="51"/>
        <v>-0.51593750000000005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>
        <v>146.25</v>
      </c>
      <c r="E68" s="2"/>
      <c r="F68" s="7">
        <f t="shared" si="44"/>
        <v>1.2464984048655798E-3</v>
      </c>
      <c r="G68" s="2"/>
      <c r="H68" s="6">
        <v>120</v>
      </c>
      <c r="I68" s="2"/>
      <c r="J68" s="7">
        <f t="shared" si="45"/>
        <v>1E-3</v>
      </c>
      <c r="K68" s="2"/>
      <c r="L68" s="6">
        <f t="shared" si="46"/>
        <v>26.25</v>
      </c>
      <c r="M68" s="2"/>
      <c r="N68" s="7">
        <f t="shared" si="47"/>
        <v>0.21875</v>
      </c>
      <c r="O68" s="11"/>
      <c r="P68" s="6">
        <v>232.35</v>
      </c>
      <c r="Q68" s="2"/>
      <c r="R68" s="7">
        <f t="shared" si="48"/>
        <v>8.5464835275587763E-4</v>
      </c>
      <c r="S68" s="2"/>
      <c r="T68" s="6">
        <v>480</v>
      </c>
      <c r="U68" s="2"/>
      <c r="V68" s="7">
        <f t="shared" si="49"/>
        <v>1.5493867010974822E-3</v>
      </c>
      <c r="W68" s="2"/>
      <c r="X68" s="6">
        <f t="shared" si="50"/>
        <v>-247.65</v>
      </c>
      <c r="Y68" s="2"/>
      <c r="Z68" s="7">
        <f t="shared" si="51"/>
        <v>-0.51593750000000005</v>
      </c>
    </row>
    <row r="69" spans="1:26" s="26" customFormat="1" outlineLevel="1" collapsed="1" x14ac:dyDescent="0.25">
      <c r="A69" s="25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3"/>
      <c r="P69" s="1">
        <f>SUM(OSRRefP22_12x_0)</f>
        <v>61.36</v>
      </c>
      <c r="Q69" s="1"/>
      <c r="R69" s="5">
        <f t="shared" si="48"/>
        <v>2.2569925941510934E-4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61.36</v>
      </c>
      <c r="Y69" s="1"/>
      <c r="Z69" s="5">
        <f t="shared" si="51"/>
        <v>0</v>
      </c>
    </row>
    <row r="70" spans="1:26" s="24" customFormat="1" hidden="1" outlineLevel="2" x14ac:dyDescent="0.25">
      <c r="A70" s="27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4"/>
        <v>0</v>
      </c>
      <c r="G70" s="2"/>
      <c r="H70" s="6"/>
      <c r="I70" s="2"/>
      <c r="J70" s="7">
        <f t="shared" si="45"/>
        <v>0</v>
      </c>
      <c r="K70" s="2"/>
      <c r="L70" s="6">
        <f t="shared" si="46"/>
        <v>0</v>
      </c>
      <c r="M70" s="2"/>
      <c r="N70" s="7">
        <f t="shared" si="47"/>
        <v>0</v>
      </c>
      <c r="O70" s="11"/>
      <c r="P70" s="6">
        <v>61.36</v>
      </c>
      <c r="Q70" s="2"/>
      <c r="R70" s="7">
        <f t="shared" si="48"/>
        <v>2.2569925941510934E-4</v>
      </c>
      <c r="S70" s="2"/>
      <c r="T70" s="6"/>
      <c r="U70" s="2"/>
      <c r="V70" s="7">
        <f t="shared" si="49"/>
        <v>0</v>
      </c>
      <c r="W70" s="2"/>
      <c r="X70" s="6">
        <f t="shared" si="50"/>
        <v>61.36</v>
      </c>
      <c r="Y70" s="2"/>
      <c r="Z70" s="7">
        <f t="shared" si="51"/>
        <v>0</v>
      </c>
    </row>
    <row r="71" spans="1:26" s="26" customFormat="1" outlineLevel="1" collapsed="1" x14ac:dyDescent="0.25">
      <c r="A71" s="25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576.57999999999993</v>
      </c>
      <c r="E71" s="1"/>
      <c r="F71" s="5">
        <f t="shared" si="44"/>
        <v>4.9142294036061259E-3</v>
      </c>
      <c r="G71" s="1"/>
      <c r="H71" s="1">
        <f>SUM(OSRRefH22_13x_0)</f>
        <v>930</v>
      </c>
      <c r="I71" s="1"/>
      <c r="J71" s="5">
        <f t="shared" si="45"/>
        <v>7.7499999999999999E-3</v>
      </c>
      <c r="K71" s="1"/>
      <c r="L71" s="1">
        <f t="shared" si="46"/>
        <v>-353.42000000000007</v>
      </c>
      <c r="M71" s="1"/>
      <c r="N71" s="5">
        <f t="shared" si="47"/>
        <v>-0.38002150537634416</v>
      </c>
      <c r="O71" s="13"/>
      <c r="P71" s="1">
        <f>SUM(OSRRefP22_13x_0)</f>
        <v>5942.7300000000005</v>
      </c>
      <c r="Q71" s="1"/>
      <c r="R71" s="5">
        <f t="shared" si="48"/>
        <v>2.1859024770273024E-2</v>
      </c>
      <c r="S71" s="1"/>
      <c r="T71" s="1">
        <f>SUM(OSRRefT22_13x_0)</f>
        <v>6136</v>
      </c>
      <c r="U71" s="1"/>
      <c r="V71" s="5">
        <f t="shared" si="49"/>
        <v>1.9806326662362813E-2</v>
      </c>
      <c r="W71" s="1"/>
      <c r="X71" s="1">
        <f t="shared" si="50"/>
        <v>-193.26999999999953</v>
      </c>
      <c r="Y71" s="1"/>
      <c r="Z71" s="5">
        <f t="shared" si="51"/>
        <v>-3.1497718383311529E-2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>
        <v>31.82</v>
      </c>
      <c r="E72" s="2"/>
      <c r="F72" s="7">
        <f t="shared" si="44"/>
        <v>2.7120396063468549E-4</v>
      </c>
      <c r="G72" s="2"/>
      <c r="H72" s="6"/>
      <c r="I72" s="2"/>
      <c r="J72" s="7">
        <f t="shared" si="45"/>
        <v>0</v>
      </c>
      <c r="K72" s="2"/>
      <c r="L72" s="6">
        <f t="shared" si="46"/>
        <v>31.82</v>
      </c>
      <c r="M72" s="2"/>
      <c r="N72" s="7">
        <f t="shared" si="47"/>
        <v>0</v>
      </c>
      <c r="O72" s="11"/>
      <c r="P72" s="6">
        <v>137.11000000000001</v>
      </c>
      <c r="Q72" s="2"/>
      <c r="R72" s="7">
        <f t="shared" si="48"/>
        <v>5.0432896770543744E-4</v>
      </c>
      <c r="S72" s="2"/>
      <c r="T72" s="6"/>
      <c r="U72" s="2"/>
      <c r="V72" s="7">
        <f t="shared" si="49"/>
        <v>0</v>
      </c>
      <c r="W72" s="2"/>
      <c r="X72" s="6">
        <f t="shared" si="50"/>
        <v>137.11000000000001</v>
      </c>
      <c r="Y72" s="2"/>
      <c r="Z72" s="7">
        <f t="shared" si="51"/>
        <v>0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44"/>
        <v>0</v>
      </c>
      <c r="G73" s="2"/>
      <c r="H73" s="6">
        <v>140</v>
      </c>
      <c r="I73" s="2"/>
      <c r="J73" s="7">
        <f t="shared" si="45"/>
        <v>1.1666666666666668E-3</v>
      </c>
      <c r="K73" s="2"/>
      <c r="L73" s="6">
        <f t="shared" si="46"/>
        <v>-140</v>
      </c>
      <c r="M73" s="2"/>
      <c r="N73" s="7">
        <f t="shared" si="47"/>
        <v>-1</v>
      </c>
      <c r="O73" s="11"/>
      <c r="P73" s="6">
        <v>1905.7</v>
      </c>
      <c r="Q73" s="2"/>
      <c r="R73" s="7">
        <f t="shared" si="48"/>
        <v>7.0096981529884916E-3</v>
      </c>
      <c r="S73" s="2"/>
      <c r="T73" s="6">
        <v>4036</v>
      </c>
      <c r="U73" s="2"/>
      <c r="V73" s="7">
        <f t="shared" si="49"/>
        <v>1.302775984506133E-2</v>
      </c>
      <c r="W73" s="2"/>
      <c r="X73" s="6">
        <f t="shared" si="50"/>
        <v>-2130.3000000000002</v>
      </c>
      <c r="Y73" s="2"/>
      <c r="Z73" s="7">
        <f t="shared" si="51"/>
        <v>-0.52782457879088207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>
        <v>45.22</v>
      </c>
      <c r="E74" s="2"/>
      <c r="F74" s="7">
        <f t="shared" si="44"/>
        <v>3.8541304525142915E-4</v>
      </c>
      <c r="G74" s="2"/>
      <c r="H74" s="6">
        <v>20</v>
      </c>
      <c r="I74" s="2"/>
      <c r="J74" s="7">
        <f t="shared" si="45"/>
        <v>1.6666666666666666E-4</v>
      </c>
      <c r="K74" s="2"/>
      <c r="L74" s="6">
        <f t="shared" si="46"/>
        <v>25.22</v>
      </c>
      <c r="M74" s="2"/>
      <c r="N74" s="7">
        <f t="shared" si="47"/>
        <v>1.2609999999999999</v>
      </c>
      <c r="O74" s="11"/>
      <c r="P74" s="6">
        <v>1119.5</v>
      </c>
      <c r="Q74" s="2"/>
      <c r="R74" s="7">
        <f t="shared" si="48"/>
        <v>4.1178344347329674E-3</v>
      </c>
      <c r="S74" s="2"/>
      <c r="T74" s="6">
        <v>80</v>
      </c>
      <c r="U74" s="2"/>
      <c r="V74" s="7">
        <f t="shared" si="49"/>
        <v>2.582311168495804E-4</v>
      </c>
      <c r="W74" s="2"/>
      <c r="X74" s="6">
        <f t="shared" si="50"/>
        <v>1039.5</v>
      </c>
      <c r="Y74" s="2"/>
      <c r="Z74" s="7">
        <f t="shared" si="51"/>
        <v>12.99375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>
        <v>412.66</v>
      </c>
      <c r="E75" s="2"/>
      <c r="F75" s="7">
        <f t="shared" si="44"/>
        <v>3.5171284222347363E-3</v>
      </c>
      <c r="G75" s="2"/>
      <c r="H75" s="6">
        <v>770</v>
      </c>
      <c r="I75" s="2"/>
      <c r="J75" s="7">
        <f t="shared" si="45"/>
        <v>6.4166666666666669E-3</v>
      </c>
      <c r="K75" s="2"/>
      <c r="L75" s="6">
        <f t="shared" si="46"/>
        <v>-357.34</v>
      </c>
      <c r="M75" s="2"/>
      <c r="N75" s="7">
        <f t="shared" si="47"/>
        <v>-0.46407792207792203</v>
      </c>
      <c r="O75" s="11"/>
      <c r="P75" s="6">
        <v>1573.54</v>
      </c>
      <c r="Q75" s="2"/>
      <c r="R75" s="7">
        <f t="shared" si="48"/>
        <v>5.7879206756853187E-3</v>
      </c>
      <c r="S75" s="2"/>
      <c r="T75" s="6">
        <v>2020</v>
      </c>
      <c r="U75" s="2"/>
      <c r="V75" s="7">
        <f t="shared" si="49"/>
        <v>6.5203357004519043E-3</v>
      </c>
      <c r="W75" s="2"/>
      <c r="X75" s="6">
        <f t="shared" si="50"/>
        <v>-446.46000000000004</v>
      </c>
      <c r="Y75" s="2"/>
      <c r="Z75" s="7">
        <f t="shared" si="51"/>
        <v>-0.22101980198019805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>
        <v>27.79</v>
      </c>
      <c r="E76" s="2"/>
      <c r="F76" s="7">
        <f t="shared" si="44"/>
        <v>2.368560045895006E-4</v>
      </c>
      <c r="G76" s="2"/>
      <c r="H76" s="6"/>
      <c r="I76" s="2"/>
      <c r="J76" s="7">
        <f t="shared" si="45"/>
        <v>0</v>
      </c>
      <c r="K76" s="2"/>
      <c r="L76" s="6">
        <f t="shared" si="46"/>
        <v>27.79</v>
      </c>
      <c r="M76" s="2"/>
      <c r="N76" s="7">
        <f t="shared" si="47"/>
        <v>0</v>
      </c>
      <c r="O76" s="11"/>
      <c r="P76" s="6">
        <v>181.92</v>
      </c>
      <c r="Q76" s="2"/>
      <c r="R76" s="7">
        <f t="shared" si="48"/>
        <v>6.6915269349407901E-4</v>
      </c>
      <c r="S76" s="2"/>
      <c r="T76" s="6"/>
      <c r="U76" s="2"/>
      <c r="V76" s="7">
        <f t="shared" si="49"/>
        <v>0</v>
      </c>
      <c r="W76" s="2"/>
      <c r="X76" s="6">
        <f t="shared" si="50"/>
        <v>181.92</v>
      </c>
      <c r="Y76" s="2"/>
      <c r="Z76" s="7">
        <f t="shared" si="51"/>
        <v>0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6">
        <v>36.159999999999997</v>
      </c>
      <c r="E77" s="2"/>
      <c r="F77" s="7">
        <f t="shared" si="44"/>
        <v>3.0819406714488451E-4</v>
      </c>
      <c r="G77" s="2"/>
      <c r="H77" s="6"/>
      <c r="I77" s="2"/>
      <c r="J77" s="7">
        <f t="shared" si="45"/>
        <v>0</v>
      </c>
      <c r="K77" s="2"/>
      <c r="L77" s="6">
        <f t="shared" si="46"/>
        <v>36.159999999999997</v>
      </c>
      <c r="M77" s="2"/>
      <c r="N77" s="7">
        <f t="shared" si="47"/>
        <v>0</v>
      </c>
      <c r="O77" s="11"/>
      <c r="P77" s="6">
        <v>911.18</v>
      </c>
      <c r="Q77" s="2"/>
      <c r="R77" s="7">
        <f t="shared" si="48"/>
        <v>3.3515751498347348E-3</v>
      </c>
      <c r="S77" s="2"/>
      <c r="T77" s="6"/>
      <c r="U77" s="2"/>
      <c r="V77" s="7">
        <f t="shared" si="49"/>
        <v>0</v>
      </c>
      <c r="W77" s="2"/>
      <c r="X77" s="6">
        <f t="shared" si="50"/>
        <v>911.18</v>
      </c>
      <c r="Y77" s="2"/>
      <c r="Z77" s="7">
        <f t="shared" si="51"/>
        <v>0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>
        <v>22.93</v>
      </c>
      <c r="E78" s="2"/>
      <c r="F78" s="7">
        <f t="shared" si="44"/>
        <v>1.9543390375089054E-4</v>
      </c>
      <c r="G78" s="2"/>
      <c r="H78" s="6"/>
      <c r="I78" s="2"/>
      <c r="J78" s="7">
        <f t="shared" si="45"/>
        <v>0</v>
      </c>
      <c r="K78" s="2"/>
      <c r="L78" s="6">
        <f t="shared" si="46"/>
        <v>22.93</v>
      </c>
      <c r="M78" s="2"/>
      <c r="N78" s="7">
        <f t="shared" si="47"/>
        <v>0</v>
      </c>
      <c r="O78" s="11"/>
      <c r="P78" s="6">
        <v>113.78</v>
      </c>
      <c r="Q78" s="2"/>
      <c r="R78" s="7">
        <f t="shared" si="48"/>
        <v>4.1851469583199379E-4</v>
      </c>
      <c r="S78" s="2"/>
      <c r="T78" s="6"/>
      <c r="U78" s="2"/>
      <c r="V78" s="7">
        <f t="shared" si="49"/>
        <v>0</v>
      </c>
      <c r="W78" s="2"/>
      <c r="X78" s="6">
        <f t="shared" si="50"/>
        <v>113.78</v>
      </c>
      <c r="Y78" s="2"/>
      <c r="Z78" s="7">
        <f t="shared" si="51"/>
        <v>0</v>
      </c>
    </row>
    <row r="79" spans="1:26" s="26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4.1666666666666669E-4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-1.6552259898435333E-4</v>
      </c>
      <c r="S79" s="1"/>
      <c r="T79" s="1">
        <f>SUM(OSRRefT22_14x_0)</f>
        <v>200</v>
      </c>
      <c r="U79" s="1"/>
      <c r="V79" s="5">
        <f t="shared" ref="V79:V82" si="57">IF(T$12=0,0,T79/T$12)</f>
        <v>6.4557779212395089E-4</v>
      </c>
      <c r="W79" s="1"/>
      <c r="X79" s="1">
        <f t="shared" ref="X79:X82" si="58">+P79-T79</f>
        <v>-245</v>
      </c>
      <c r="Y79" s="1"/>
      <c r="Z79" s="5">
        <f t="shared" ref="Z79:Z82" si="59">IF(T79=0,0,X79/T79)</f>
        <v>-1.2250000000000001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4.1666666666666669E-4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>
        <v>-45</v>
      </c>
      <c r="Q80" s="2"/>
      <c r="R80" s="7">
        <f t="shared" si="56"/>
        <v>-1.6552259898435333E-4</v>
      </c>
      <c r="S80" s="2"/>
      <c r="T80" s="6">
        <v>200</v>
      </c>
      <c r="U80" s="2"/>
      <c r="V80" s="7">
        <f t="shared" si="57"/>
        <v>6.4557779212395089E-4</v>
      </c>
      <c r="W80" s="2"/>
      <c r="X80" s="6">
        <f t="shared" si="58"/>
        <v>-245</v>
      </c>
      <c r="Y80" s="2"/>
      <c r="Z80" s="7">
        <f t="shared" si="59"/>
        <v>-1.2250000000000001</v>
      </c>
    </row>
    <row r="81" spans="1:26" s="26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SUM(OSRRefP22_15x_0)</f>
        <v>96</v>
      </c>
      <c r="Q81" s="1"/>
      <c r="R81" s="5">
        <f t="shared" si="56"/>
        <v>3.5311487783328709E-4</v>
      </c>
      <c r="S81" s="1"/>
      <c r="T81" s="1">
        <f>SUM(OSRRefT22_15x_0)</f>
        <v>120</v>
      </c>
      <c r="U81" s="1"/>
      <c r="V81" s="5">
        <f t="shared" si="57"/>
        <v>3.8734667527437055E-4</v>
      </c>
      <c r="W81" s="1"/>
      <c r="X81" s="1">
        <f t="shared" si="58"/>
        <v>-24</v>
      </c>
      <c r="Y81" s="1"/>
      <c r="Z81" s="5">
        <f t="shared" si="59"/>
        <v>-0.2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96</v>
      </c>
      <c r="Q82" s="2"/>
      <c r="R82" s="7">
        <f t="shared" si="56"/>
        <v>3.5311487783328709E-4</v>
      </c>
      <c r="S82" s="2"/>
      <c r="T82" s="6">
        <v>120</v>
      </c>
      <c r="U82" s="2"/>
      <c r="V82" s="7">
        <f t="shared" si="57"/>
        <v>3.8734667527437055E-4</v>
      </c>
      <c r="W82" s="2"/>
      <c r="X82" s="6">
        <f t="shared" si="58"/>
        <v>-24</v>
      </c>
      <c r="Y82" s="2"/>
      <c r="Z82" s="7">
        <f t="shared" si="59"/>
        <v>-0.2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2">
        <f>+D23-D25+D84</f>
        <v>39519.799999999996</v>
      </c>
      <c r="E86" s="14"/>
      <c r="F86" s="20">
        <f>IF(D$12=0,0,D86/D$12)</f>
        <v>0.33682986434602896</v>
      </c>
      <c r="G86" s="14"/>
      <c r="H86" s="22">
        <f>+H23-H25+H84</f>
        <v>42268.198466000002</v>
      </c>
      <c r="I86" s="14"/>
      <c r="J86" s="20">
        <f>IF(H$12=0,0,H86/H$12)</f>
        <v>0.35223498721666668</v>
      </c>
      <c r="K86" s="16"/>
      <c r="L86" s="22">
        <f>+D86-H86</f>
        <v>-2748.398466000006</v>
      </c>
      <c r="M86" s="16"/>
      <c r="N86" s="20">
        <f>IF(H86=0,0,L86/H86)</f>
        <v>-6.5022843786701312E-2</v>
      </c>
      <c r="O86" s="29"/>
      <c r="P86" s="22">
        <f>+P23-P25+P84</f>
        <v>40456.209999999992</v>
      </c>
      <c r="Q86" s="14"/>
      <c r="R86" s="20">
        <f>IF(P$12=0,0,P86/P$12)</f>
        <v>0.14880926720570631</v>
      </c>
      <c r="S86" s="14"/>
      <c r="T86" s="22">
        <f>+T23-T25+T84</f>
        <v>65890.322477600013</v>
      </c>
      <c r="U86" s="14"/>
      <c r="V86" s="20">
        <f>IF(T$12=0,0,T86/T$12)</f>
        <v>0.21268664453712077</v>
      </c>
      <c r="W86" s="16"/>
      <c r="X86" s="22">
        <f>+P86-T86</f>
        <v>-25434.112477600022</v>
      </c>
      <c r="Y86" s="16"/>
      <c r="Z86" s="20">
        <f>IF(T86=0,0,X86/T86)</f>
        <v>-0.38600679919644604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10767.37</v>
      </c>
      <c r="E88" s="4"/>
      <c r="F88" s="12">
        <f>IF(D$12=0,0,D88/D$12)</f>
        <v>9.177100533058119E-2</v>
      </c>
      <c r="G88" s="4"/>
      <c r="H88" s="4">
        <v>13300</v>
      </c>
      <c r="I88" s="4"/>
      <c r="J88" s="12">
        <f>IF(H$12=0,0,H88/H$12)</f>
        <v>0.11083333333333334</v>
      </c>
      <c r="K88" s="4"/>
      <c r="L88" s="4">
        <f>+D88-H88</f>
        <v>-2532.6299999999992</v>
      </c>
      <c r="M88" s="4"/>
      <c r="N88" s="12">
        <f>IF(H88=0,0,L88/H88)</f>
        <v>-0.19042330827067663</v>
      </c>
      <c r="O88" s="10"/>
      <c r="P88" s="4">
        <v>27366.75</v>
      </c>
      <c r="Q88" s="4"/>
      <c r="R88" s="12">
        <f>IF(P$12=0,0,P88/P$12)</f>
        <v>0.10066256857233448</v>
      </c>
      <c r="S88" s="4"/>
      <c r="T88" s="4">
        <v>37307</v>
      </c>
      <c r="U88" s="4"/>
      <c r="V88" s="12">
        <f>IF(T$12=0,0,T88/T$12)</f>
        <v>0.12042285345384118</v>
      </c>
      <c r="W88" s="4"/>
      <c r="X88" s="4">
        <f>+P88-T88</f>
        <v>-9940.25</v>
      </c>
      <c r="Y88" s="4"/>
      <c r="Z88" s="12">
        <f>IF(T88=0,0,X88/T88)</f>
        <v>-0.26644463505508348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1">
        <f>+D86-D88</f>
        <v>28752.429999999993</v>
      </c>
      <c r="E90" s="14"/>
      <c r="F90" s="33">
        <f>IF(D$12=0,0,D90/D$12)</f>
        <v>0.24505885901544774</v>
      </c>
      <c r="G90" s="14"/>
      <c r="H90" s="31">
        <f>+H86-H88</f>
        <v>28968.198466000002</v>
      </c>
      <c r="I90" s="14"/>
      <c r="J90" s="33">
        <f>IF(H$12=0,0,H90/H$12)</f>
        <v>0.24140165388333334</v>
      </c>
      <c r="K90" s="16"/>
      <c r="L90" s="31">
        <f>D90-H90</f>
        <v>-215.76846600000863</v>
      </c>
      <c r="M90" s="16"/>
      <c r="N90" s="33">
        <f>IF(H90=0,0,L90/H90)</f>
        <v>-7.4484599466292751E-3</v>
      </c>
      <c r="O90" s="29"/>
      <c r="P90" s="31">
        <f>+P86-P88</f>
        <v>13089.459999999992</v>
      </c>
      <c r="Q90" s="14"/>
      <c r="R90" s="33">
        <f>IF(P$12=0,0,P90/P$12)</f>
        <v>4.8146698633371822E-2</v>
      </c>
      <c r="S90" s="14"/>
      <c r="T90" s="31">
        <f>+T86-T88</f>
        <v>28583.322477600013</v>
      </c>
      <c r="U90" s="14"/>
      <c r="V90" s="33">
        <f>IF(T$12=0,0,T90/T$12)</f>
        <v>9.2263791083279575E-2</v>
      </c>
      <c r="W90" s="16"/>
      <c r="X90" s="31">
        <f>P90-T90</f>
        <v>-15493.862477600022</v>
      </c>
      <c r="Y90" s="16"/>
      <c r="Z90" s="33">
        <f>IF(T90=0,0,X90/T90)</f>
        <v>-0.54205953453249345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2">
        <f>SUM(D90:D92)</f>
        <v>28752.429999999993</v>
      </c>
      <c r="E93" s="14"/>
      <c r="F93" s="34">
        <f>IF(D$12=0,0,D93/D$12)</f>
        <v>0.24505885901544774</v>
      </c>
      <c r="G93" s="14"/>
      <c r="H93" s="32">
        <f>SUM(H90:H92)</f>
        <v>28968.198466000002</v>
      </c>
      <c r="I93" s="14"/>
      <c r="J93" s="34">
        <f>IF(H$12=0,0,H93/H$12)</f>
        <v>0.24140165388333334</v>
      </c>
      <c r="K93" s="16"/>
      <c r="L93" s="32">
        <f>+D93-H93</f>
        <v>-215.76846600000863</v>
      </c>
      <c r="M93" s="16"/>
      <c r="N93" s="34">
        <f>IF(H93=0,0,L93/H93)</f>
        <v>-7.4484599466292751E-3</v>
      </c>
      <c r="O93" s="29"/>
      <c r="P93" s="32">
        <f>SUM(P90:P92)</f>
        <v>13089.459999999992</v>
      </c>
      <c r="Q93" s="14"/>
      <c r="R93" s="34">
        <f>IF(P$12=0,0,P93/P$12)</f>
        <v>4.8146698633371822E-2</v>
      </c>
      <c r="S93" s="14"/>
      <c r="T93" s="32">
        <f>SUM(T90:T92)</f>
        <v>28583.322477600013</v>
      </c>
      <c r="U93" s="14"/>
      <c r="V93" s="34">
        <f>IF(T$12=0,0,T93/T$12)</f>
        <v>9.2263791083279575E-2</v>
      </c>
      <c r="W93" s="16"/>
      <c r="X93" s="32">
        <f>+P93-T93</f>
        <v>-15493.862477600022</v>
      </c>
      <c r="Y93" s="16"/>
      <c r="Z93" s="34">
        <f>IF(T93=0,0,X93/T93)</f>
        <v>-0.54205953453249345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0">
        <v>43791.348538854167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4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5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138771.65</v>
      </c>
      <c r="E12" s="4"/>
      <c r="F12" s="12"/>
      <c r="G12" s="4"/>
      <c r="H12" s="4">
        <f>SUM(OSRRefH13x_0)</f>
        <v>150000</v>
      </c>
      <c r="I12" s="4"/>
      <c r="J12" s="12"/>
      <c r="K12" s="4"/>
      <c r="L12" s="4">
        <f t="shared" ref="L12:L15" si="0">+D12-H12</f>
        <v>-11228.350000000006</v>
      </c>
      <c r="M12" s="4"/>
      <c r="N12" s="12">
        <f t="shared" ref="N12:N15" si="1">IF(H12=0,0,L12/H12)</f>
        <v>-7.4855666666666709E-2</v>
      </c>
      <c r="O12" s="10"/>
      <c r="P12" s="4">
        <f>SUM(OSRRefP13x_0)</f>
        <v>311832.64</v>
      </c>
      <c r="Q12" s="4"/>
      <c r="R12" s="12"/>
      <c r="S12" s="4"/>
      <c r="T12" s="4">
        <f>SUM(OSRRefT13x_0)</f>
        <v>331050</v>
      </c>
      <c r="U12" s="4"/>
      <c r="V12" s="12"/>
      <c r="W12" s="4"/>
      <c r="X12" s="4">
        <f t="shared" ref="X12:X15" si="2">+P12-T12</f>
        <v>-19217.359999999986</v>
      </c>
      <c r="Y12" s="4"/>
      <c r="Z12" s="12">
        <f t="shared" ref="Z12:Z15" si="3">IF(T12=0,0,X12/T12)</f>
        <v>-5.8049720586014153E-2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--37940.7</f>
        <v>37940.699999999997</v>
      </c>
      <c r="E13" s="2"/>
      <c r="F13" s="19"/>
      <c r="G13" s="2"/>
      <c r="H13" s="2"/>
      <c r="I13" s="2"/>
      <c r="J13" s="19"/>
      <c r="K13" s="2"/>
      <c r="L13" s="2">
        <f t="shared" si="0"/>
        <v>37940.699999999997</v>
      </c>
      <c r="M13" s="2"/>
      <c r="N13" s="19">
        <f t="shared" si="1"/>
        <v>0</v>
      </c>
      <c r="O13" s="11"/>
      <c r="P13" s="2">
        <f>--94820.75</f>
        <v>94820.75</v>
      </c>
      <c r="Q13" s="2"/>
      <c r="R13" s="19"/>
      <c r="S13" s="2"/>
      <c r="T13" s="2"/>
      <c r="U13" s="2"/>
      <c r="V13" s="19"/>
      <c r="W13" s="2"/>
      <c r="X13" s="2">
        <f t="shared" si="2"/>
        <v>94820.75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150000</v>
      </c>
      <c r="I14" s="2"/>
      <c r="J14" s="19"/>
      <c r="K14" s="2"/>
      <c r="L14" s="2">
        <f t="shared" si="0"/>
        <v>-150000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331050</v>
      </c>
      <c r="U14" s="2"/>
      <c r="V14" s="19"/>
      <c r="W14" s="2"/>
      <c r="X14" s="2">
        <f t="shared" si="2"/>
        <v>-331050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--100830.95</f>
        <v>100830.95</v>
      </c>
      <c r="E15" s="2"/>
      <c r="F15" s="19"/>
      <c r="G15" s="2"/>
      <c r="H15" s="2"/>
      <c r="I15" s="2"/>
      <c r="J15" s="19"/>
      <c r="K15" s="2"/>
      <c r="L15" s="2">
        <f t="shared" si="0"/>
        <v>100830.95</v>
      </c>
      <c r="M15" s="2"/>
      <c r="N15" s="19">
        <f t="shared" si="1"/>
        <v>0</v>
      </c>
      <c r="O15" s="11"/>
      <c r="P15" s="2">
        <f>--217011.89</f>
        <v>217011.89</v>
      </c>
      <c r="Q15" s="2"/>
      <c r="R15" s="19"/>
      <c r="S15" s="2"/>
      <c r="T15" s="2"/>
      <c r="U15" s="2"/>
      <c r="V15" s="19"/>
      <c r="W15" s="2"/>
      <c r="X15" s="2">
        <f t="shared" si="2"/>
        <v>217011.89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38137.440000000002</v>
      </c>
      <c r="E17" s="4"/>
      <c r="F17" s="12">
        <f t="shared" ref="F17:F20" si="4">IF(D$12=0,0,D17/D$12)</f>
        <v>0.27482155036709588</v>
      </c>
      <c r="G17" s="4"/>
      <c r="H17" s="4">
        <f>SUM(OSRRefH16x_0)</f>
        <v>48000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-9862.5599999999977</v>
      </c>
      <c r="M17" s="4"/>
      <c r="N17" s="12">
        <f t="shared" ref="N17:N20" si="7">IF(H17=0,0,L17/H17)</f>
        <v>-0.20546999999999996</v>
      </c>
      <c r="O17" s="10"/>
      <c r="P17" s="4">
        <f>SUM(OSRRefP16x_0)</f>
        <v>99570.239999999991</v>
      </c>
      <c r="Q17" s="4"/>
      <c r="R17" s="12">
        <f t="shared" ref="R17:R20" si="8">IF(P$12=0,0,P17/P$12)</f>
        <v>0.31930666398488622</v>
      </c>
      <c r="S17" s="4"/>
      <c r="T17" s="4">
        <f>SUM(OSRRefT16x_0)</f>
        <v>106540</v>
      </c>
      <c r="U17" s="4"/>
      <c r="V17" s="12">
        <f t="shared" ref="V17:V20" si="9">IF(T$12=0,0,T17/T$12)</f>
        <v>0.3218244978099985</v>
      </c>
      <c r="W17" s="4"/>
      <c r="X17" s="4">
        <f t="shared" ref="X17:X20" si="10">+P17-T17</f>
        <v>-6969.7600000000093</v>
      </c>
      <c r="Y17" s="4"/>
      <c r="Z17" s="12">
        <f t="shared" ref="Z17:Z20" si="11">IF(T17=0,0,X17/T17)</f>
        <v>-6.5419185282523079E-2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48000</v>
      </c>
      <c r="I18" s="2"/>
      <c r="J18" s="19">
        <f t="shared" si="5"/>
        <v>0.32</v>
      </c>
      <c r="K18" s="2"/>
      <c r="L18" s="2">
        <f t="shared" si="6"/>
        <v>-48000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106540</v>
      </c>
      <c r="U18" s="2"/>
      <c r="V18" s="19">
        <f t="shared" si="9"/>
        <v>0.3218244978099985</v>
      </c>
      <c r="W18" s="2"/>
      <c r="X18" s="2">
        <f t="shared" si="10"/>
        <v>-106540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44109.440000000002</v>
      </c>
      <c r="E19" s="2"/>
      <c r="F19" s="19">
        <f t="shared" si="4"/>
        <v>0.31785627684040657</v>
      </c>
      <c r="G19" s="2"/>
      <c r="H19" s="2"/>
      <c r="I19" s="2"/>
      <c r="J19" s="19">
        <f t="shared" si="5"/>
        <v>0</v>
      </c>
      <c r="K19" s="2"/>
      <c r="L19" s="2">
        <f t="shared" si="6"/>
        <v>44109.440000000002</v>
      </c>
      <c r="M19" s="2"/>
      <c r="N19" s="19">
        <f t="shared" si="7"/>
        <v>0</v>
      </c>
      <c r="O19" s="11"/>
      <c r="P19" s="2">
        <v>102127.23999999999</v>
      </c>
      <c r="Q19" s="2"/>
      <c r="R19" s="19">
        <f t="shared" si="8"/>
        <v>0.32750657532194188</v>
      </c>
      <c r="S19" s="2"/>
      <c r="T19" s="2"/>
      <c r="U19" s="2"/>
      <c r="V19" s="19">
        <f t="shared" si="9"/>
        <v>0</v>
      </c>
      <c r="W19" s="2"/>
      <c r="X19" s="2">
        <f t="shared" si="10"/>
        <v>102127.23999999999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-5972</v>
      </c>
      <c r="E20" s="2"/>
      <c r="F20" s="19">
        <f t="shared" si="4"/>
        <v>-4.303472647331065E-2</v>
      </c>
      <c r="G20" s="2"/>
      <c r="H20" s="2"/>
      <c r="I20" s="2"/>
      <c r="J20" s="19">
        <f t="shared" si="5"/>
        <v>0</v>
      </c>
      <c r="K20" s="2"/>
      <c r="L20" s="2">
        <f t="shared" si="6"/>
        <v>-5972</v>
      </c>
      <c r="M20" s="2"/>
      <c r="N20" s="19">
        <f t="shared" si="7"/>
        <v>0</v>
      </c>
      <c r="O20" s="11"/>
      <c r="P20" s="2">
        <v>-2557</v>
      </c>
      <c r="Q20" s="2"/>
      <c r="R20" s="19">
        <f t="shared" si="8"/>
        <v>-8.1999113370556723E-3</v>
      </c>
      <c r="S20" s="2"/>
      <c r="T20" s="2"/>
      <c r="U20" s="2"/>
      <c r="V20" s="19">
        <f t="shared" si="9"/>
        <v>0</v>
      </c>
      <c r="W20" s="2"/>
      <c r="X20" s="2">
        <f t="shared" si="10"/>
        <v>-2557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100634.20999999999</v>
      </c>
      <c r="E22" s="14"/>
      <c r="F22" s="20">
        <f>IF(D$12=0,0,D22/D$12)</f>
        <v>0.72517844963290412</v>
      </c>
      <c r="G22" s="14"/>
      <c r="H22" s="22">
        <f>H12-H17</f>
        <v>102000</v>
      </c>
      <c r="I22" s="14"/>
      <c r="J22" s="20">
        <f>IF(H$12=0,0,H22/H$12)</f>
        <v>0.68</v>
      </c>
      <c r="K22" s="16"/>
      <c r="L22" s="22">
        <f>+D22-H22</f>
        <v>-1365.7900000000081</v>
      </c>
      <c r="M22" s="16"/>
      <c r="N22" s="20">
        <f>IF(H22=0,0,L22/H22)</f>
        <v>-1.3390098039215766E-2</v>
      </c>
      <c r="O22" s="29"/>
      <c r="P22" s="22">
        <f>P12-P17</f>
        <v>212262.40000000002</v>
      </c>
      <c r="Q22" s="14"/>
      <c r="R22" s="20">
        <f>IF(P$12=0,0,P22/P$12)</f>
        <v>0.68069333601511384</v>
      </c>
      <c r="S22" s="14"/>
      <c r="T22" s="22">
        <f>T12-T17</f>
        <v>224510</v>
      </c>
      <c r="U22" s="14"/>
      <c r="V22" s="20">
        <f>IF(T$12=0,0,T22/T$12)</f>
        <v>0.67817550219000156</v>
      </c>
      <c r="W22" s="16"/>
      <c r="X22" s="22">
        <f>+P22-T22</f>
        <v>-12247.599999999977</v>
      </c>
      <c r="Y22" s="16"/>
      <c r="Z22" s="20">
        <f>IF(T22=0,0,X22/T22)</f>
        <v>-5.4552581176784895E-2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88811.919999999984</v>
      </c>
      <c r="E24" s="21"/>
      <c r="F24" s="35">
        <f t="shared" ref="F24:F34" si="12">IF(D$12=0,0,D24/D$12)</f>
        <v>0.63998604902370182</v>
      </c>
      <c r="G24" s="21"/>
      <c r="H24" s="21">
        <f>SUM(OSRRefH22x_0)</f>
        <v>77866.860496153851</v>
      </c>
      <c r="I24" s="21"/>
      <c r="J24" s="35">
        <f t="shared" ref="J24:J34" si="13">IF(H$12=0,0,H24/H$12)</f>
        <v>0.51911240330769237</v>
      </c>
      <c r="K24" s="4"/>
      <c r="L24" s="21">
        <f t="shared" ref="L24:L34" si="14">+D24-H24</f>
        <v>10945.059503846132</v>
      </c>
      <c r="M24" s="4"/>
      <c r="N24" s="35">
        <f t="shared" ref="N24:N34" si="15">IF(H24=0,0,L24/H24)</f>
        <v>0.1405612019555707</v>
      </c>
      <c r="O24" s="10"/>
      <c r="P24" s="21">
        <f>SUM(OSRRefP22x_0)</f>
        <v>285781.77999999997</v>
      </c>
      <c r="Q24" s="21"/>
      <c r="R24" s="35">
        <f t="shared" ref="R24:R34" si="16">IF(P$12=0,0,P24/P$12)</f>
        <v>0.91645884151190826</v>
      </c>
      <c r="S24" s="21"/>
      <c r="T24" s="21">
        <f>SUM(OSRRefT22x_0)</f>
        <v>267995.4448761539</v>
      </c>
      <c r="U24" s="21"/>
      <c r="V24" s="35">
        <f t="shared" ref="V24:V34" si="17">IF(T$12=0,0,T24/T$12)</f>
        <v>0.80953162626840025</v>
      </c>
      <c r="W24" s="4"/>
      <c r="X24" s="21">
        <f t="shared" ref="X24:X34" si="18">+P24-T24</f>
        <v>17786.335123846075</v>
      </c>
      <c r="Y24" s="4"/>
      <c r="Z24" s="35">
        <f t="shared" ref="Z24:Z34" si="19">IF(T24=0,0,X24/T24)</f>
        <v>6.6368050143783219E-2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8312.51</v>
      </c>
      <c r="E25" s="1"/>
      <c r="F25" s="5">
        <f t="shared" si="12"/>
        <v>5.9900635324289943E-2</v>
      </c>
      <c r="G25" s="1"/>
      <c r="H25" s="1">
        <f>SUM(OSRRefH22_0x_0)</f>
        <v>8918.8041500000072</v>
      </c>
      <c r="I25" s="1"/>
      <c r="J25" s="5">
        <f t="shared" si="13"/>
        <v>5.9458694333333381E-2</v>
      </c>
      <c r="K25" s="1"/>
      <c r="L25" s="1">
        <f t="shared" si="14"/>
        <v>-606.29415000000699</v>
      </c>
      <c r="M25" s="1"/>
      <c r="N25" s="5">
        <f t="shared" si="15"/>
        <v>-6.7979309759818696E-2</v>
      </c>
      <c r="O25" s="13"/>
      <c r="P25" s="1">
        <f>SUM(OSRRefP22_0x_0)</f>
        <v>34547.42</v>
      </c>
      <c r="Q25" s="1"/>
      <c r="R25" s="5">
        <f t="shared" si="16"/>
        <v>0.11078833825734213</v>
      </c>
      <c r="S25" s="1"/>
      <c r="T25" s="1">
        <f>SUM(OSRRefT22_0x_0)</f>
        <v>31302.857530000019</v>
      </c>
      <c r="U25" s="1"/>
      <c r="V25" s="5">
        <f t="shared" si="17"/>
        <v>9.4556283129436702E-2</v>
      </c>
      <c r="W25" s="1"/>
      <c r="X25" s="1">
        <f t="shared" si="18"/>
        <v>3244.5624699999789</v>
      </c>
      <c r="Y25" s="1"/>
      <c r="Z25" s="5">
        <f t="shared" si="19"/>
        <v>0.10365068003425747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2456.4</v>
      </c>
      <c r="E26" s="2"/>
      <c r="F26" s="7">
        <f t="shared" si="12"/>
        <v>1.7701021786510431E-2</v>
      </c>
      <c r="G26" s="2"/>
      <c r="H26" s="6">
        <v>830.70371538461507</v>
      </c>
      <c r="I26" s="2"/>
      <c r="J26" s="7">
        <f t="shared" si="13"/>
        <v>5.5380247692307675E-3</v>
      </c>
      <c r="K26" s="2"/>
      <c r="L26" s="6">
        <f t="shared" si="14"/>
        <v>1625.6962846153851</v>
      </c>
      <c r="M26" s="2"/>
      <c r="N26" s="7">
        <f t="shared" si="15"/>
        <v>1.9570109709485159</v>
      </c>
      <c r="O26" s="11"/>
      <c r="P26" s="6">
        <v>6268.05</v>
      </c>
      <c r="Q26" s="2"/>
      <c r="R26" s="7">
        <f t="shared" si="16"/>
        <v>2.0100686060317483E-2</v>
      </c>
      <c r="S26" s="2"/>
      <c r="T26" s="6">
        <v>3663.232075384612</v>
      </c>
      <c r="U26" s="2"/>
      <c r="V26" s="7">
        <f t="shared" si="17"/>
        <v>1.1065494865985839E-2</v>
      </c>
      <c r="W26" s="2"/>
      <c r="X26" s="6">
        <f t="shared" si="18"/>
        <v>2604.8179246153882</v>
      </c>
      <c r="Y26" s="2"/>
      <c r="Z26" s="7">
        <f t="shared" si="19"/>
        <v>0.71107095346720606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-224.96</v>
      </c>
      <c r="E27" s="2"/>
      <c r="F27" s="7">
        <f t="shared" si="12"/>
        <v>-1.6210803863757476E-3</v>
      </c>
      <c r="G27" s="2"/>
      <c r="H27" s="6">
        <v>1514.47517692308</v>
      </c>
      <c r="I27" s="2"/>
      <c r="J27" s="7">
        <f t="shared" si="13"/>
        <v>1.00965011794872E-2</v>
      </c>
      <c r="K27" s="2"/>
      <c r="L27" s="6">
        <f t="shared" si="14"/>
        <v>-1739.43517692308</v>
      </c>
      <c r="M27" s="2"/>
      <c r="N27" s="7">
        <f t="shared" si="15"/>
        <v>-1.1485399057230146</v>
      </c>
      <c r="O27" s="11"/>
      <c r="P27" s="6">
        <v>2120.4299999999998</v>
      </c>
      <c r="Q27" s="2"/>
      <c r="R27" s="7">
        <f t="shared" si="16"/>
        <v>6.7998975347801941E-3</v>
      </c>
      <c r="S27" s="2"/>
      <c r="T27" s="6">
        <v>4283.7980169230777</v>
      </c>
      <c r="U27" s="2"/>
      <c r="V27" s="7">
        <f t="shared" si="17"/>
        <v>1.2940033278728523E-2</v>
      </c>
      <c r="W27" s="2"/>
      <c r="X27" s="6">
        <f t="shared" si="18"/>
        <v>-2163.3680169230779</v>
      </c>
      <c r="Y27" s="2"/>
      <c r="Z27" s="7">
        <f t="shared" si="19"/>
        <v>-0.50501167617537668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3090.11</v>
      </c>
      <c r="E28" s="2"/>
      <c r="F28" s="7">
        <f t="shared" si="12"/>
        <v>2.2267588516818818E-2</v>
      </c>
      <c r="G28" s="2"/>
      <c r="H28" s="6">
        <v>3662.1538461538503</v>
      </c>
      <c r="I28" s="2"/>
      <c r="J28" s="7">
        <f t="shared" si="13"/>
        <v>2.4414358974359E-2</v>
      </c>
      <c r="K28" s="2"/>
      <c r="L28" s="6">
        <f t="shared" si="14"/>
        <v>-572.04384615385015</v>
      </c>
      <c r="M28" s="2"/>
      <c r="N28" s="7">
        <f t="shared" si="15"/>
        <v>-0.15620420937657628</v>
      </c>
      <c r="O28" s="11"/>
      <c r="P28" s="6">
        <v>12360.44</v>
      </c>
      <c r="Q28" s="2"/>
      <c r="R28" s="7">
        <f t="shared" si="16"/>
        <v>3.9638057132184754E-2</v>
      </c>
      <c r="S28" s="2"/>
      <c r="T28" s="6">
        <v>13736.15384615386</v>
      </c>
      <c r="U28" s="2"/>
      <c r="V28" s="7">
        <f t="shared" si="17"/>
        <v>4.1492686440579553E-2</v>
      </c>
      <c r="W28" s="2"/>
      <c r="X28" s="6">
        <f t="shared" si="18"/>
        <v>-1375.7138461538598</v>
      </c>
      <c r="Y28" s="2"/>
      <c r="Z28" s="7">
        <f t="shared" si="19"/>
        <v>-0.10015276922215467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83.52</v>
      </c>
      <c r="E29" s="2"/>
      <c r="F29" s="7">
        <f t="shared" si="12"/>
        <v>6.0185203534007131E-4</v>
      </c>
      <c r="G29" s="2"/>
      <c r="H29" s="6">
        <v>101.48545</v>
      </c>
      <c r="I29" s="2"/>
      <c r="J29" s="7">
        <f t="shared" si="13"/>
        <v>6.7656966666666666E-4</v>
      </c>
      <c r="K29" s="2"/>
      <c r="L29" s="6">
        <f t="shared" si="14"/>
        <v>-17.965450000000004</v>
      </c>
      <c r="M29" s="2"/>
      <c r="N29" s="7">
        <f t="shared" si="15"/>
        <v>-0.17702488386266213</v>
      </c>
      <c r="O29" s="11"/>
      <c r="P29" s="6">
        <v>240.68</v>
      </c>
      <c r="Q29" s="2"/>
      <c r="R29" s="7">
        <f t="shared" si="16"/>
        <v>7.7182427086529488E-4</v>
      </c>
      <c r="S29" s="2"/>
      <c r="T29" s="6">
        <v>287.05862999999999</v>
      </c>
      <c r="U29" s="2"/>
      <c r="V29" s="7">
        <f t="shared" si="17"/>
        <v>8.6711563207974619E-4</v>
      </c>
      <c r="W29" s="2"/>
      <c r="X29" s="6">
        <f t="shared" si="18"/>
        <v>-46.378629999999987</v>
      </c>
      <c r="Y29" s="2"/>
      <c r="Z29" s="7">
        <f t="shared" si="19"/>
        <v>-0.16156500851411432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898.02</v>
      </c>
      <c r="E30" s="2"/>
      <c r="F30" s="7">
        <f t="shared" si="12"/>
        <v>6.4712064748095165E-3</v>
      </c>
      <c r="G30" s="2"/>
      <c r="H30" s="6">
        <v>579.176923076923</v>
      </c>
      <c r="I30" s="2"/>
      <c r="J30" s="7">
        <f t="shared" si="13"/>
        <v>3.8611794871794866E-3</v>
      </c>
      <c r="K30" s="2"/>
      <c r="L30" s="6">
        <f t="shared" si="14"/>
        <v>318.84307692307698</v>
      </c>
      <c r="M30" s="2"/>
      <c r="N30" s="7">
        <f t="shared" si="15"/>
        <v>0.55051067164278233</v>
      </c>
      <c r="O30" s="11"/>
      <c r="P30" s="6">
        <v>2643.45</v>
      </c>
      <c r="Q30" s="2"/>
      <c r="R30" s="7">
        <f t="shared" si="16"/>
        <v>8.4771433805005143E-3</v>
      </c>
      <c r="S30" s="2"/>
      <c r="T30" s="6">
        <v>2085.0369230769243</v>
      </c>
      <c r="U30" s="2"/>
      <c r="V30" s="7">
        <f t="shared" si="17"/>
        <v>6.2982538078143009E-3</v>
      </c>
      <c r="W30" s="2"/>
      <c r="X30" s="6">
        <f t="shared" si="18"/>
        <v>558.41307692307555</v>
      </c>
      <c r="Y30" s="2"/>
      <c r="Z30" s="7">
        <f t="shared" si="19"/>
        <v>0.26781927492152796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1071.26</v>
      </c>
      <c r="E32" s="2"/>
      <c r="F32" s="7">
        <f t="shared" si="12"/>
        <v>7.7195882588410531E-3</v>
      </c>
      <c r="G32" s="2"/>
      <c r="H32" s="6">
        <v>542.73076923076906</v>
      </c>
      <c r="I32" s="2"/>
      <c r="J32" s="7">
        <f t="shared" si="13"/>
        <v>3.6182051282051268E-3</v>
      </c>
      <c r="K32" s="2"/>
      <c r="L32" s="6">
        <f t="shared" si="14"/>
        <v>528.52923076923094</v>
      </c>
      <c r="M32" s="2"/>
      <c r="N32" s="7">
        <f t="shared" si="15"/>
        <v>0.97383317978881789</v>
      </c>
      <c r="O32" s="11"/>
      <c r="P32" s="6">
        <v>4389.2299999999996</v>
      </c>
      <c r="Q32" s="2"/>
      <c r="R32" s="7">
        <f t="shared" si="16"/>
        <v>1.4075595165406673E-2</v>
      </c>
      <c r="S32" s="2"/>
      <c r="T32" s="6">
        <v>1953.8307692307681</v>
      </c>
      <c r="U32" s="2"/>
      <c r="V32" s="7">
        <f t="shared" si="17"/>
        <v>5.9019204628629153E-3</v>
      </c>
      <c r="W32" s="2"/>
      <c r="X32" s="6">
        <f t="shared" si="18"/>
        <v>2435.3992307692315</v>
      </c>
      <c r="Y32" s="2"/>
      <c r="Z32" s="7">
        <f t="shared" si="19"/>
        <v>1.2464739879841584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589.35</v>
      </c>
      <c r="E33" s="2"/>
      <c r="F33" s="7">
        <f t="shared" si="12"/>
        <v>4.2469048973619618E-3</v>
      </c>
      <c r="G33" s="2"/>
      <c r="H33" s="6">
        <v>1388.07826923077</v>
      </c>
      <c r="I33" s="2"/>
      <c r="J33" s="7">
        <f t="shared" si="13"/>
        <v>9.2538551282051341E-3</v>
      </c>
      <c r="K33" s="2"/>
      <c r="L33" s="6">
        <f t="shared" si="14"/>
        <v>-798.72826923077002</v>
      </c>
      <c r="M33" s="2"/>
      <c r="N33" s="7">
        <f t="shared" si="15"/>
        <v>-0.57542019563017899</v>
      </c>
      <c r="O33" s="11"/>
      <c r="P33" s="6">
        <v>5210.9799999999996</v>
      </c>
      <c r="Q33" s="2"/>
      <c r="R33" s="7">
        <f t="shared" si="16"/>
        <v>1.6710822831118639E-2</v>
      </c>
      <c r="S33" s="2"/>
      <c r="T33" s="6">
        <v>4093.7472692307738</v>
      </c>
      <c r="U33" s="2"/>
      <c r="V33" s="7">
        <f t="shared" si="17"/>
        <v>1.2365948555296099E-2</v>
      </c>
      <c r="W33" s="2"/>
      <c r="X33" s="6">
        <f t="shared" si="18"/>
        <v>1117.2327307692258</v>
      </c>
      <c r="Y33" s="2"/>
      <c r="Z33" s="7">
        <f t="shared" si="19"/>
        <v>0.27291199414446432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348.81</v>
      </c>
      <c r="E34" s="2"/>
      <c r="F34" s="7">
        <f t="shared" si="12"/>
        <v>2.5135537409838394E-3</v>
      </c>
      <c r="G34" s="2"/>
      <c r="H34" s="6">
        <v>300</v>
      </c>
      <c r="I34" s="2"/>
      <c r="J34" s="7">
        <f t="shared" si="13"/>
        <v>2E-3</v>
      </c>
      <c r="K34" s="2"/>
      <c r="L34" s="6">
        <f t="shared" si="14"/>
        <v>48.81</v>
      </c>
      <c r="M34" s="2"/>
      <c r="N34" s="7">
        <f t="shared" si="15"/>
        <v>0.16270000000000001</v>
      </c>
      <c r="O34" s="11"/>
      <c r="P34" s="6">
        <v>1314.16</v>
      </c>
      <c r="Q34" s="2"/>
      <c r="R34" s="7">
        <f t="shared" si="16"/>
        <v>4.2143118821685891E-3</v>
      </c>
      <c r="S34" s="2"/>
      <c r="T34" s="6">
        <v>1200</v>
      </c>
      <c r="U34" s="2"/>
      <c r="V34" s="7">
        <f t="shared" si="17"/>
        <v>3.6248300860897147E-3</v>
      </c>
      <c r="W34" s="2"/>
      <c r="X34" s="6">
        <f t="shared" si="18"/>
        <v>114.16000000000008</v>
      </c>
      <c r="Y34" s="2"/>
      <c r="Z34" s="7">
        <f t="shared" si="19"/>
        <v>9.5133333333333403E-2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35545.39</v>
      </c>
      <c r="E35" s="1"/>
      <c r="F35" s="5">
        <f t="shared" ref="F35:F45" si="20">IF(D$12=0,0,D35/D$12)</f>
        <v>0.25614302344895373</v>
      </c>
      <c r="G35" s="1"/>
      <c r="H35" s="1">
        <f>SUM(OSRRefH22_1x_0)</f>
        <v>37102.056346153848</v>
      </c>
      <c r="I35" s="1"/>
      <c r="J35" s="5">
        <f t="shared" ref="J35:J45" si="21">IF(H$12=0,0,H35/H$12)</f>
        <v>0.24734704230769231</v>
      </c>
      <c r="K35" s="1"/>
      <c r="L35" s="1">
        <f t="shared" ref="L35:L45" si="22">+D35-H35</f>
        <v>-1556.6663461538483</v>
      </c>
      <c r="M35" s="1"/>
      <c r="N35" s="5">
        <f t="shared" ref="N35:N45" si="23">IF(H35=0,0,L35/H35)</f>
        <v>-4.1956336102519524E-2</v>
      </c>
      <c r="O35" s="13"/>
      <c r="P35" s="1">
        <f>SUM(OSRRefP22_1x_0)</f>
        <v>101024.98</v>
      </c>
      <c r="Q35" s="1"/>
      <c r="R35" s="5">
        <f t="shared" ref="R35:R45" si="24">IF(P$12=0,0,P35/P$12)</f>
        <v>0.32397179461393133</v>
      </c>
      <c r="S35" s="1"/>
      <c r="T35" s="1">
        <f>SUM(OSRRefT22_1x_0)</f>
        <v>104359.58734615386</v>
      </c>
      <c r="U35" s="1"/>
      <c r="V35" s="5">
        <f t="shared" ref="V35:V45" si="25">IF(T$12=0,0,T35/T$12)</f>
        <v>0.315238143320205</v>
      </c>
      <c r="W35" s="1"/>
      <c r="X35" s="1">
        <f t="shared" ref="X35:X45" si="26">+P35-T35</f>
        <v>-3334.6073461538617</v>
      </c>
      <c r="Y35" s="1"/>
      <c r="Z35" s="5">
        <f t="shared" ref="Z35:Z45" si="27">IF(T35=0,0,X35/T35)</f>
        <v>-3.1953052239399808E-2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6225.71</v>
      </c>
      <c r="E37" s="2"/>
      <c r="F37" s="7">
        <f t="shared" si="20"/>
        <v>4.4862981740146496E-2</v>
      </c>
      <c r="G37" s="2"/>
      <c r="H37" s="6">
        <v>6061.1538461538503</v>
      </c>
      <c r="I37" s="2"/>
      <c r="J37" s="7">
        <f t="shared" si="21"/>
        <v>4.0407692307692332E-2</v>
      </c>
      <c r="K37" s="2"/>
      <c r="L37" s="6">
        <f t="shared" si="22"/>
        <v>164.55615384614975</v>
      </c>
      <c r="M37" s="2"/>
      <c r="N37" s="7">
        <f t="shared" si="23"/>
        <v>2.7149311504536398E-2</v>
      </c>
      <c r="O37" s="11"/>
      <c r="P37" s="6">
        <v>21737.42</v>
      </c>
      <c r="Q37" s="2"/>
      <c r="R37" s="7">
        <f t="shared" si="24"/>
        <v>6.9708610362276366E-2</v>
      </c>
      <c r="S37" s="2"/>
      <c r="T37" s="6">
        <v>21820.153846153858</v>
      </c>
      <c r="U37" s="2"/>
      <c r="V37" s="7">
        <f t="shared" si="25"/>
        <v>6.5911958453870587E-2</v>
      </c>
      <c r="W37" s="2"/>
      <c r="X37" s="6">
        <f t="shared" si="26"/>
        <v>-82.733846153860213</v>
      </c>
      <c r="Y37" s="2"/>
      <c r="Z37" s="7">
        <f t="shared" si="27"/>
        <v>-3.7916252441292176E-3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4143.22</v>
      </c>
      <c r="E39" s="2"/>
      <c r="F39" s="7">
        <f t="shared" si="20"/>
        <v>2.9856386372865067E-2</v>
      </c>
      <c r="G39" s="2"/>
      <c r="H39" s="6">
        <v>3708</v>
      </c>
      <c r="I39" s="2"/>
      <c r="J39" s="7">
        <f t="shared" si="21"/>
        <v>2.4719999999999999E-2</v>
      </c>
      <c r="K39" s="2"/>
      <c r="L39" s="6">
        <f t="shared" si="22"/>
        <v>435.22000000000025</v>
      </c>
      <c r="M39" s="2"/>
      <c r="N39" s="7">
        <f t="shared" si="23"/>
        <v>0.11737324703344128</v>
      </c>
      <c r="O39" s="11"/>
      <c r="P39" s="6">
        <v>13763.85</v>
      </c>
      <c r="Q39" s="2"/>
      <c r="R39" s="7">
        <f t="shared" si="24"/>
        <v>4.4138580233294374E-2</v>
      </c>
      <c r="S39" s="2"/>
      <c r="T39" s="6">
        <v>13348.8</v>
      </c>
      <c r="U39" s="2"/>
      <c r="V39" s="7">
        <f t="shared" si="25"/>
        <v>4.032260987766198E-2</v>
      </c>
      <c r="W39" s="2"/>
      <c r="X39" s="6">
        <f t="shared" si="26"/>
        <v>415.05000000000109</v>
      </c>
      <c r="Y39" s="2"/>
      <c r="Z39" s="7">
        <f t="shared" si="27"/>
        <v>3.1092682488313639E-2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15188.56</v>
      </c>
      <c r="E40" s="2"/>
      <c r="F40" s="7">
        <f t="shared" si="20"/>
        <v>0.10945002095168574</v>
      </c>
      <c r="G40" s="2"/>
      <c r="H40" s="6">
        <v>14197.89</v>
      </c>
      <c r="I40" s="2"/>
      <c r="J40" s="7">
        <f t="shared" si="21"/>
        <v>9.465259999999999E-2</v>
      </c>
      <c r="K40" s="2"/>
      <c r="L40" s="6">
        <f t="shared" si="22"/>
        <v>990.67000000000007</v>
      </c>
      <c r="M40" s="2"/>
      <c r="N40" s="7">
        <f t="shared" si="23"/>
        <v>6.9775861061044997E-2</v>
      </c>
      <c r="O40" s="11"/>
      <c r="P40" s="6">
        <v>31502.37</v>
      </c>
      <c r="Q40" s="2"/>
      <c r="R40" s="7">
        <f t="shared" si="24"/>
        <v>0.10102332456281676</v>
      </c>
      <c r="S40" s="2"/>
      <c r="T40" s="6">
        <v>36835.070999999996</v>
      </c>
      <c r="U40" s="2"/>
      <c r="V40" s="7">
        <f t="shared" si="25"/>
        <v>0.11126739465337561</v>
      </c>
      <c r="W40" s="2"/>
      <c r="X40" s="6">
        <f t="shared" si="26"/>
        <v>-5332.7009999999973</v>
      </c>
      <c r="Y40" s="2"/>
      <c r="Z40" s="7">
        <f t="shared" si="27"/>
        <v>-0.14477238281962312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6.4297310249497933E-4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9987.9</v>
      </c>
      <c r="E42" s="2"/>
      <c r="F42" s="7">
        <f t="shared" si="20"/>
        <v>7.1973634384256441E-2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9987.9</v>
      </c>
      <c r="M42" s="2"/>
      <c r="N42" s="7">
        <f t="shared" si="23"/>
        <v>0</v>
      </c>
      <c r="O42" s="11"/>
      <c r="P42" s="6">
        <v>33820.839999999997</v>
      </c>
      <c r="Q42" s="2"/>
      <c r="R42" s="7">
        <f t="shared" si="24"/>
        <v>0.10845830635304884</v>
      </c>
      <c r="S42" s="2"/>
      <c r="T42" s="6">
        <v>8526.2999999999993</v>
      </c>
      <c r="U42" s="2"/>
      <c r="V42" s="7">
        <f t="shared" si="25"/>
        <v>2.5755323969188941E-2</v>
      </c>
      <c r="W42" s="2"/>
      <c r="X42" s="6">
        <f t="shared" si="26"/>
        <v>25294.539999999997</v>
      </c>
      <c r="Y42" s="2"/>
      <c r="Z42" s="7">
        <f t="shared" si="27"/>
        <v>2.966649074041495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13135.012499999999</v>
      </c>
      <c r="I43" s="2"/>
      <c r="J43" s="7">
        <f t="shared" si="21"/>
        <v>8.7566749999999999E-2</v>
      </c>
      <c r="K43" s="2"/>
      <c r="L43" s="6">
        <f t="shared" si="22"/>
        <v>-13135.012499999999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23829.262500000001</v>
      </c>
      <c r="U43" s="2"/>
      <c r="V43" s="7">
        <f t="shared" si="25"/>
        <v>7.1980856366107834E-2</v>
      </c>
      <c r="W43" s="2"/>
      <c r="X43" s="6">
        <f t="shared" si="26"/>
        <v>-23829.262500000001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575.12</v>
      </c>
      <c r="E46" s="1"/>
      <c r="F46" s="5">
        <f t="shared" ref="F46:F55" si="28">IF(D$12=0,0,D46/D$12)</f>
        <v>4.1443623391377131E-3</v>
      </c>
      <c r="G46" s="1"/>
      <c r="H46" s="1">
        <f>SUM(OSRRefH22_2x_0)</f>
        <v>200</v>
      </c>
      <c r="I46" s="1"/>
      <c r="J46" s="5">
        <f t="shared" ref="J46:J55" si="29">IF(H$12=0,0,H46/H$12)</f>
        <v>1.3333333333333333E-3</v>
      </c>
      <c r="K46" s="1"/>
      <c r="L46" s="1">
        <f t="shared" ref="L46:L55" si="30">+D46-H46</f>
        <v>375.12</v>
      </c>
      <c r="M46" s="1"/>
      <c r="N46" s="5">
        <f t="shared" ref="N46:N55" si="31">IF(H46=0,0,L46/H46)</f>
        <v>1.8755999999999999</v>
      </c>
      <c r="O46" s="13"/>
      <c r="P46" s="1">
        <f>SUM(OSRRefP22_2x_0)</f>
        <v>2588.98</v>
      </c>
      <c r="Q46" s="1"/>
      <c r="R46" s="5">
        <f t="shared" ref="R46:R55" si="32">IF(P$12=0,0,P46/P$12)</f>
        <v>8.3024663486157193E-3</v>
      </c>
      <c r="S46" s="1"/>
      <c r="T46" s="1">
        <f>SUM(OSRRefT22_2x_0)</f>
        <v>1300</v>
      </c>
      <c r="U46" s="1"/>
      <c r="V46" s="5">
        <f t="shared" ref="V46:V55" si="33">IF(T$12=0,0,T46/T$12)</f>
        <v>3.9268992599305243E-3</v>
      </c>
      <c r="W46" s="1"/>
      <c r="X46" s="1">
        <f t="shared" ref="X46:X55" si="34">+P46-T46</f>
        <v>1288.98</v>
      </c>
      <c r="Y46" s="1"/>
      <c r="Z46" s="5">
        <f t="shared" ref="Z46:Z55" si="35">IF(T46=0,0,X46/T46)</f>
        <v>0.99152307692307695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575.12</v>
      </c>
      <c r="E47" s="2"/>
      <c r="F47" s="7">
        <f t="shared" si="28"/>
        <v>4.1443623391377131E-3</v>
      </c>
      <c r="G47" s="2"/>
      <c r="H47" s="6">
        <v>200</v>
      </c>
      <c r="I47" s="2"/>
      <c r="J47" s="7">
        <f t="shared" si="29"/>
        <v>1.3333333333333333E-3</v>
      </c>
      <c r="K47" s="2"/>
      <c r="L47" s="6">
        <f t="shared" si="30"/>
        <v>375.12</v>
      </c>
      <c r="M47" s="2"/>
      <c r="N47" s="7">
        <f t="shared" si="31"/>
        <v>1.8755999999999999</v>
      </c>
      <c r="O47" s="11"/>
      <c r="P47" s="6">
        <v>2588.98</v>
      </c>
      <c r="Q47" s="2"/>
      <c r="R47" s="7">
        <f t="shared" si="32"/>
        <v>8.3024663486157193E-3</v>
      </c>
      <c r="S47" s="2"/>
      <c r="T47" s="6">
        <v>1300</v>
      </c>
      <c r="U47" s="2"/>
      <c r="V47" s="7">
        <f t="shared" si="33"/>
        <v>3.9268992599305243E-3</v>
      </c>
      <c r="W47" s="2"/>
      <c r="X47" s="6">
        <f t="shared" si="34"/>
        <v>1288.98</v>
      </c>
      <c r="Y47" s="2"/>
      <c r="Z47" s="7">
        <f t="shared" si="35"/>
        <v>0.99152307692307695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-8.65</v>
      </c>
      <c r="E48" s="1"/>
      <c r="F48" s="5">
        <f t="shared" si="28"/>
        <v>-6.2332616207993498E-5</v>
      </c>
      <c r="G48" s="1"/>
      <c r="H48" s="1">
        <f>SUM(OSRRefH22_3x_0)</f>
        <v>10</v>
      </c>
      <c r="I48" s="1"/>
      <c r="J48" s="5">
        <f t="shared" si="29"/>
        <v>6.666666666666667E-5</v>
      </c>
      <c r="K48" s="1"/>
      <c r="L48" s="1">
        <f t="shared" si="30"/>
        <v>-18.649999999999999</v>
      </c>
      <c r="M48" s="1"/>
      <c r="N48" s="5">
        <f t="shared" si="31"/>
        <v>-1.8649999999999998</v>
      </c>
      <c r="O48" s="13"/>
      <c r="P48" s="1">
        <f>SUM(OSRRefP22_3x_0)</f>
        <v>-6.62</v>
      </c>
      <c r="Q48" s="1"/>
      <c r="R48" s="5">
        <f t="shared" si="32"/>
        <v>-2.1229336351704555E-5</v>
      </c>
      <c r="S48" s="1"/>
      <c r="T48" s="1">
        <f>SUM(OSRRefT22_3x_0)</f>
        <v>40</v>
      </c>
      <c r="U48" s="1"/>
      <c r="V48" s="5">
        <f t="shared" si="33"/>
        <v>1.2082766953632382E-4</v>
      </c>
      <c r="W48" s="1"/>
      <c r="X48" s="1">
        <f t="shared" si="34"/>
        <v>-46.62</v>
      </c>
      <c r="Y48" s="1"/>
      <c r="Z48" s="5">
        <f t="shared" si="35"/>
        <v>-1.1655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-8.65</v>
      </c>
      <c r="E49" s="2"/>
      <c r="F49" s="7">
        <f t="shared" si="28"/>
        <v>-6.2332616207993498E-5</v>
      </c>
      <c r="G49" s="2"/>
      <c r="H49" s="6">
        <v>10</v>
      </c>
      <c r="I49" s="2"/>
      <c r="J49" s="7">
        <f t="shared" si="29"/>
        <v>6.666666666666667E-5</v>
      </c>
      <c r="K49" s="2"/>
      <c r="L49" s="6">
        <f t="shared" si="30"/>
        <v>-18.649999999999999</v>
      </c>
      <c r="M49" s="2"/>
      <c r="N49" s="7">
        <f t="shared" si="31"/>
        <v>-1.8649999999999998</v>
      </c>
      <c r="O49" s="11"/>
      <c r="P49" s="6">
        <v>-6.62</v>
      </c>
      <c r="Q49" s="2"/>
      <c r="R49" s="7">
        <f t="shared" si="32"/>
        <v>-2.1229336351704555E-5</v>
      </c>
      <c r="S49" s="2"/>
      <c r="T49" s="6">
        <v>40</v>
      </c>
      <c r="U49" s="2"/>
      <c r="V49" s="7">
        <f t="shared" si="33"/>
        <v>1.2082766953632382E-4</v>
      </c>
      <c r="W49" s="2"/>
      <c r="X49" s="6">
        <f t="shared" si="34"/>
        <v>-46.62</v>
      </c>
      <c r="Y49" s="2"/>
      <c r="Z49" s="7">
        <f t="shared" si="35"/>
        <v>-1.1655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5588.45</v>
      </c>
      <c r="E50" s="1"/>
      <c r="F50" s="5">
        <f t="shared" si="28"/>
        <v>4.0270833415903033E-2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5588.45</v>
      </c>
      <c r="M50" s="1"/>
      <c r="N50" s="5">
        <f t="shared" si="31"/>
        <v>0</v>
      </c>
      <c r="O50" s="13"/>
      <c r="P50" s="1">
        <f>SUM(OSRRefP22_4x_0)</f>
        <v>11981.29</v>
      </c>
      <c r="Q50" s="1"/>
      <c r="R50" s="5">
        <f t="shared" si="32"/>
        <v>3.8422180564548984E-2</v>
      </c>
      <c r="S50" s="1"/>
      <c r="T50" s="1">
        <f>SUM(OSRRefT22_4x_0)</f>
        <v>850</v>
      </c>
      <c r="U50" s="1"/>
      <c r="V50" s="5">
        <f t="shared" si="33"/>
        <v>2.5675879776468811E-3</v>
      </c>
      <c r="W50" s="1"/>
      <c r="X50" s="1">
        <f t="shared" si="34"/>
        <v>11131.29</v>
      </c>
      <c r="Y50" s="1"/>
      <c r="Z50" s="5">
        <f t="shared" si="35"/>
        <v>13.095635294117647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5588.45</v>
      </c>
      <c r="E51" s="2"/>
      <c r="F51" s="7">
        <f t="shared" si="28"/>
        <v>4.0270833415903033E-2</v>
      </c>
      <c r="G51" s="2"/>
      <c r="H51" s="6"/>
      <c r="I51" s="2"/>
      <c r="J51" s="7">
        <f t="shared" si="29"/>
        <v>0</v>
      </c>
      <c r="K51" s="2"/>
      <c r="L51" s="6">
        <f t="shared" si="30"/>
        <v>5588.45</v>
      </c>
      <c r="M51" s="2"/>
      <c r="N51" s="7">
        <f t="shared" si="31"/>
        <v>0</v>
      </c>
      <c r="O51" s="11"/>
      <c r="P51" s="6">
        <v>11981.29</v>
      </c>
      <c r="Q51" s="2"/>
      <c r="R51" s="7">
        <f t="shared" si="32"/>
        <v>3.8422180564548984E-2</v>
      </c>
      <c r="S51" s="2"/>
      <c r="T51" s="6">
        <v>850</v>
      </c>
      <c r="U51" s="2"/>
      <c r="V51" s="7">
        <f t="shared" si="33"/>
        <v>2.5675879776468811E-3</v>
      </c>
      <c r="W51" s="2"/>
      <c r="X51" s="6">
        <f t="shared" si="34"/>
        <v>11131.29</v>
      </c>
      <c r="Y51" s="2"/>
      <c r="Z51" s="7">
        <f t="shared" si="35"/>
        <v>13.095635294117647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13266.91</v>
      </c>
      <c r="E52" s="1"/>
      <c r="F52" s="5">
        <f t="shared" si="28"/>
        <v>9.5602451941733058E-2</v>
      </c>
      <c r="G52" s="1"/>
      <c r="H52" s="1">
        <f>SUM(OSRRefH22_5x_0)</f>
        <v>13683</v>
      </c>
      <c r="I52" s="1"/>
      <c r="J52" s="5">
        <f t="shared" si="29"/>
        <v>9.1219999999999996E-2</v>
      </c>
      <c r="K52" s="1"/>
      <c r="L52" s="1">
        <f t="shared" si="30"/>
        <v>-416.09000000000015</v>
      </c>
      <c r="M52" s="1"/>
      <c r="N52" s="5">
        <f t="shared" si="31"/>
        <v>-3.0409266973616907E-2</v>
      </c>
      <c r="O52" s="13"/>
      <c r="P52" s="1">
        <f>SUM(OSRRefP22_5x_0)</f>
        <v>53067.64</v>
      </c>
      <c r="Q52" s="1"/>
      <c r="R52" s="5">
        <f t="shared" si="32"/>
        <v>0.17017987597449707</v>
      </c>
      <c r="S52" s="1"/>
      <c r="T52" s="1">
        <f>SUM(OSRRefT22_5x_0)</f>
        <v>53481</v>
      </c>
      <c r="U52" s="1"/>
      <c r="V52" s="5">
        <f t="shared" si="33"/>
        <v>0.16154961486180336</v>
      </c>
      <c r="W52" s="1"/>
      <c r="X52" s="1">
        <f t="shared" si="34"/>
        <v>-413.36000000000058</v>
      </c>
      <c r="Y52" s="1"/>
      <c r="Z52" s="5">
        <f t="shared" si="35"/>
        <v>-7.7291000542248755E-3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7.6474265456957527E-2</v>
      </c>
      <c r="G53" s="2"/>
      <c r="H53" s="6">
        <v>10612</v>
      </c>
      <c r="I53" s="2"/>
      <c r="J53" s="7">
        <f t="shared" si="29"/>
        <v>7.0746666666666666E-2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42449.84</v>
      </c>
      <c r="Q53" s="2"/>
      <c r="R53" s="7">
        <f t="shared" si="32"/>
        <v>0.13613020112326918</v>
      </c>
      <c r="S53" s="2"/>
      <c r="T53" s="6">
        <v>42448</v>
      </c>
      <c r="U53" s="2"/>
      <c r="V53" s="7">
        <f t="shared" si="33"/>
        <v>0.12822232291194682</v>
      </c>
      <c r="W53" s="2"/>
      <c r="X53" s="6">
        <f t="shared" si="34"/>
        <v>1.8399999999965075</v>
      </c>
      <c r="Y53" s="2"/>
      <c r="Z53" s="7">
        <f t="shared" si="35"/>
        <v>4.3347154165013841E-5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2654.45</v>
      </c>
      <c r="E54" s="2"/>
      <c r="F54" s="7">
        <f t="shared" si="28"/>
        <v>1.9128186484775527E-2</v>
      </c>
      <c r="G54" s="2"/>
      <c r="H54" s="6">
        <v>2654</v>
      </c>
      <c r="I54" s="2"/>
      <c r="J54" s="7">
        <f t="shared" si="29"/>
        <v>1.7693333333333332E-2</v>
      </c>
      <c r="K54" s="2"/>
      <c r="L54" s="6">
        <f t="shared" si="30"/>
        <v>0.4499999999998181</v>
      </c>
      <c r="M54" s="2"/>
      <c r="N54" s="7">
        <f t="shared" si="31"/>
        <v>1.6955538809337533E-4</v>
      </c>
      <c r="O54" s="11"/>
      <c r="P54" s="6">
        <v>10617.8</v>
      </c>
      <c r="Q54" s="2"/>
      <c r="R54" s="7">
        <f t="shared" si="32"/>
        <v>3.4049674851227889E-2</v>
      </c>
      <c r="S54" s="2"/>
      <c r="T54" s="6">
        <v>10616</v>
      </c>
      <c r="U54" s="2"/>
      <c r="V54" s="7">
        <f t="shared" si="33"/>
        <v>3.2067663494940342E-2</v>
      </c>
      <c r="W54" s="2"/>
      <c r="X54" s="6">
        <f t="shared" si="34"/>
        <v>1.7999999999992724</v>
      </c>
      <c r="Y54" s="2"/>
      <c r="Z54" s="7">
        <f t="shared" si="35"/>
        <v>1.6955538809337533E-4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417</v>
      </c>
      <c r="I55" s="2"/>
      <c r="J55" s="7">
        <f t="shared" si="29"/>
        <v>2.7799999999999999E-3</v>
      </c>
      <c r="K55" s="2"/>
      <c r="L55" s="6">
        <f t="shared" si="30"/>
        <v>-417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417</v>
      </c>
      <c r="U55" s="2"/>
      <c r="V55" s="7">
        <f t="shared" si="33"/>
        <v>1.2596284549161757E-3</v>
      </c>
      <c r="W55" s="2"/>
      <c r="X55" s="6">
        <f t="shared" si="34"/>
        <v>-417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33.28</v>
      </c>
      <c r="E56" s="1"/>
      <c r="F56" s="5">
        <f t="shared" ref="F56:F69" si="36">IF(D$12=0,0,D56/D$12)</f>
        <v>2.3981843553780619E-4</v>
      </c>
      <c r="G56" s="1"/>
      <c r="H56" s="1">
        <f>SUM(OSRRefH22_6x_0)</f>
        <v>25</v>
      </c>
      <c r="I56" s="1"/>
      <c r="J56" s="5">
        <f t="shared" ref="J56:J69" si="37">IF(H$12=0,0,H56/H$12)</f>
        <v>1.6666666666666666E-4</v>
      </c>
      <c r="K56" s="1"/>
      <c r="L56" s="1">
        <f t="shared" ref="L56:L69" si="38">+D56-H56</f>
        <v>8.2800000000000011</v>
      </c>
      <c r="M56" s="1"/>
      <c r="N56" s="5">
        <f t="shared" ref="N56:N69" si="39">IF(H56=0,0,L56/H56)</f>
        <v>0.33120000000000005</v>
      </c>
      <c r="O56" s="13"/>
      <c r="P56" s="1">
        <f>SUM(OSRRefP22_6x_0)</f>
        <v>48.63</v>
      </c>
      <c r="Q56" s="1"/>
      <c r="R56" s="5">
        <f t="shared" ref="R56:R69" si="40">IF(P$12=0,0,P56/P$12)</f>
        <v>1.5594903727845808E-4</v>
      </c>
      <c r="S56" s="1"/>
      <c r="T56" s="1">
        <f>SUM(OSRRefT22_6x_0)</f>
        <v>100</v>
      </c>
      <c r="U56" s="1"/>
      <c r="V56" s="5">
        <f t="shared" ref="V56:V69" si="41">IF(T$12=0,0,T56/T$12)</f>
        <v>3.0206917384080956E-4</v>
      </c>
      <c r="W56" s="1"/>
      <c r="X56" s="1">
        <f t="shared" ref="X56:X69" si="42">+P56-T56</f>
        <v>-51.37</v>
      </c>
      <c r="Y56" s="1"/>
      <c r="Z56" s="5">
        <f t="shared" ref="Z56:Z69" si="43">IF(T56=0,0,X56/T56)</f>
        <v>-0.51369999999999993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33.28</v>
      </c>
      <c r="E57" s="2"/>
      <c r="F57" s="7">
        <f t="shared" si="36"/>
        <v>2.3981843553780619E-4</v>
      </c>
      <c r="G57" s="2"/>
      <c r="H57" s="6">
        <v>25</v>
      </c>
      <c r="I57" s="2"/>
      <c r="J57" s="7">
        <f t="shared" si="37"/>
        <v>1.6666666666666666E-4</v>
      </c>
      <c r="K57" s="2"/>
      <c r="L57" s="6">
        <f t="shared" si="38"/>
        <v>8.2800000000000011</v>
      </c>
      <c r="M57" s="2"/>
      <c r="N57" s="7">
        <f t="shared" si="39"/>
        <v>0.33120000000000005</v>
      </c>
      <c r="O57" s="11"/>
      <c r="P57" s="6">
        <v>48.63</v>
      </c>
      <c r="Q57" s="2"/>
      <c r="R57" s="7">
        <f t="shared" si="40"/>
        <v>1.5594903727845808E-4</v>
      </c>
      <c r="S57" s="2"/>
      <c r="T57" s="6">
        <v>100</v>
      </c>
      <c r="U57" s="2"/>
      <c r="V57" s="7">
        <f t="shared" si="41"/>
        <v>3.0206917384080956E-4</v>
      </c>
      <c r="W57" s="2"/>
      <c r="X57" s="6">
        <f t="shared" si="42"/>
        <v>-51.37</v>
      </c>
      <c r="Y57" s="2"/>
      <c r="Z57" s="7">
        <f t="shared" si="43"/>
        <v>-0.51369999999999993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123.73</v>
      </c>
      <c r="E58" s="1"/>
      <c r="F58" s="5">
        <f t="shared" si="36"/>
        <v>8.9160862467225837E-4</v>
      </c>
      <c r="G58" s="1"/>
      <c r="H58" s="1">
        <f>SUM(OSRRefH22_7x_0)</f>
        <v>125</v>
      </c>
      <c r="I58" s="1"/>
      <c r="J58" s="5">
        <f t="shared" si="37"/>
        <v>8.3333333333333339E-4</v>
      </c>
      <c r="K58" s="1"/>
      <c r="L58" s="1">
        <f t="shared" si="38"/>
        <v>-1.269999999999996</v>
      </c>
      <c r="M58" s="1"/>
      <c r="N58" s="5">
        <f t="shared" si="39"/>
        <v>-1.0159999999999968E-2</v>
      </c>
      <c r="O58" s="13"/>
      <c r="P58" s="1">
        <f>SUM(OSRRefP22_7x_0)</f>
        <v>472.93</v>
      </c>
      <c r="Q58" s="1"/>
      <c r="R58" s="5">
        <f t="shared" si="40"/>
        <v>1.5166148097902773E-3</v>
      </c>
      <c r="S58" s="1"/>
      <c r="T58" s="1">
        <f>SUM(OSRRefT22_7x_0)</f>
        <v>500</v>
      </c>
      <c r="U58" s="1"/>
      <c r="V58" s="5">
        <f t="shared" si="41"/>
        <v>1.5103458692040477E-3</v>
      </c>
      <c r="W58" s="1"/>
      <c r="X58" s="1">
        <f t="shared" si="42"/>
        <v>-27.069999999999993</v>
      </c>
      <c r="Y58" s="1"/>
      <c r="Z58" s="5">
        <f t="shared" si="43"/>
        <v>-5.4139999999999987E-2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123.73</v>
      </c>
      <c r="E59" s="2"/>
      <c r="F59" s="7">
        <f t="shared" si="36"/>
        <v>8.9160862467225837E-4</v>
      </c>
      <c r="G59" s="2"/>
      <c r="H59" s="6">
        <v>125</v>
      </c>
      <c r="I59" s="2"/>
      <c r="J59" s="7">
        <f t="shared" si="37"/>
        <v>8.3333333333333339E-4</v>
      </c>
      <c r="K59" s="2"/>
      <c r="L59" s="6">
        <f t="shared" si="38"/>
        <v>-1.269999999999996</v>
      </c>
      <c r="M59" s="2"/>
      <c r="N59" s="7">
        <f t="shared" si="39"/>
        <v>-1.0159999999999968E-2</v>
      </c>
      <c r="O59" s="11"/>
      <c r="P59" s="6">
        <v>472.93</v>
      </c>
      <c r="Q59" s="2"/>
      <c r="R59" s="7">
        <f t="shared" si="40"/>
        <v>1.5166148097902773E-3</v>
      </c>
      <c r="S59" s="2"/>
      <c r="T59" s="6">
        <v>500</v>
      </c>
      <c r="U59" s="2"/>
      <c r="V59" s="7">
        <f t="shared" si="41"/>
        <v>1.5103458692040477E-3</v>
      </c>
      <c r="W59" s="2"/>
      <c r="X59" s="6">
        <f t="shared" si="42"/>
        <v>-27.069999999999993</v>
      </c>
      <c r="Y59" s="2"/>
      <c r="Z59" s="7">
        <f t="shared" si="43"/>
        <v>-5.4139999999999987E-2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3"/>
      <c r="P60" s="1">
        <f>SUM(OSRRefP22_8x_0)</f>
        <v>1354.55</v>
      </c>
      <c r="Q60" s="1"/>
      <c r="R60" s="5">
        <f t="shared" si="40"/>
        <v>4.343836488701118E-3</v>
      </c>
      <c r="S60" s="1"/>
      <c r="T60" s="1">
        <f>SUM(OSRRefT22_8x_0)</f>
        <v>1400</v>
      </c>
      <c r="U60" s="1"/>
      <c r="V60" s="5">
        <f t="shared" si="41"/>
        <v>4.2289684337713336E-3</v>
      </c>
      <c r="W60" s="1"/>
      <c r="X60" s="1">
        <f t="shared" si="42"/>
        <v>-45.450000000000045</v>
      </c>
      <c r="Y60" s="1"/>
      <c r="Z60" s="5">
        <f t="shared" si="43"/>
        <v>-3.2464285714285744E-2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1354.55</v>
      </c>
      <c r="Q61" s="2"/>
      <c r="R61" s="7">
        <f t="shared" si="40"/>
        <v>4.343836488701118E-3</v>
      </c>
      <c r="S61" s="2"/>
      <c r="T61" s="6">
        <v>1400</v>
      </c>
      <c r="U61" s="2"/>
      <c r="V61" s="7">
        <f t="shared" si="41"/>
        <v>4.2289684337713336E-3</v>
      </c>
      <c r="W61" s="2"/>
      <c r="X61" s="6">
        <f t="shared" si="42"/>
        <v>-45.450000000000045</v>
      </c>
      <c r="Y61" s="2"/>
      <c r="Z61" s="7">
        <f t="shared" si="43"/>
        <v>-3.2464285714285744E-2</v>
      </c>
    </row>
    <row r="62" spans="1:26" s="26" customFormat="1" outlineLevel="1" collapsed="1" x14ac:dyDescent="0.25">
      <c r="A62" s="25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4.6211167770938803E-3</v>
      </c>
      <c r="G62" s="1"/>
      <c r="H62" s="1">
        <f>SUM(OSRRefH22_9x_0)</f>
        <v>604</v>
      </c>
      <c r="I62" s="1"/>
      <c r="J62" s="5">
        <f t="shared" si="37"/>
        <v>4.0266666666666662E-3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2565.12</v>
      </c>
      <c r="Q62" s="1"/>
      <c r="R62" s="5">
        <f t="shared" si="40"/>
        <v>8.2259509459946204E-3</v>
      </c>
      <c r="S62" s="1"/>
      <c r="T62" s="1">
        <f>SUM(OSRRefT22_9x_0)</f>
        <v>2416</v>
      </c>
      <c r="U62" s="1"/>
      <c r="V62" s="5">
        <f t="shared" si="41"/>
        <v>7.2979912399939589E-3</v>
      </c>
      <c r="W62" s="1"/>
      <c r="X62" s="1">
        <f t="shared" si="42"/>
        <v>149.11999999999989</v>
      </c>
      <c r="Y62" s="1"/>
      <c r="Z62" s="5">
        <f t="shared" si="43"/>
        <v>6.1721854304635719E-2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6"/>
        <v>4.6211167770938803E-3</v>
      </c>
      <c r="G63" s="2"/>
      <c r="H63" s="6">
        <v>604</v>
      </c>
      <c r="I63" s="2"/>
      <c r="J63" s="7">
        <f t="shared" si="37"/>
        <v>4.0266666666666662E-3</v>
      </c>
      <c r="K63" s="2"/>
      <c r="L63" s="6">
        <f t="shared" si="38"/>
        <v>37.279999999999973</v>
      </c>
      <c r="M63" s="2"/>
      <c r="N63" s="7">
        <f t="shared" si="39"/>
        <v>6.1721854304635719E-2</v>
      </c>
      <c r="O63" s="11"/>
      <c r="P63" s="6">
        <v>2565.12</v>
      </c>
      <c r="Q63" s="2"/>
      <c r="R63" s="7">
        <f t="shared" si="40"/>
        <v>8.2259509459946204E-3</v>
      </c>
      <c r="S63" s="2"/>
      <c r="T63" s="6">
        <v>2416</v>
      </c>
      <c r="U63" s="2"/>
      <c r="V63" s="7">
        <f t="shared" si="41"/>
        <v>7.2979912399939589E-3</v>
      </c>
      <c r="W63" s="2"/>
      <c r="X63" s="6">
        <f t="shared" si="42"/>
        <v>149.11999999999989</v>
      </c>
      <c r="Y63" s="2"/>
      <c r="Z63" s="7">
        <f t="shared" si="43"/>
        <v>6.1721854304635719E-2</v>
      </c>
    </row>
    <row r="64" spans="1:26" s="26" customFormat="1" outlineLevel="1" collapsed="1" x14ac:dyDescent="0.25">
      <c r="A64" s="25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7733.05</v>
      </c>
      <c r="E64" s="1"/>
      <c r="F64" s="5">
        <f t="shared" si="36"/>
        <v>5.5724998585806255E-2</v>
      </c>
      <c r="G64" s="1"/>
      <c r="H64" s="1">
        <f>SUM(OSRRefH22_10x_0)</f>
        <v>7754</v>
      </c>
      <c r="I64" s="1"/>
      <c r="J64" s="5">
        <f t="shared" si="37"/>
        <v>5.1693333333333334E-2</v>
      </c>
      <c r="K64" s="1"/>
      <c r="L64" s="1">
        <f t="shared" si="38"/>
        <v>-20.949999999999818</v>
      </c>
      <c r="M64" s="1"/>
      <c r="N64" s="5">
        <f t="shared" si="39"/>
        <v>-2.7018313128707528E-3</v>
      </c>
      <c r="O64" s="13"/>
      <c r="P64" s="1">
        <f>SUM(OSRRefP22_10x_0)</f>
        <v>30623.05</v>
      </c>
      <c r="Q64" s="1"/>
      <c r="R64" s="5">
        <f t="shared" si="40"/>
        <v>9.820347863520637E-2</v>
      </c>
      <c r="S64" s="1"/>
      <c r="T64" s="1">
        <f>SUM(OSRRefT22_10x_0)</f>
        <v>31016</v>
      </c>
      <c r="U64" s="1"/>
      <c r="V64" s="5">
        <f t="shared" si="41"/>
        <v>9.3689774958465491E-2</v>
      </c>
      <c r="W64" s="1"/>
      <c r="X64" s="1">
        <f t="shared" si="42"/>
        <v>-392.95000000000073</v>
      </c>
      <c r="Y64" s="1"/>
      <c r="Z64" s="5">
        <f t="shared" si="43"/>
        <v>-1.2669267474851713E-2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7733.05</v>
      </c>
      <c r="E65" s="2"/>
      <c r="F65" s="7">
        <f t="shared" si="36"/>
        <v>5.5724998585806255E-2</v>
      </c>
      <c r="G65" s="2"/>
      <c r="H65" s="6">
        <v>7754</v>
      </c>
      <c r="I65" s="2"/>
      <c r="J65" s="7">
        <f t="shared" si="37"/>
        <v>5.1693333333333334E-2</v>
      </c>
      <c r="K65" s="2"/>
      <c r="L65" s="6">
        <f t="shared" si="38"/>
        <v>-20.949999999999818</v>
      </c>
      <c r="M65" s="2"/>
      <c r="N65" s="7">
        <f t="shared" si="39"/>
        <v>-2.7018313128707528E-3</v>
      </c>
      <c r="O65" s="11"/>
      <c r="P65" s="6">
        <v>30623.05</v>
      </c>
      <c r="Q65" s="2"/>
      <c r="R65" s="7">
        <f t="shared" si="40"/>
        <v>9.820347863520637E-2</v>
      </c>
      <c r="S65" s="2"/>
      <c r="T65" s="6">
        <v>31016</v>
      </c>
      <c r="U65" s="2"/>
      <c r="V65" s="7">
        <f t="shared" si="41"/>
        <v>9.3689774958465491E-2</v>
      </c>
      <c r="W65" s="2"/>
      <c r="X65" s="6">
        <f t="shared" si="42"/>
        <v>-392.95000000000073</v>
      </c>
      <c r="Y65" s="2"/>
      <c r="Z65" s="7">
        <f t="shared" si="43"/>
        <v>-1.2669267474851713E-2</v>
      </c>
    </row>
    <row r="66" spans="1:26" s="26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7331.38</v>
      </c>
      <c r="E66" s="1"/>
      <c r="F66" s="5">
        <f t="shared" si="36"/>
        <v>5.2830531308087784E-2</v>
      </c>
      <c r="G66" s="1"/>
      <c r="H66" s="1">
        <f>SUM(OSRRefH22_11x_0)</f>
        <v>1200</v>
      </c>
      <c r="I66" s="1"/>
      <c r="J66" s="5">
        <f t="shared" si="37"/>
        <v>8.0000000000000002E-3</v>
      </c>
      <c r="K66" s="1"/>
      <c r="L66" s="1">
        <f t="shared" si="38"/>
        <v>6131.38</v>
      </c>
      <c r="M66" s="1"/>
      <c r="N66" s="5">
        <f t="shared" si="39"/>
        <v>5.1094833333333334</v>
      </c>
      <c r="O66" s="13"/>
      <c r="P66" s="1">
        <f>SUM(OSRRefP22_11x_0)</f>
        <v>11785.529999999999</v>
      </c>
      <c r="Q66" s="1"/>
      <c r="R66" s="5">
        <f t="shared" si="40"/>
        <v>3.7794407923429689E-2</v>
      </c>
      <c r="S66" s="1"/>
      <c r="T66" s="1">
        <f>SUM(OSRRefT22_11x_0)</f>
        <v>6600</v>
      </c>
      <c r="U66" s="1"/>
      <c r="V66" s="5">
        <f t="shared" si="41"/>
        <v>1.9936565473493428E-2</v>
      </c>
      <c r="W66" s="1"/>
      <c r="X66" s="1">
        <f t="shared" si="42"/>
        <v>5185.5299999999988</v>
      </c>
      <c r="Y66" s="1"/>
      <c r="Z66" s="5">
        <f t="shared" si="43"/>
        <v>0.78568636363636346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2623.84</v>
      </c>
      <c r="Q67" s="2"/>
      <c r="R67" s="7">
        <f t="shared" si="40"/>
        <v>8.4142570835432744E-3</v>
      </c>
      <c r="S67" s="2"/>
      <c r="T67" s="6"/>
      <c r="U67" s="2"/>
      <c r="V67" s="7">
        <f t="shared" si="41"/>
        <v>0</v>
      </c>
      <c r="W67" s="2"/>
      <c r="X67" s="6">
        <f t="shared" si="42"/>
        <v>2623.84</v>
      </c>
      <c r="Y67" s="2"/>
      <c r="Z67" s="7">
        <f t="shared" si="43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102.71</v>
      </c>
      <c r="E68" s="2"/>
      <c r="F68" s="7">
        <f t="shared" si="36"/>
        <v>7.401367642454348E-4</v>
      </c>
      <c r="G68" s="2"/>
      <c r="H68" s="6"/>
      <c r="I68" s="2"/>
      <c r="J68" s="7">
        <f t="shared" si="37"/>
        <v>0</v>
      </c>
      <c r="K68" s="2"/>
      <c r="L68" s="6">
        <f t="shared" si="38"/>
        <v>102.71</v>
      </c>
      <c r="M68" s="2"/>
      <c r="N68" s="7">
        <f t="shared" si="39"/>
        <v>0</v>
      </c>
      <c r="O68" s="11"/>
      <c r="P68" s="6">
        <v>102.71</v>
      </c>
      <c r="Q68" s="2"/>
      <c r="R68" s="7">
        <f t="shared" si="40"/>
        <v>3.293753982905702E-4</v>
      </c>
      <c r="S68" s="2"/>
      <c r="T68" s="6"/>
      <c r="U68" s="2"/>
      <c r="V68" s="7">
        <f t="shared" si="41"/>
        <v>0</v>
      </c>
      <c r="W68" s="2"/>
      <c r="X68" s="6">
        <f t="shared" si="42"/>
        <v>102.71</v>
      </c>
      <c r="Y68" s="2"/>
      <c r="Z68" s="7">
        <f t="shared" si="43"/>
        <v>0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7228.67</v>
      </c>
      <c r="E69" s="2"/>
      <c r="F69" s="7">
        <f t="shared" si="36"/>
        <v>5.2090394543842351E-2</v>
      </c>
      <c r="G69" s="2"/>
      <c r="H69" s="6">
        <v>1200</v>
      </c>
      <c r="I69" s="2"/>
      <c r="J69" s="7">
        <f t="shared" si="37"/>
        <v>8.0000000000000002E-3</v>
      </c>
      <c r="K69" s="2"/>
      <c r="L69" s="6">
        <f t="shared" si="38"/>
        <v>6028.67</v>
      </c>
      <c r="M69" s="2"/>
      <c r="N69" s="7">
        <f t="shared" si="39"/>
        <v>5.0238916666666666</v>
      </c>
      <c r="O69" s="11"/>
      <c r="P69" s="6">
        <v>9058.98</v>
      </c>
      <c r="Q69" s="2"/>
      <c r="R69" s="7">
        <f t="shared" si="40"/>
        <v>2.9050775441595848E-2</v>
      </c>
      <c r="S69" s="2"/>
      <c r="T69" s="6">
        <v>6600</v>
      </c>
      <c r="U69" s="2"/>
      <c r="V69" s="7">
        <f t="shared" si="41"/>
        <v>1.9936565473493428E-2</v>
      </c>
      <c r="W69" s="2"/>
      <c r="X69" s="6">
        <f t="shared" si="42"/>
        <v>2458.9799999999996</v>
      </c>
      <c r="Y69" s="2"/>
      <c r="Z69" s="7">
        <f t="shared" si="43"/>
        <v>0.37257272727272722</v>
      </c>
    </row>
    <row r="70" spans="1:26" s="26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4538.13</v>
      </c>
      <c r="E70" s="1"/>
      <c r="F70" s="5">
        <f t="shared" ref="F70:F75" si="44">IF(D$12=0,0,D70/D$12)</f>
        <v>3.2702140530864919E-2</v>
      </c>
      <c r="G70" s="1"/>
      <c r="H70" s="1">
        <f>SUM(OSRRefH22_12x_0)</f>
        <v>4135</v>
      </c>
      <c r="I70" s="1"/>
      <c r="J70" s="5">
        <f t="shared" ref="J70:J75" si="45">IF(H$12=0,0,H70/H$12)</f>
        <v>2.7566666666666666E-2</v>
      </c>
      <c r="K70" s="1"/>
      <c r="L70" s="1">
        <f t="shared" ref="L70:L75" si="46">+D70-H70</f>
        <v>403.13000000000011</v>
      </c>
      <c r="M70" s="1"/>
      <c r="N70" s="5">
        <f t="shared" ref="N70:N75" si="47">IF(H70=0,0,L70/H70)</f>
        <v>9.7492140266021793E-2</v>
      </c>
      <c r="O70" s="13"/>
      <c r="P70" s="1">
        <f>SUM(OSRRefP22_12x_0)</f>
        <v>16795.47</v>
      </c>
      <c r="Q70" s="1"/>
      <c r="R70" s="5">
        <f t="shared" ref="R70:R75" si="48">IF(P$12=0,0,P70/P$12)</f>
        <v>5.3860525953921955E-2</v>
      </c>
      <c r="S70" s="1"/>
      <c r="T70" s="1">
        <f>SUM(OSRRefT22_12x_0)</f>
        <v>16340</v>
      </c>
      <c r="U70" s="1"/>
      <c r="V70" s="5">
        <f t="shared" ref="V70:V75" si="49">IF(T$12=0,0,T70/T$12)</f>
        <v>4.935810300558828E-2</v>
      </c>
      <c r="W70" s="1"/>
      <c r="X70" s="1">
        <f t="shared" ref="X70:X75" si="50">+P70-T70</f>
        <v>455.47000000000116</v>
      </c>
      <c r="Y70" s="1"/>
      <c r="Z70" s="5">
        <f t="shared" ref="Z70:Z75" si="51">IF(T70=0,0,X70/T70)</f>
        <v>2.7874541003672041E-2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328.54</v>
      </c>
      <c r="E71" s="2"/>
      <c r="F71" s="7">
        <f t="shared" si="44"/>
        <v>2.3674864426559751E-3</v>
      </c>
      <c r="G71" s="2"/>
      <c r="H71" s="6">
        <v>350</v>
      </c>
      <c r="I71" s="2"/>
      <c r="J71" s="7">
        <f t="shared" si="45"/>
        <v>2.3333333333333335E-3</v>
      </c>
      <c r="K71" s="2"/>
      <c r="L71" s="6">
        <f t="shared" si="46"/>
        <v>-21.45999999999998</v>
      </c>
      <c r="M71" s="2"/>
      <c r="N71" s="7">
        <f t="shared" si="47"/>
        <v>-6.1314285714285655E-2</v>
      </c>
      <c r="O71" s="11"/>
      <c r="P71" s="6">
        <v>1314.16</v>
      </c>
      <c r="Q71" s="2"/>
      <c r="R71" s="7">
        <f t="shared" si="48"/>
        <v>4.2143118821685891E-3</v>
      </c>
      <c r="S71" s="2"/>
      <c r="T71" s="6">
        <v>1400</v>
      </c>
      <c r="U71" s="2"/>
      <c r="V71" s="7">
        <f t="shared" si="49"/>
        <v>4.2289684337713336E-3</v>
      </c>
      <c r="W71" s="2"/>
      <c r="X71" s="6">
        <f t="shared" si="50"/>
        <v>-85.839999999999918</v>
      </c>
      <c r="Y71" s="2"/>
      <c r="Z71" s="7">
        <f t="shared" si="51"/>
        <v>-6.1314285714285655E-2</v>
      </c>
    </row>
    <row r="72" spans="1:26" s="24" customFormat="1" hidden="1" outlineLevel="2" x14ac:dyDescent="0.25">
      <c r="A72" s="27"/>
      <c r="B72" s="11" t="str">
        <f>CONCATENATE("          ", "6283", " - ", "PLANT SERVICE")</f>
        <v xml:space="preserve">          6283 - PLANT SERVICE</v>
      </c>
      <c r="C72" s="11"/>
      <c r="D72" s="6"/>
      <c r="E72" s="2"/>
      <c r="F72" s="7">
        <f t="shared" si="44"/>
        <v>0</v>
      </c>
      <c r="G72" s="2"/>
      <c r="H72" s="6">
        <v>60</v>
      </c>
      <c r="I72" s="2"/>
      <c r="J72" s="7">
        <f t="shared" si="45"/>
        <v>4.0000000000000002E-4</v>
      </c>
      <c r="K72" s="2"/>
      <c r="L72" s="6">
        <f t="shared" si="46"/>
        <v>-60</v>
      </c>
      <c r="M72" s="2"/>
      <c r="N72" s="7">
        <f t="shared" si="47"/>
        <v>-1</v>
      </c>
      <c r="O72" s="11"/>
      <c r="P72" s="6">
        <v>184.65</v>
      </c>
      <c r="Q72" s="2"/>
      <c r="R72" s="7">
        <f t="shared" si="48"/>
        <v>5.9214455548976526E-4</v>
      </c>
      <c r="S72" s="2"/>
      <c r="T72" s="6">
        <v>240</v>
      </c>
      <c r="U72" s="2"/>
      <c r="V72" s="7">
        <f t="shared" si="49"/>
        <v>7.2496601721794296E-4</v>
      </c>
      <c r="W72" s="2"/>
      <c r="X72" s="6">
        <f t="shared" si="50"/>
        <v>-55.349999999999994</v>
      </c>
      <c r="Y72" s="2"/>
      <c r="Z72" s="7">
        <f t="shared" si="51"/>
        <v>-0.23062499999999997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6">
        <v>623</v>
      </c>
      <c r="E73" s="2"/>
      <c r="F73" s="7">
        <f t="shared" si="44"/>
        <v>4.4893895835352539E-3</v>
      </c>
      <c r="G73" s="2"/>
      <c r="H73" s="6">
        <v>475</v>
      </c>
      <c r="I73" s="2"/>
      <c r="J73" s="7">
        <f t="shared" si="45"/>
        <v>3.1666666666666666E-3</v>
      </c>
      <c r="K73" s="2"/>
      <c r="L73" s="6">
        <f t="shared" si="46"/>
        <v>148</v>
      </c>
      <c r="M73" s="2"/>
      <c r="N73" s="7">
        <f t="shared" si="47"/>
        <v>0.31157894736842107</v>
      </c>
      <c r="O73" s="11"/>
      <c r="P73" s="6">
        <v>1869</v>
      </c>
      <c r="Q73" s="2"/>
      <c r="R73" s="7">
        <f t="shared" si="48"/>
        <v>5.9935996437063162E-3</v>
      </c>
      <c r="S73" s="2"/>
      <c r="T73" s="6">
        <v>1900</v>
      </c>
      <c r="U73" s="2"/>
      <c r="V73" s="7">
        <f t="shared" si="49"/>
        <v>5.7393143029753815E-3</v>
      </c>
      <c r="W73" s="2"/>
      <c r="X73" s="6">
        <f t="shared" si="50"/>
        <v>-31</v>
      </c>
      <c r="Y73" s="2"/>
      <c r="Z73" s="7">
        <f t="shared" si="51"/>
        <v>-1.6315789473684211E-2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>
        <v>3340.95</v>
      </c>
      <c r="E74" s="2"/>
      <c r="F74" s="7">
        <f t="shared" si="44"/>
        <v>2.4075162326022644E-2</v>
      </c>
      <c r="G74" s="2"/>
      <c r="H74" s="6">
        <v>3000</v>
      </c>
      <c r="I74" s="2"/>
      <c r="J74" s="7">
        <f t="shared" si="45"/>
        <v>0.02</v>
      </c>
      <c r="K74" s="2"/>
      <c r="L74" s="6">
        <f t="shared" si="46"/>
        <v>340.94999999999982</v>
      </c>
      <c r="M74" s="2"/>
      <c r="N74" s="7">
        <f t="shared" si="47"/>
        <v>0.11364999999999995</v>
      </c>
      <c r="O74" s="11"/>
      <c r="P74" s="6">
        <v>12463.8</v>
      </c>
      <c r="Q74" s="2"/>
      <c r="R74" s="7">
        <f t="shared" si="48"/>
        <v>3.9969516981929791E-2</v>
      </c>
      <c r="S74" s="2"/>
      <c r="T74" s="6">
        <v>12000</v>
      </c>
      <c r="U74" s="2"/>
      <c r="V74" s="7">
        <f t="shared" si="49"/>
        <v>3.6248300860897142E-2</v>
      </c>
      <c r="W74" s="2"/>
      <c r="X74" s="6">
        <f t="shared" si="50"/>
        <v>463.79999999999927</v>
      </c>
      <c r="Y74" s="2"/>
      <c r="Z74" s="7">
        <f t="shared" si="51"/>
        <v>3.8649999999999941E-2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>
        <v>245.64</v>
      </c>
      <c r="E75" s="2"/>
      <c r="F75" s="7">
        <f t="shared" si="44"/>
        <v>1.7701021786510429E-3</v>
      </c>
      <c r="G75" s="2"/>
      <c r="H75" s="6">
        <v>250</v>
      </c>
      <c r="I75" s="2"/>
      <c r="J75" s="7">
        <f t="shared" si="45"/>
        <v>1.6666666666666668E-3</v>
      </c>
      <c r="K75" s="2"/>
      <c r="L75" s="6">
        <f t="shared" si="46"/>
        <v>-4.3600000000000136</v>
      </c>
      <c r="M75" s="2"/>
      <c r="N75" s="7">
        <f t="shared" si="47"/>
        <v>-1.7440000000000056E-2</v>
      </c>
      <c r="O75" s="11"/>
      <c r="P75" s="6">
        <v>963.86</v>
      </c>
      <c r="Q75" s="2"/>
      <c r="R75" s="7">
        <f t="shared" si="48"/>
        <v>3.0909528906274851E-3</v>
      </c>
      <c r="S75" s="2"/>
      <c r="T75" s="6">
        <v>800</v>
      </c>
      <c r="U75" s="2"/>
      <c r="V75" s="7">
        <f t="shared" si="49"/>
        <v>2.4165533907264765E-3</v>
      </c>
      <c r="W75" s="2"/>
      <c r="X75" s="6">
        <f t="shared" si="50"/>
        <v>163.86</v>
      </c>
      <c r="Y75" s="2"/>
      <c r="Z75" s="7">
        <f t="shared" si="51"/>
        <v>0.20482500000000001</v>
      </c>
    </row>
    <row r="76" spans="1:26" s="26" customFormat="1" outlineLevel="1" collapsed="1" x14ac:dyDescent="0.25">
      <c r="A76" s="25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196.71</v>
      </c>
      <c r="E76" s="1"/>
      <c r="F76" s="5">
        <f t="shared" ref="F76:F86" si="52">IF(D$12=0,0,D76/D$12)</f>
        <v>1.4175085473149597E-3</v>
      </c>
      <c r="G76" s="1"/>
      <c r="H76" s="1">
        <f>SUM(OSRRefH22_13x_0)</f>
        <v>200</v>
      </c>
      <c r="I76" s="1"/>
      <c r="J76" s="5">
        <f t="shared" ref="J76:J86" si="53">IF(H$12=0,0,H76/H$12)</f>
        <v>1.3333333333333333E-3</v>
      </c>
      <c r="K76" s="1"/>
      <c r="L76" s="1">
        <f t="shared" ref="L76:L86" si="54">+D76-H76</f>
        <v>-3.289999999999992</v>
      </c>
      <c r="M76" s="1"/>
      <c r="N76" s="5">
        <f t="shared" ref="N76:N86" si="55">IF(H76=0,0,L76/H76)</f>
        <v>-1.6449999999999961E-2</v>
      </c>
      <c r="O76" s="13"/>
      <c r="P76" s="1">
        <f>SUM(OSRRefP22_13x_0)</f>
        <v>786.84</v>
      </c>
      <c r="Q76" s="1"/>
      <c r="R76" s="5">
        <f t="shared" ref="R76:R86" si="56">IF(P$12=0,0,P76/P$12)</f>
        <v>2.5232765883648357E-3</v>
      </c>
      <c r="S76" s="1"/>
      <c r="T76" s="1">
        <f>SUM(OSRRefT22_13x_0)</f>
        <v>800</v>
      </c>
      <c r="U76" s="1"/>
      <c r="V76" s="5">
        <f t="shared" ref="V76:V86" si="57">IF(T$12=0,0,T76/T$12)</f>
        <v>2.4165533907264765E-3</v>
      </c>
      <c r="W76" s="1"/>
      <c r="X76" s="1">
        <f t="shared" ref="X76:X86" si="58">+P76-T76</f>
        <v>-13.159999999999968</v>
      </c>
      <c r="Y76" s="1"/>
      <c r="Z76" s="5">
        <f t="shared" ref="Z76:Z86" si="59">IF(T76=0,0,X76/T76)</f>
        <v>-1.6449999999999961E-2</v>
      </c>
    </row>
    <row r="77" spans="1:26" s="24" customFormat="1" hidden="1" outlineLevel="2" x14ac:dyDescent="0.25">
      <c r="A77" s="27"/>
      <c r="B77" s="11" t="str">
        <f>CONCATENATE("          ", "6275", " - ", "SUBSCRIPTIONS")</f>
        <v xml:space="preserve">          6275 - SUBSCRIPTIONS</v>
      </c>
      <c r="C77" s="11"/>
      <c r="D77" s="6">
        <v>196.71</v>
      </c>
      <c r="E77" s="2"/>
      <c r="F77" s="7">
        <f t="shared" si="52"/>
        <v>1.4175085473149597E-3</v>
      </c>
      <c r="G77" s="2"/>
      <c r="H77" s="6">
        <v>200</v>
      </c>
      <c r="I77" s="2"/>
      <c r="J77" s="7">
        <f t="shared" si="53"/>
        <v>1.3333333333333333E-3</v>
      </c>
      <c r="K77" s="2"/>
      <c r="L77" s="6">
        <f t="shared" si="54"/>
        <v>-3.289999999999992</v>
      </c>
      <c r="M77" s="2"/>
      <c r="N77" s="7">
        <f t="shared" si="55"/>
        <v>-1.6449999999999961E-2</v>
      </c>
      <c r="O77" s="11"/>
      <c r="P77" s="6">
        <v>786.84</v>
      </c>
      <c r="Q77" s="2"/>
      <c r="R77" s="7">
        <f t="shared" si="56"/>
        <v>2.5232765883648357E-3</v>
      </c>
      <c r="S77" s="2"/>
      <c r="T77" s="6">
        <v>800</v>
      </c>
      <c r="U77" s="2"/>
      <c r="V77" s="7">
        <f t="shared" si="57"/>
        <v>2.4165533907264765E-3</v>
      </c>
      <c r="W77" s="2"/>
      <c r="X77" s="6">
        <f t="shared" si="58"/>
        <v>-13.159999999999968</v>
      </c>
      <c r="Y77" s="2"/>
      <c r="Z77" s="7">
        <f t="shared" si="59"/>
        <v>-1.6449999999999961E-2</v>
      </c>
    </row>
    <row r="78" spans="1:26" s="26" customFormat="1" outlineLevel="1" collapsed="1" x14ac:dyDescent="0.25">
      <c r="A78" s="25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2717.5299999999997</v>
      </c>
      <c r="E78" s="1"/>
      <c r="F78" s="5">
        <f t="shared" si="52"/>
        <v>1.9582746187711969E-2</v>
      </c>
      <c r="G78" s="1"/>
      <c r="H78" s="1">
        <f>SUM(OSRRefH22_14x_0)</f>
        <v>1660</v>
      </c>
      <c r="I78" s="1"/>
      <c r="J78" s="5">
        <f t="shared" si="53"/>
        <v>1.1066666666666667E-2</v>
      </c>
      <c r="K78" s="1"/>
      <c r="L78" s="1">
        <f t="shared" si="54"/>
        <v>1057.5299999999997</v>
      </c>
      <c r="M78" s="1"/>
      <c r="N78" s="5">
        <f t="shared" si="55"/>
        <v>0.63706626506024078</v>
      </c>
      <c r="O78" s="13"/>
      <c r="P78" s="1">
        <f>SUM(OSRRefP22_14x_0)</f>
        <v>11328.369999999999</v>
      </c>
      <c r="Q78" s="1"/>
      <c r="R78" s="5">
        <f t="shared" si="56"/>
        <v>3.6328365112773306E-2</v>
      </c>
      <c r="S78" s="1"/>
      <c r="T78" s="1">
        <f>SUM(OSRRefT22_14x_0)</f>
        <v>7290</v>
      </c>
      <c r="U78" s="1"/>
      <c r="V78" s="5">
        <f t="shared" si="57"/>
        <v>2.2020842772995017E-2</v>
      </c>
      <c r="W78" s="1"/>
      <c r="X78" s="1">
        <f t="shared" si="58"/>
        <v>4038.369999999999</v>
      </c>
      <c r="Y78" s="1"/>
      <c r="Z78" s="5">
        <f t="shared" si="59"/>
        <v>0.55396021947873786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52"/>
        <v>0</v>
      </c>
      <c r="G79" s="2"/>
      <c r="H79" s="6"/>
      <c r="I79" s="2"/>
      <c r="J79" s="7">
        <f t="shared" si="53"/>
        <v>0</v>
      </c>
      <c r="K79" s="2"/>
      <c r="L79" s="6">
        <f t="shared" si="54"/>
        <v>0</v>
      </c>
      <c r="M79" s="2"/>
      <c r="N79" s="7">
        <f t="shared" si="55"/>
        <v>0</v>
      </c>
      <c r="O79" s="11"/>
      <c r="P79" s="6"/>
      <c r="Q79" s="2"/>
      <c r="R79" s="7">
        <f t="shared" si="56"/>
        <v>0</v>
      </c>
      <c r="S79" s="2"/>
      <c r="T79" s="6">
        <v>400</v>
      </c>
      <c r="U79" s="2"/>
      <c r="V79" s="7">
        <f t="shared" si="57"/>
        <v>1.2082766953632382E-3</v>
      </c>
      <c r="W79" s="2"/>
      <c r="X79" s="6">
        <f t="shared" si="58"/>
        <v>-400</v>
      </c>
      <c r="Y79" s="2"/>
      <c r="Z79" s="7">
        <f t="shared" si="59"/>
        <v>-1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>
        <v>1304.79</v>
      </c>
      <c r="E80" s="2"/>
      <c r="F80" s="7">
        <f t="shared" si="52"/>
        <v>9.4024247748009052E-3</v>
      </c>
      <c r="G80" s="2"/>
      <c r="H80" s="6">
        <v>400</v>
      </c>
      <c r="I80" s="2"/>
      <c r="J80" s="7">
        <f t="shared" si="53"/>
        <v>2.6666666666666666E-3</v>
      </c>
      <c r="K80" s="2"/>
      <c r="L80" s="6">
        <f t="shared" si="54"/>
        <v>904.79</v>
      </c>
      <c r="M80" s="2"/>
      <c r="N80" s="7">
        <f t="shared" si="55"/>
        <v>2.2619750000000001</v>
      </c>
      <c r="O80" s="11"/>
      <c r="P80" s="6">
        <v>2807.74</v>
      </c>
      <c r="Q80" s="2"/>
      <c r="R80" s="7">
        <f t="shared" si="56"/>
        <v>9.0039965027394163E-3</v>
      </c>
      <c r="S80" s="2"/>
      <c r="T80" s="6">
        <v>1450</v>
      </c>
      <c r="U80" s="2"/>
      <c r="V80" s="7">
        <f t="shared" si="57"/>
        <v>4.3800030206917386E-3</v>
      </c>
      <c r="W80" s="2"/>
      <c r="X80" s="6">
        <f t="shared" si="58"/>
        <v>1357.7399999999998</v>
      </c>
      <c r="Y80" s="2"/>
      <c r="Z80" s="7">
        <f t="shared" si="59"/>
        <v>0.93637241379310332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>
        <v>43.14</v>
      </c>
      <c r="E81" s="2"/>
      <c r="F81" s="7">
        <f t="shared" si="52"/>
        <v>3.1087041193212018E-4</v>
      </c>
      <c r="G81" s="2"/>
      <c r="H81" s="6"/>
      <c r="I81" s="2"/>
      <c r="J81" s="7">
        <f t="shared" si="53"/>
        <v>0</v>
      </c>
      <c r="K81" s="2"/>
      <c r="L81" s="6">
        <f t="shared" si="54"/>
        <v>43.14</v>
      </c>
      <c r="M81" s="2"/>
      <c r="N81" s="7">
        <f t="shared" si="55"/>
        <v>0</v>
      </c>
      <c r="O81" s="11"/>
      <c r="P81" s="6">
        <v>191.59</v>
      </c>
      <c r="Q81" s="2"/>
      <c r="R81" s="7">
        <f t="shared" si="56"/>
        <v>6.1440008332674858E-4</v>
      </c>
      <c r="S81" s="2"/>
      <c r="T81" s="6">
        <v>450</v>
      </c>
      <c r="U81" s="2"/>
      <c r="V81" s="7">
        <f t="shared" si="57"/>
        <v>1.3593112822836431E-3</v>
      </c>
      <c r="W81" s="2"/>
      <c r="X81" s="6">
        <f t="shared" si="58"/>
        <v>-258.40999999999997</v>
      </c>
      <c r="Y81" s="2"/>
      <c r="Z81" s="7">
        <f t="shared" si="59"/>
        <v>-0.57424444444444434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>
        <v>194.81</v>
      </c>
      <c r="E82" s="2"/>
      <c r="F82" s="7">
        <f t="shared" si="52"/>
        <v>1.4038169899975969E-3</v>
      </c>
      <c r="G82" s="2"/>
      <c r="H82" s="6">
        <v>100</v>
      </c>
      <c r="I82" s="2"/>
      <c r="J82" s="7">
        <f t="shared" si="53"/>
        <v>6.6666666666666664E-4</v>
      </c>
      <c r="K82" s="2"/>
      <c r="L82" s="6">
        <f t="shared" si="54"/>
        <v>94.81</v>
      </c>
      <c r="M82" s="2"/>
      <c r="N82" s="7">
        <f t="shared" si="55"/>
        <v>0.94810000000000005</v>
      </c>
      <c r="O82" s="11"/>
      <c r="P82" s="6">
        <v>5261.76</v>
      </c>
      <c r="Q82" s="2"/>
      <c r="R82" s="7">
        <f t="shared" si="56"/>
        <v>1.6873666592438816E-2</v>
      </c>
      <c r="S82" s="2"/>
      <c r="T82" s="6">
        <v>500</v>
      </c>
      <c r="U82" s="2"/>
      <c r="V82" s="7">
        <f t="shared" si="57"/>
        <v>1.5103458692040477E-3</v>
      </c>
      <c r="W82" s="2"/>
      <c r="X82" s="6">
        <f t="shared" si="58"/>
        <v>4761.76</v>
      </c>
      <c r="Y82" s="2"/>
      <c r="Z82" s="7">
        <f t="shared" si="59"/>
        <v>9.5235200000000013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>
        <v>1174.79</v>
      </c>
      <c r="E83" s="2"/>
      <c r="F83" s="7">
        <f t="shared" si="52"/>
        <v>8.4656340109813492E-3</v>
      </c>
      <c r="G83" s="2"/>
      <c r="H83" s="6">
        <v>1000</v>
      </c>
      <c r="I83" s="2"/>
      <c r="J83" s="7">
        <f t="shared" si="53"/>
        <v>6.6666666666666671E-3</v>
      </c>
      <c r="K83" s="2"/>
      <c r="L83" s="6">
        <f t="shared" si="54"/>
        <v>174.78999999999996</v>
      </c>
      <c r="M83" s="2"/>
      <c r="N83" s="7">
        <f t="shared" si="55"/>
        <v>0.17478999999999997</v>
      </c>
      <c r="O83" s="11"/>
      <c r="P83" s="6">
        <v>2656.72</v>
      </c>
      <c r="Q83" s="2"/>
      <c r="R83" s="7">
        <f t="shared" si="56"/>
        <v>8.5196982586556672E-3</v>
      </c>
      <c r="S83" s="2"/>
      <c r="T83" s="6">
        <v>3250</v>
      </c>
      <c r="U83" s="2"/>
      <c r="V83" s="7">
        <f t="shared" si="57"/>
        <v>9.81724814982631E-3</v>
      </c>
      <c r="W83" s="2"/>
      <c r="X83" s="6">
        <f t="shared" si="58"/>
        <v>-593.2800000000002</v>
      </c>
      <c r="Y83" s="2"/>
      <c r="Z83" s="7">
        <f t="shared" si="59"/>
        <v>-0.18254769230769238</v>
      </c>
    </row>
    <row r="84" spans="1:26" s="24" customFormat="1" hidden="1" outlineLevel="2" x14ac:dyDescent="0.25">
      <c r="A84" s="27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52"/>
        <v>0</v>
      </c>
      <c r="G84" s="2"/>
      <c r="H84" s="6">
        <v>60</v>
      </c>
      <c r="I84" s="2"/>
      <c r="J84" s="7">
        <f t="shared" si="53"/>
        <v>4.0000000000000002E-4</v>
      </c>
      <c r="K84" s="2"/>
      <c r="L84" s="6">
        <f t="shared" si="54"/>
        <v>-60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240</v>
      </c>
      <c r="U84" s="2"/>
      <c r="V84" s="7">
        <f t="shared" si="57"/>
        <v>7.2496601721794296E-4</v>
      </c>
      <c r="W84" s="2"/>
      <c r="X84" s="6">
        <f t="shared" si="58"/>
        <v>-240</v>
      </c>
      <c r="Y84" s="2"/>
      <c r="Z84" s="7">
        <f t="shared" si="59"/>
        <v>-1</v>
      </c>
    </row>
    <row r="85" spans="1:26" s="24" customFormat="1" hidden="1" outlineLevel="2" x14ac:dyDescent="0.25">
      <c r="A85" s="27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52"/>
        <v>0</v>
      </c>
      <c r="G85" s="2"/>
      <c r="H85" s="6">
        <v>100</v>
      </c>
      <c r="I85" s="2"/>
      <c r="J85" s="7">
        <f t="shared" si="53"/>
        <v>6.6666666666666664E-4</v>
      </c>
      <c r="K85" s="2"/>
      <c r="L85" s="6">
        <f t="shared" si="54"/>
        <v>-100</v>
      </c>
      <c r="M85" s="2"/>
      <c r="N85" s="7">
        <f t="shared" si="55"/>
        <v>-1</v>
      </c>
      <c r="O85" s="11"/>
      <c r="P85" s="6">
        <v>410.56</v>
      </c>
      <c r="Q85" s="2"/>
      <c r="R85" s="7">
        <f t="shared" si="56"/>
        <v>1.3166036756126619E-3</v>
      </c>
      <c r="S85" s="2"/>
      <c r="T85" s="6">
        <v>200</v>
      </c>
      <c r="U85" s="2"/>
      <c r="V85" s="7">
        <f t="shared" si="57"/>
        <v>6.0413834768161911E-4</v>
      </c>
      <c r="W85" s="2"/>
      <c r="X85" s="6">
        <f t="shared" si="58"/>
        <v>210.56</v>
      </c>
      <c r="Y85" s="2"/>
      <c r="Z85" s="7">
        <f t="shared" si="59"/>
        <v>1.0528</v>
      </c>
    </row>
    <row r="86" spans="1:26" s="24" customFormat="1" hidden="1" outlineLevel="2" x14ac:dyDescent="0.25">
      <c r="A86" s="27"/>
      <c r="B86" s="11" t="str">
        <f>CONCATENATE("          ", "6248", " - ", "UNIFORMS")</f>
        <v xml:space="preserve">          6248 - UNIFORMS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/>
      <c r="Q86" s="2"/>
      <c r="R86" s="7">
        <f t="shared" si="56"/>
        <v>0</v>
      </c>
      <c r="S86" s="2"/>
      <c r="T86" s="6">
        <v>800</v>
      </c>
      <c r="U86" s="2"/>
      <c r="V86" s="7">
        <f t="shared" si="57"/>
        <v>2.4165533907264765E-3</v>
      </c>
      <c r="W86" s="2"/>
      <c r="X86" s="6">
        <f t="shared" si="58"/>
        <v>-800</v>
      </c>
      <c r="Y86" s="2"/>
      <c r="Z86" s="7">
        <f t="shared" si="59"/>
        <v>-1</v>
      </c>
    </row>
    <row r="87" spans="1:26" s="26" customFormat="1" outlineLevel="1" collapsed="1" x14ac:dyDescent="0.25">
      <c r="A87" s="25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SUM(OSRRefD22_15x_0)</f>
        <v>138.1</v>
      </c>
      <c r="E87" s="1"/>
      <c r="F87" s="5">
        <f t="shared" ref="F87:F93" si="60">IF(D$12=0,0,D87/D$12)</f>
        <v>9.951600344883123E-4</v>
      </c>
      <c r="G87" s="1"/>
      <c r="H87" s="1">
        <f>SUM(OSRRefH22_15x_0)</f>
        <v>150</v>
      </c>
      <c r="I87" s="1"/>
      <c r="J87" s="5">
        <f t="shared" ref="J87:J93" si="61">IF(H$12=0,0,H87/H$12)</f>
        <v>1E-3</v>
      </c>
      <c r="K87" s="1"/>
      <c r="L87" s="1">
        <f t="shared" ref="L87:L93" si="62">+D87-H87</f>
        <v>-11.900000000000006</v>
      </c>
      <c r="M87" s="1"/>
      <c r="N87" s="5">
        <f t="shared" ref="N87:N93" si="63">IF(H87=0,0,L87/H87)</f>
        <v>-7.9333333333333367E-2</v>
      </c>
      <c r="O87" s="13"/>
      <c r="P87" s="1">
        <f>SUM(OSRRefP22_15x_0)</f>
        <v>580.6</v>
      </c>
      <c r="Q87" s="1"/>
      <c r="R87" s="5">
        <f t="shared" ref="R87:R93" si="64">IF(P$12=0,0,P87/P$12)</f>
        <v>1.8618961761026683E-3</v>
      </c>
      <c r="S87" s="1"/>
      <c r="T87" s="1">
        <f>SUM(OSRRefT22_15x_0)</f>
        <v>600</v>
      </c>
      <c r="U87" s="1"/>
      <c r="V87" s="5">
        <f t="shared" ref="V87:V93" si="65">IF(T$12=0,0,T87/T$12)</f>
        <v>1.8124150430448573E-3</v>
      </c>
      <c r="W87" s="1"/>
      <c r="X87" s="1">
        <f t="shared" ref="X87:X93" si="66">+P87-T87</f>
        <v>-19.399999999999977</v>
      </c>
      <c r="Y87" s="1"/>
      <c r="Z87" s="5">
        <f t="shared" ref="Z87:Z93" si="67">IF(T87=0,0,X87/T87)</f>
        <v>-3.2333333333333297E-2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6">
        <v>138.1</v>
      </c>
      <c r="E88" s="2"/>
      <c r="F88" s="7">
        <f t="shared" si="60"/>
        <v>9.951600344883123E-4</v>
      </c>
      <c r="G88" s="2"/>
      <c r="H88" s="6">
        <v>150</v>
      </c>
      <c r="I88" s="2"/>
      <c r="J88" s="7">
        <f t="shared" si="61"/>
        <v>1E-3</v>
      </c>
      <c r="K88" s="2"/>
      <c r="L88" s="6">
        <f t="shared" si="62"/>
        <v>-11.900000000000006</v>
      </c>
      <c r="M88" s="2"/>
      <c r="N88" s="7">
        <f t="shared" si="63"/>
        <v>-7.9333333333333367E-2</v>
      </c>
      <c r="O88" s="11"/>
      <c r="P88" s="6">
        <v>580.6</v>
      </c>
      <c r="Q88" s="2"/>
      <c r="R88" s="7">
        <f t="shared" si="64"/>
        <v>1.8618961761026683E-3</v>
      </c>
      <c r="S88" s="2"/>
      <c r="T88" s="6">
        <v>600</v>
      </c>
      <c r="U88" s="2"/>
      <c r="V88" s="7">
        <f t="shared" si="65"/>
        <v>1.8124150430448573E-3</v>
      </c>
      <c r="W88" s="2"/>
      <c r="X88" s="6">
        <f t="shared" si="66"/>
        <v>-19.399999999999977</v>
      </c>
      <c r="Y88" s="2"/>
      <c r="Z88" s="7">
        <f t="shared" si="67"/>
        <v>-3.2333333333333297E-2</v>
      </c>
    </row>
    <row r="89" spans="1:26" s="26" customFormat="1" outlineLevel="1" collapsed="1" x14ac:dyDescent="0.25">
      <c r="A89" s="25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48</v>
      </c>
      <c r="E89" s="1"/>
      <c r="F89" s="5">
        <f t="shared" si="60"/>
        <v>3.4589197433337432E-4</v>
      </c>
      <c r="G89" s="1"/>
      <c r="H89" s="1">
        <f>SUM(OSRRefH22_16x_0)</f>
        <v>0</v>
      </c>
      <c r="I89" s="1"/>
      <c r="J89" s="5">
        <f t="shared" si="61"/>
        <v>0</v>
      </c>
      <c r="K89" s="1"/>
      <c r="L89" s="1">
        <f t="shared" si="62"/>
        <v>48</v>
      </c>
      <c r="M89" s="1"/>
      <c r="N89" s="5">
        <f t="shared" si="63"/>
        <v>0</v>
      </c>
      <c r="O89" s="13"/>
      <c r="P89" s="1">
        <f>SUM(OSRRefP22_16x_0)</f>
        <v>144</v>
      </c>
      <c r="Q89" s="1"/>
      <c r="R89" s="5">
        <f t="shared" si="64"/>
        <v>4.6178616837544651E-4</v>
      </c>
      <c r="S89" s="1"/>
      <c r="T89" s="1">
        <f>SUM(OSRRefT22_16x_0)</f>
        <v>0</v>
      </c>
      <c r="U89" s="1"/>
      <c r="V89" s="5">
        <f t="shared" si="65"/>
        <v>0</v>
      </c>
      <c r="W89" s="1"/>
      <c r="X89" s="1">
        <f t="shared" si="66"/>
        <v>144</v>
      </c>
      <c r="Y89" s="1"/>
      <c r="Z89" s="5">
        <f t="shared" si="67"/>
        <v>0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6">
        <v>48</v>
      </c>
      <c r="E90" s="2"/>
      <c r="F90" s="7">
        <f t="shared" si="60"/>
        <v>3.4589197433337432E-4</v>
      </c>
      <c r="G90" s="2"/>
      <c r="H90" s="6"/>
      <c r="I90" s="2"/>
      <c r="J90" s="7">
        <f t="shared" si="61"/>
        <v>0</v>
      </c>
      <c r="K90" s="2"/>
      <c r="L90" s="6">
        <f t="shared" si="62"/>
        <v>48</v>
      </c>
      <c r="M90" s="2"/>
      <c r="N90" s="7">
        <f t="shared" si="63"/>
        <v>0</v>
      </c>
      <c r="O90" s="11"/>
      <c r="P90" s="6">
        <v>144</v>
      </c>
      <c r="Q90" s="2"/>
      <c r="R90" s="7">
        <f t="shared" si="64"/>
        <v>4.6178616837544651E-4</v>
      </c>
      <c r="S90" s="2"/>
      <c r="T90" s="6"/>
      <c r="U90" s="2"/>
      <c r="V90" s="7">
        <f t="shared" si="65"/>
        <v>0</v>
      </c>
      <c r="W90" s="2"/>
      <c r="X90" s="6">
        <f t="shared" si="66"/>
        <v>144</v>
      </c>
      <c r="Y90" s="2"/>
      <c r="Z90" s="7">
        <f t="shared" si="67"/>
        <v>0</v>
      </c>
    </row>
    <row r="91" spans="1:26" s="26" customFormat="1" outlineLevel="1" collapsed="1" x14ac:dyDescent="0.25">
      <c r="A91" s="25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60"/>
        <v>0</v>
      </c>
      <c r="G91" s="1"/>
      <c r="H91" s="1">
        <f>SUM(OSRRefH22_17x_0)</f>
        <v>0</v>
      </c>
      <c r="I91" s="1"/>
      <c r="J91" s="5">
        <f t="shared" si="61"/>
        <v>0</v>
      </c>
      <c r="K91" s="1"/>
      <c r="L91" s="1">
        <f t="shared" si="62"/>
        <v>0</v>
      </c>
      <c r="M91" s="1"/>
      <c r="N91" s="5">
        <f t="shared" si="63"/>
        <v>0</v>
      </c>
      <c r="O91" s="13"/>
      <c r="P91" s="1">
        <f>SUM(OSRRefP22_17x_0)</f>
        <v>0</v>
      </c>
      <c r="Q91" s="1"/>
      <c r="R91" s="5">
        <f t="shared" si="64"/>
        <v>0</v>
      </c>
      <c r="S91" s="1"/>
      <c r="T91" s="1">
        <f>SUM(OSRRefT22_17x_0)</f>
        <v>1200</v>
      </c>
      <c r="U91" s="1"/>
      <c r="V91" s="5">
        <f t="shared" si="65"/>
        <v>3.6248300860897147E-3</v>
      </c>
      <c r="W91" s="1"/>
      <c r="X91" s="1">
        <f t="shared" si="66"/>
        <v>-1200</v>
      </c>
      <c r="Y91" s="1"/>
      <c r="Z91" s="5">
        <f t="shared" si="67"/>
        <v>-1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1200</v>
      </c>
      <c r="U92" s="2"/>
      <c r="V92" s="7">
        <f t="shared" si="65"/>
        <v>3.6248300860897147E-3</v>
      </c>
      <c r="W92" s="2"/>
      <c r="X92" s="6">
        <f t="shared" si="66"/>
        <v>-1200</v>
      </c>
      <c r="Y92" s="2"/>
      <c r="Z92" s="7">
        <f t="shared" si="67"/>
        <v>-1</v>
      </c>
    </row>
    <row r="93" spans="1:26" s="24" customFormat="1" hidden="1" outlineLevel="2" x14ac:dyDescent="0.25">
      <c r="A93" s="27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60"/>
        <v>0</v>
      </c>
      <c r="G93" s="2"/>
      <c r="H93" s="6"/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0</v>
      </c>
      <c r="U93" s="2"/>
      <c r="V93" s="7">
        <f t="shared" si="65"/>
        <v>0</v>
      </c>
      <c r="W93" s="2"/>
      <c r="X93" s="6">
        <f t="shared" si="66"/>
        <v>0</v>
      </c>
      <c r="Y93" s="2"/>
      <c r="Z93" s="7">
        <f t="shared" si="67"/>
        <v>0</v>
      </c>
    </row>
    <row r="94" spans="1:26" s="26" customFormat="1" outlineLevel="1" collapsed="1" x14ac:dyDescent="0.25">
      <c r="A94" s="25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SUM(OSRRefD22_18x_0)</f>
        <v>2031</v>
      </c>
      <c r="E94" s="1"/>
      <c r="F94" s="5">
        <f t="shared" ref="F94:F95" si="68">IF(D$12=0,0,D94/D$12)</f>
        <v>1.46355541639809E-2</v>
      </c>
      <c r="G94" s="1"/>
      <c r="H94" s="1">
        <f>SUM(OSRRefH22_18x_0)</f>
        <v>2100</v>
      </c>
      <c r="I94" s="1"/>
      <c r="J94" s="5">
        <f t="shared" ref="J94:J95" si="69">IF(H$12=0,0,H94/H$12)</f>
        <v>1.4E-2</v>
      </c>
      <c r="K94" s="1"/>
      <c r="L94" s="1">
        <f t="shared" ref="L94:L95" si="70">+D94-H94</f>
        <v>-69</v>
      </c>
      <c r="M94" s="1"/>
      <c r="N94" s="5">
        <f t="shared" ref="N94:N95" si="71">IF(H94=0,0,L94/H94)</f>
        <v>-3.2857142857142856E-2</v>
      </c>
      <c r="O94" s="13"/>
      <c r="P94" s="1">
        <f>SUM(OSRRefP22_18x_0)</f>
        <v>6093</v>
      </c>
      <c r="Q94" s="1"/>
      <c r="R94" s="5">
        <f t="shared" ref="R94:R95" si="72">IF(P$12=0,0,P94/P$12)</f>
        <v>1.953932724938608E-2</v>
      </c>
      <c r="S94" s="1"/>
      <c r="T94" s="1">
        <f>SUM(OSRRefT22_18x_0)</f>
        <v>8400</v>
      </c>
      <c r="U94" s="1"/>
      <c r="V94" s="5">
        <f t="shared" ref="V94:V95" si="73">IF(T$12=0,0,T94/T$12)</f>
        <v>2.5373810602628003E-2</v>
      </c>
      <c r="W94" s="1"/>
      <c r="X94" s="1">
        <f t="shared" ref="X94:X95" si="74">+P94-T94</f>
        <v>-2307</v>
      </c>
      <c r="Y94" s="1"/>
      <c r="Z94" s="5">
        <f t="shared" ref="Z94:Z95" si="75">IF(T94=0,0,X94/T94)</f>
        <v>-0.27464285714285713</v>
      </c>
    </row>
    <row r="95" spans="1:26" s="24" customFormat="1" hidden="1" outlineLevel="2" x14ac:dyDescent="0.25">
      <c r="A95" s="27"/>
      <c r="B95" s="11" t="str">
        <f>CONCATENATE("          ", "6274", " - ", "UTILITIES")</f>
        <v xml:space="preserve">          6274 - UTILITIES</v>
      </c>
      <c r="C95" s="11"/>
      <c r="D95" s="6">
        <v>2031</v>
      </c>
      <c r="E95" s="2"/>
      <c r="F95" s="7">
        <f t="shared" si="68"/>
        <v>1.46355541639809E-2</v>
      </c>
      <c r="G95" s="2"/>
      <c r="H95" s="6">
        <v>2100</v>
      </c>
      <c r="I95" s="2"/>
      <c r="J95" s="7">
        <f t="shared" si="69"/>
        <v>1.4E-2</v>
      </c>
      <c r="K95" s="2"/>
      <c r="L95" s="6">
        <f t="shared" si="70"/>
        <v>-69</v>
      </c>
      <c r="M95" s="2"/>
      <c r="N95" s="7">
        <f t="shared" si="71"/>
        <v>-3.2857142857142856E-2</v>
      </c>
      <c r="O95" s="11"/>
      <c r="P95" s="6">
        <v>6093</v>
      </c>
      <c r="Q95" s="2"/>
      <c r="R95" s="7">
        <f t="shared" si="72"/>
        <v>1.953932724938608E-2</v>
      </c>
      <c r="S95" s="2"/>
      <c r="T95" s="6">
        <v>8400</v>
      </c>
      <c r="U95" s="2"/>
      <c r="V95" s="7">
        <f t="shared" si="73"/>
        <v>2.5373810602628003E-2</v>
      </c>
      <c r="W95" s="2"/>
      <c r="X95" s="6">
        <f t="shared" si="74"/>
        <v>-2307</v>
      </c>
      <c r="Y95" s="2"/>
      <c r="Z95" s="7">
        <f t="shared" si="75"/>
        <v>-0.27464285714285713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3</v>
      </c>
      <c r="C99" s="28"/>
      <c r="D99" s="22">
        <f>+D22-D24+D97</f>
        <v>11822.290000000008</v>
      </c>
      <c r="E99" s="14"/>
      <c r="F99" s="20">
        <f>IF(D$12=0,0,D99/D$12)</f>
        <v>8.5192400609202301E-2</v>
      </c>
      <c r="G99" s="14"/>
      <c r="H99" s="22">
        <f>+H22-H24+H97</f>
        <v>24133.139503846149</v>
      </c>
      <c r="I99" s="14"/>
      <c r="J99" s="20">
        <f>IF(H$12=0,0,H99/H$12)</f>
        <v>0.16088759669230765</v>
      </c>
      <c r="K99" s="16"/>
      <c r="L99" s="22">
        <f>+D99-H99</f>
        <v>-12310.849503846141</v>
      </c>
      <c r="M99" s="16"/>
      <c r="N99" s="20">
        <f>IF(H99=0,0,L99/H99)</f>
        <v>-0.5101221704653941</v>
      </c>
      <c r="O99" s="29"/>
      <c r="P99" s="22">
        <f>+P22-P24+P97</f>
        <v>-73519.379999999946</v>
      </c>
      <c r="Q99" s="14"/>
      <c r="R99" s="20">
        <f>IF(P$12=0,0,P99/P$12)</f>
        <v>-0.23576550549679451</v>
      </c>
      <c r="S99" s="14"/>
      <c r="T99" s="22">
        <f>+T22-T24+T97</f>
        <v>-43485.444876153895</v>
      </c>
      <c r="U99" s="14"/>
      <c r="V99" s="20">
        <f>IF(T$12=0,0,T99/T$12)</f>
        <v>-0.13135612407839872</v>
      </c>
      <c r="W99" s="16"/>
      <c r="X99" s="22">
        <f>+P99-T99</f>
        <v>-30033.935123846051</v>
      </c>
      <c r="Y99" s="16"/>
      <c r="Z99" s="20">
        <f>IF(T99=0,0,X99/T99)</f>
        <v>0.69066638755524734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>
        <v>12800.83</v>
      </c>
      <c r="E101" s="4"/>
      <c r="F101" s="12">
        <f>IF(D$12=0,0,D101/D$12)</f>
        <v>9.2243840870955995E-2</v>
      </c>
      <c r="G101" s="4"/>
      <c r="H101" s="4">
        <v>16966</v>
      </c>
      <c r="I101" s="4"/>
      <c r="J101" s="12">
        <f>IF(H$12=0,0,H101/H$12)</f>
        <v>0.11310666666666666</v>
      </c>
      <c r="K101" s="4"/>
      <c r="L101" s="4">
        <f>+D101-H101</f>
        <v>-4165.17</v>
      </c>
      <c r="M101" s="4"/>
      <c r="N101" s="12">
        <f>IF(H101=0,0,L101/H101)</f>
        <v>-0.24550100200400801</v>
      </c>
      <c r="O101" s="10"/>
      <c r="P101" s="4">
        <v>31389.870000000003</v>
      </c>
      <c r="Q101" s="4"/>
      <c r="R101" s="12">
        <f>IF(P$12=0,0,P101/P$12)</f>
        <v>0.10066255411877346</v>
      </c>
      <c r="S101" s="4"/>
      <c r="T101" s="4">
        <v>39866</v>
      </c>
      <c r="U101" s="4"/>
      <c r="V101" s="12">
        <f>IF(T$12=0,0,T101/T$12)</f>
        <v>0.12042289684337713</v>
      </c>
      <c r="W101" s="4"/>
      <c r="X101" s="4">
        <f>+P101-T101</f>
        <v>-8476.1299999999974</v>
      </c>
      <c r="Y101" s="4"/>
      <c r="Z101" s="12">
        <f>IF(T101=0,0,X101/T101)</f>
        <v>-0.21261551196508297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4</v>
      </c>
      <c r="C103" s="28"/>
      <c r="D103" s="31">
        <f>+D99-D101</f>
        <v>-978.53999999999178</v>
      </c>
      <c r="E103" s="14"/>
      <c r="F103" s="33">
        <f>IF(D$12=0,0,D103/D$12)</f>
        <v>-7.0514402617536925E-3</v>
      </c>
      <c r="G103" s="14"/>
      <c r="H103" s="31">
        <f>+H99-H101</f>
        <v>7167.1395038461487</v>
      </c>
      <c r="I103" s="14"/>
      <c r="J103" s="33">
        <f>IF(H$12=0,0,H103/H$12)</f>
        <v>4.7780930025640989E-2</v>
      </c>
      <c r="K103" s="16"/>
      <c r="L103" s="31">
        <f>D103-H103</f>
        <v>-8145.6795038461405</v>
      </c>
      <c r="M103" s="16"/>
      <c r="N103" s="33">
        <f>IF(H103=0,0,L103/H103)</f>
        <v>-1.1365314571419842</v>
      </c>
      <c r="O103" s="29"/>
      <c r="P103" s="31">
        <f>+P99-P101</f>
        <v>-104909.24999999994</v>
      </c>
      <c r="Q103" s="14"/>
      <c r="R103" s="33">
        <f>IF(P$12=0,0,P103/P$12)</f>
        <v>-0.33642805961556793</v>
      </c>
      <c r="S103" s="14"/>
      <c r="T103" s="31">
        <f>+T99-T101</f>
        <v>-83351.444876153895</v>
      </c>
      <c r="U103" s="14"/>
      <c r="V103" s="33">
        <f>IF(T$12=0,0,T103/T$12)</f>
        <v>-0.25177902092177584</v>
      </c>
      <c r="W103" s="16"/>
      <c r="X103" s="31">
        <f>P103-T103</f>
        <v>-21557.805123846047</v>
      </c>
      <c r="Y103" s="16"/>
      <c r="Z103" s="33">
        <f>IF(T103=0,0,X103/T103)</f>
        <v>0.25863744960722979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5</v>
      </c>
      <c r="C106" s="28"/>
      <c r="D106" s="32">
        <f>SUM(D103:D105)</f>
        <v>-978.53999999999178</v>
      </c>
      <c r="E106" s="14"/>
      <c r="F106" s="34">
        <f>IF(D$12=0,0,D106/D$12)</f>
        <v>-7.0514402617536925E-3</v>
      </c>
      <c r="G106" s="14"/>
      <c r="H106" s="32">
        <f>SUM(H103:H105)</f>
        <v>7167.1395038461487</v>
      </c>
      <c r="I106" s="14"/>
      <c r="J106" s="34">
        <f>IF(H$12=0,0,H106/H$12)</f>
        <v>4.7780930025640989E-2</v>
      </c>
      <c r="K106" s="16"/>
      <c r="L106" s="32">
        <f>+D106-H106</f>
        <v>-8145.6795038461405</v>
      </c>
      <c r="M106" s="16"/>
      <c r="N106" s="34">
        <f>IF(H106=0,0,L106/H106)</f>
        <v>-1.1365314571419842</v>
      </c>
      <c r="O106" s="29"/>
      <c r="P106" s="32">
        <f>SUM(P103:P105)</f>
        <v>-104909.24999999994</v>
      </c>
      <c r="Q106" s="14"/>
      <c r="R106" s="34">
        <f>IF(P$12=0,0,P106/P$12)</f>
        <v>-0.33642805961556793</v>
      </c>
      <c r="S106" s="14"/>
      <c r="T106" s="32">
        <f>SUM(T103:T105)</f>
        <v>-83351.444876153895</v>
      </c>
      <c r="U106" s="14"/>
      <c r="V106" s="34">
        <f>IF(T$12=0,0,T106/T$12)</f>
        <v>-0.25177902092177584</v>
      </c>
      <c r="W106" s="16"/>
      <c r="X106" s="32">
        <f>+P106-T106</f>
        <v>-21557.805123846047</v>
      </c>
      <c r="Y106" s="16"/>
      <c r="Z106" s="34">
        <f>IF(T106=0,0,X106/T106)</f>
        <v>0.25863744960722979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60">
        <v>43791.348556828707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4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5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224348.40999999997</v>
      </c>
      <c r="E12" s="4"/>
      <c r="F12" s="12"/>
      <c r="G12" s="4"/>
      <c r="H12" s="4">
        <f>SUM(OSRRefH13x_0)</f>
        <v>232300</v>
      </c>
      <c r="I12" s="4"/>
      <c r="J12" s="12"/>
      <c r="K12" s="4"/>
      <c r="L12" s="4">
        <f t="shared" ref="L12:L16" si="0">+D12-H12</f>
        <v>-7951.5900000000256</v>
      </c>
      <c r="M12" s="4"/>
      <c r="N12" s="12">
        <f t="shared" ref="N12:N16" si="1">IF(H12=0,0,L12/H12)</f>
        <v>-3.4229832113646261E-2</v>
      </c>
      <c r="O12" s="10"/>
      <c r="P12" s="4">
        <f>SUM(OSRRefP13x_0)</f>
        <v>518238.63</v>
      </c>
      <c r="Q12" s="4"/>
      <c r="R12" s="12"/>
      <c r="S12" s="4"/>
      <c r="T12" s="4">
        <f>SUM(OSRRefT13x_0)</f>
        <v>543600</v>
      </c>
      <c r="U12" s="4"/>
      <c r="V12" s="12"/>
      <c r="W12" s="4"/>
      <c r="X12" s="4">
        <f t="shared" ref="X12:X16" si="2">+P12-T12</f>
        <v>-25361.369999999995</v>
      </c>
      <c r="Y12" s="4"/>
      <c r="Z12" s="12">
        <f t="shared" ref="Z12:Z16" si="3">IF(T12=0,0,X12/T12)</f>
        <v>-4.6654470198675489E-2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91720</v>
      </c>
      <c r="I13" s="2"/>
      <c r="J13" s="19"/>
      <c r="K13" s="2"/>
      <c r="L13" s="2">
        <f t="shared" si="0"/>
        <v>-91720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213840</v>
      </c>
      <c r="U13" s="2"/>
      <c r="V13" s="19"/>
      <c r="W13" s="2"/>
      <c r="X13" s="2">
        <f t="shared" si="2"/>
        <v>-213840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--75155.92</f>
        <v>75155.92</v>
      </c>
      <c r="E14" s="2"/>
      <c r="F14" s="19"/>
      <c r="G14" s="2"/>
      <c r="H14" s="2"/>
      <c r="I14" s="2"/>
      <c r="J14" s="19"/>
      <c r="K14" s="2"/>
      <c r="L14" s="2">
        <f t="shared" si="0"/>
        <v>75155.92</v>
      </c>
      <c r="M14" s="2"/>
      <c r="N14" s="19">
        <f t="shared" si="1"/>
        <v>0</v>
      </c>
      <c r="O14" s="11"/>
      <c r="P14" s="2">
        <f>--185991.6</f>
        <v>185991.6</v>
      </c>
      <c r="Q14" s="2"/>
      <c r="R14" s="19"/>
      <c r="S14" s="2"/>
      <c r="T14" s="2"/>
      <c r="U14" s="2"/>
      <c r="V14" s="19"/>
      <c r="W14" s="2"/>
      <c r="X14" s="2">
        <f t="shared" si="2"/>
        <v>185991.6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140580</v>
      </c>
      <c r="I15" s="2"/>
      <c r="J15" s="19"/>
      <c r="K15" s="2"/>
      <c r="L15" s="2">
        <f t="shared" si="0"/>
        <v>-140580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329760</v>
      </c>
      <c r="U15" s="2"/>
      <c r="V15" s="19"/>
      <c r="W15" s="2"/>
      <c r="X15" s="2">
        <f t="shared" si="2"/>
        <v>-329760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--149192.49</f>
        <v>149192.49</v>
      </c>
      <c r="E16" s="2"/>
      <c r="F16" s="19"/>
      <c r="G16" s="2"/>
      <c r="H16" s="2"/>
      <c r="I16" s="2"/>
      <c r="J16" s="19"/>
      <c r="K16" s="2"/>
      <c r="L16" s="2">
        <f t="shared" si="0"/>
        <v>149192.49</v>
      </c>
      <c r="M16" s="2"/>
      <c r="N16" s="19">
        <f t="shared" si="1"/>
        <v>0</v>
      </c>
      <c r="O16" s="11"/>
      <c r="P16" s="2">
        <f>--332247.03</f>
        <v>332247.03000000003</v>
      </c>
      <c r="Q16" s="2"/>
      <c r="R16" s="19"/>
      <c r="S16" s="2"/>
      <c r="T16" s="2"/>
      <c r="U16" s="2"/>
      <c r="V16" s="19"/>
      <c r="W16" s="2"/>
      <c r="X16" s="2">
        <f t="shared" si="2"/>
        <v>332247.03000000003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59637.06</v>
      </c>
      <c r="E18" s="4"/>
      <c r="F18" s="12">
        <f t="shared" ref="F18:F21" si="4">IF(D$12=0,0,D18/D$12)</f>
        <v>0.26582341278906324</v>
      </c>
      <c r="G18" s="4"/>
      <c r="H18" s="4">
        <f>SUM(OSRRefH16x_0)</f>
        <v>72000</v>
      </c>
      <c r="I18" s="4"/>
      <c r="J18" s="12">
        <f t="shared" ref="J18:J21" si="5">IF(H$12=0,0,H18/H$12)</f>
        <v>0.30994403788204905</v>
      </c>
      <c r="K18" s="4"/>
      <c r="L18" s="4">
        <f t="shared" ref="L18:L21" si="6">+D18-H18</f>
        <v>-12362.940000000002</v>
      </c>
      <c r="M18" s="4"/>
      <c r="N18" s="12">
        <f t="shared" ref="N18:N21" si="7">IF(H18=0,0,L18/H18)</f>
        <v>-0.17170750000000004</v>
      </c>
      <c r="O18" s="10"/>
      <c r="P18" s="4">
        <f>SUM(OSRRefP16x_0)</f>
        <v>168122.55</v>
      </c>
      <c r="Q18" s="4"/>
      <c r="R18" s="12">
        <f t="shared" ref="R18:R21" si="8">IF(P$12=0,0,P18/P$12)</f>
        <v>0.32441145886789641</v>
      </c>
      <c r="S18" s="4"/>
      <c r="T18" s="4">
        <f>SUM(OSRRefT16x_0)</f>
        <v>167864</v>
      </c>
      <c r="U18" s="4"/>
      <c r="V18" s="12">
        <f t="shared" ref="V18:V21" si="9">IF(T$12=0,0,T18/T$12)</f>
        <v>0.30880058866813831</v>
      </c>
      <c r="W18" s="4"/>
      <c r="X18" s="4">
        <f t="shared" ref="X18:X21" si="10">+P18-T18</f>
        <v>258.54999999998836</v>
      </c>
      <c r="Y18" s="4"/>
      <c r="Z18" s="12">
        <f t="shared" ref="Z18:Z21" si="11">IF(T18=0,0,X18/T18)</f>
        <v>1.5402349521040149E-3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72000</v>
      </c>
      <c r="I19" s="2"/>
      <c r="J19" s="19">
        <f t="shared" si="5"/>
        <v>0.30994403788204905</v>
      </c>
      <c r="K19" s="2"/>
      <c r="L19" s="2">
        <f t="shared" si="6"/>
        <v>-72000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167864</v>
      </c>
      <c r="U19" s="2"/>
      <c r="V19" s="19">
        <f t="shared" si="9"/>
        <v>0.30880058866813831</v>
      </c>
      <c r="W19" s="2"/>
      <c r="X19" s="2">
        <f t="shared" si="10"/>
        <v>-167864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70222.06</v>
      </c>
      <c r="E20" s="2"/>
      <c r="F20" s="19">
        <f t="shared" si="4"/>
        <v>0.31300449154063542</v>
      </c>
      <c r="G20" s="2"/>
      <c r="H20" s="2"/>
      <c r="I20" s="2"/>
      <c r="J20" s="19">
        <f t="shared" si="5"/>
        <v>0</v>
      </c>
      <c r="K20" s="2"/>
      <c r="L20" s="2">
        <f t="shared" si="6"/>
        <v>70222.06</v>
      </c>
      <c r="M20" s="2"/>
      <c r="N20" s="19">
        <f t="shared" si="7"/>
        <v>0</v>
      </c>
      <c r="O20" s="11"/>
      <c r="P20" s="2">
        <v>179629.55</v>
      </c>
      <c r="Q20" s="2"/>
      <c r="R20" s="19">
        <f t="shared" si="8"/>
        <v>0.34661551571329213</v>
      </c>
      <c r="S20" s="2"/>
      <c r="T20" s="2"/>
      <c r="U20" s="2"/>
      <c r="V20" s="19">
        <f t="shared" si="9"/>
        <v>0</v>
      </c>
      <c r="W20" s="2"/>
      <c r="X20" s="2">
        <f t="shared" si="10"/>
        <v>179629.55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-10585</v>
      </c>
      <c r="E21" s="2"/>
      <c r="F21" s="19">
        <f t="shared" si="4"/>
        <v>-4.7181078751572167E-2</v>
      </c>
      <c r="G21" s="2"/>
      <c r="H21" s="2"/>
      <c r="I21" s="2"/>
      <c r="J21" s="19">
        <f t="shared" si="5"/>
        <v>0</v>
      </c>
      <c r="K21" s="2"/>
      <c r="L21" s="2">
        <f t="shared" si="6"/>
        <v>-10585</v>
      </c>
      <c r="M21" s="2"/>
      <c r="N21" s="19">
        <f t="shared" si="7"/>
        <v>0</v>
      </c>
      <c r="O21" s="11"/>
      <c r="P21" s="2">
        <v>-11507</v>
      </c>
      <c r="Q21" s="2"/>
      <c r="R21" s="19">
        <f t="shared" si="8"/>
        <v>-2.2204056845395722E-2</v>
      </c>
      <c r="S21" s="2"/>
      <c r="T21" s="2"/>
      <c r="U21" s="2"/>
      <c r="V21" s="19">
        <f t="shared" si="9"/>
        <v>0</v>
      </c>
      <c r="W21" s="2"/>
      <c r="X21" s="2">
        <f t="shared" si="10"/>
        <v>-11507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164711.34999999998</v>
      </c>
      <c r="E23" s="14"/>
      <c r="F23" s="20">
        <f>IF(D$12=0,0,D23/D$12)</f>
        <v>0.7341765872109367</v>
      </c>
      <c r="G23" s="14"/>
      <c r="H23" s="22">
        <f>H12-H18</f>
        <v>160300</v>
      </c>
      <c r="I23" s="14"/>
      <c r="J23" s="20">
        <f>IF(H$12=0,0,H23/H$12)</f>
        <v>0.69005596211795095</v>
      </c>
      <c r="K23" s="16"/>
      <c r="L23" s="22">
        <f>+D23-H23</f>
        <v>4411.3499999999767</v>
      </c>
      <c r="M23" s="16"/>
      <c r="N23" s="20">
        <f>IF(H23=0,0,L23/H23)</f>
        <v>2.7519338739862613E-2</v>
      </c>
      <c r="O23" s="29"/>
      <c r="P23" s="22">
        <f>P12-P18</f>
        <v>350116.08</v>
      </c>
      <c r="Q23" s="14"/>
      <c r="R23" s="20">
        <f>IF(P$12=0,0,P23/P$12)</f>
        <v>0.67558854113210354</v>
      </c>
      <c r="S23" s="14"/>
      <c r="T23" s="22">
        <f>T12-T18</f>
        <v>375736</v>
      </c>
      <c r="U23" s="14"/>
      <c r="V23" s="20">
        <f>IF(T$12=0,0,T23/T$12)</f>
        <v>0.69119941133186169</v>
      </c>
      <c r="W23" s="16"/>
      <c r="X23" s="22">
        <f>+P23-T23</f>
        <v>-25619.919999999984</v>
      </c>
      <c r="Y23" s="16"/>
      <c r="Z23" s="20">
        <f>IF(T23=0,0,X23/T23)</f>
        <v>-6.8185960355142933E-2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87364.64999999998</v>
      </c>
      <c r="E25" s="21"/>
      <c r="F25" s="35">
        <f t="shared" ref="F25:F35" si="12">IF(D$12=0,0,D25/D$12)</f>
        <v>0.38941506204568149</v>
      </c>
      <c r="G25" s="21"/>
      <c r="H25" s="21">
        <f>SUM(OSRRefH22x_0)</f>
        <v>89703.554711153891</v>
      </c>
      <c r="I25" s="21"/>
      <c r="J25" s="35">
        <f t="shared" ref="J25:J35" si="13">IF(H$12=0,0,H25/H$12)</f>
        <v>0.38615391610483812</v>
      </c>
      <c r="K25" s="4"/>
      <c r="L25" s="21">
        <f t="shared" ref="L25:L35" si="14">+D25-H25</f>
        <v>-2338.9047111539112</v>
      </c>
      <c r="M25" s="4"/>
      <c r="N25" s="35">
        <f t="shared" ref="N25:N35" si="15">IF(H25=0,0,L25/H25)</f>
        <v>-2.6073712671534608E-2</v>
      </c>
      <c r="O25" s="10"/>
      <c r="P25" s="21">
        <f>SUM(OSRRefP22x_0)</f>
        <v>241601.36999999997</v>
      </c>
      <c r="Q25" s="21"/>
      <c r="R25" s="35">
        <f t="shared" ref="R25:R35" si="16">IF(P$12=0,0,P25/P$12)</f>
        <v>0.46619714551190439</v>
      </c>
      <c r="S25" s="21"/>
      <c r="T25" s="21">
        <f>SUM(OSRRefT22x_0)</f>
        <v>258327.93481278472</v>
      </c>
      <c r="U25" s="21"/>
      <c r="V25" s="35">
        <f t="shared" ref="V25:V35" si="17">IF(T$12=0,0,T25/T$12)</f>
        <v>0.47521695145839721</v>
      </c>
      <c r="W25" s="4"/>
      <c r="X25" s="21">
        <f t="shared" ref="X25:X35" si="18">+P25-T25</f>
        <v>-16726.564812784753</v>
      </c>
      <c r="Y25" s="4"/>
      <c r="Z25" s="35">
        <f t="shared" ref="Z25:Z35" si="19">IF(T25=0,0,X25/T25)</f>
        <v>-6.4749345923067983E-2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8742.5600000000013</v>
      </c>
      <c r="E26" s="1"/>
      <c r="F26" s="5">
        <f t="shared" si="12"/>
        <v>3.8968673769517702E-2</v>
      </c>
      <c r="G26" s="1"/>
      <c r="H26" s="1">
        <f>SUM(OSRRefH22_0x_0)</f>
        <v>12887.008557307689</v>
      </c>
      <c r="I26" s="1"/>
      <c r="J26" s="5">
        <f t="shared" si="13"/>
        <v>5.5475714839895343E-2</v>
      </c>
      <c r="K26" s="1"/>
      <c r="L26" s="1">
        <f t="shared" si="14"/>
        <v>-4144.4485573076872</v>
      </c>
      <c r="M26" s="1"/>
      <c r="N26" s="5">
        <f t="shared" si="15"/>
        <v>-0.32159896060265608</v>
      </c>
      <c r="O26" s="13"/>
      <c r="P26" s="1">
        <f>SUM(OSRRefP22_0x_0)</f>
        <v>27562.9</v>
      </c>
      <c r="Q26" s="1"/>
      <c r="R26" s="5">
        <f t="shared" si="16"/>
        <v>5.3185730287994934E-2</v>
      </c>
      <c r="S26" s="1"/>
      <c r="T26" s="1">
        <f>SUM(OSRRefT22_0x_0)</f>
        <v>41569.576658938451</v>
      </c>
      <c r="U26" s="1"/>
      <c r="V26" s="5">
        <f t="shared" si="17"/>
        <v>7.6470891572734456E-2</v>
      </c>
      <c r="W26" s="1"/>
      <c r="X26" s="1">
        <f t="shared" si="18"/>
        <v>-14006.67665893845</v>
      </c>
      <c r="Y26" s="1"/>
      <c r="Z26" s="5">
        <f t="shared" si="19"/>
        <v>-0.33694537651555995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3265.6</v>
      </c>
      <c r="E27" s="2"/>
      <c r="F27" s="7">
        <f t="shared" si="12"/>
        <v>1.4555931107334347E-2</v>
      </c>
      <c r="G27" s="2"/>
      <c r="H27" s="6">
        <v>1270.0830496153801</v>
      </c>
      <c r="I27" s="2"/>
      <c r="J27" s="7">
        <f t="shared" si="13"/>
        <v>5.4674259561574689E-3</v>
      </c>
      <c r="K27" s="2"/>
      <c r="L27" s="6">
        <f t="shared" si="14"/>
        <v>1995.5169503846198</v>
      </c>
      <c r="M27" s="2"/>
      <c r="N27" s="7">
        <f t="shared" si="15"/>
        <v>1.5711704451050845</v>
      </c>
      <c r="O27" s="11"/>
      <c r="P27" s="6">
        <v>7354.44</v>
      </c>
      <c r="Q27" s="2"/>
      <c r="R27" s="7">
        <f t="shared" si="16"/>
        <v>1.4191223066485799E-2</v>
      </c>
      <c r="S27" s="2"/>
      <c r="T27" s="6">
        <v>4346.4880300153782</v>
      </c>
      <c r="U27" s="2"/>
      <c r="V27" s="7">
        <f t="shared" si="17"/>
        <v>7.9957469279164431E-3</v>
      </c>
      <c r="W27" s="2"/>
      <c r="X27" s="6">
        <f t="shared" si="18"/>
        <v>3007.9519699846214</v>
      </c>
      <c r="Y27" s="2"/>
      <c r="Z27" s="7">
        <f t="shared" si="19"/>
        <v>0.69204193114365464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-306.86</v>
      </c>
      <c r="E28" s="2"/>
      <c r="F28" s="7">
        <f t="shared" si="12"/>
        <v>-1.3677832617579062E-3</v>
      </c>
      <c r="G28" s="2"/>
      <c r="H28" s="6">
        <v>2077.8713230769199</v>
      </c>
      <c r="I28" s="2"/>
      <c r="J28" s="7">
        <f t="shared" si="13"/>
        <v>8.9447753899135601E-3</v>
      </c>
      <c r="K28" s="2"/>
      <c r="L28" s="6">
        <f t="shared" si="14"/>
        <v>-2384.73132307692</v>
      </c>
      <c r="M28" s="2"/>
      <c r="N28" s="7">
        <f t="shared" si="15"/>
        <v>-1.1476799821971655</v>
      </c>
      <c r="O28" s="11"/>
      <c r="P28" s="6">
        <v>2360.91</v>
      </c>
      <c r="Q28" s="2"/>
      <c r="R28" s="7">
        <f t="shared" si="16"/>
        <v>4.5556426389904581E-3</v>
      </c>
      <c r="S28" s="2"/>
      <c r="T28" s="6">
        <v>5371.3581070769214</v>
      </c>
      <c r="U28" s="2"/>
      <c r="V28" s="7">
        <f t="shared" si="17"/>
        <v>9.8810855538574716E-3</v>
      </c>
      <c r="W28" s="2"/>
      <c r="X28" s="6">
        <f t="shared" si="18"/>
        <v>-3010.4481070769216</v>
      </c>
      <c r="Y28" s="2"/>
      <c r="Z28" s="7">
        <f t="shared" si="19"/>
        <v>-0.56046311697419093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2595.54</v>
      </c>
      <c r="E29" s="2"/>
      <c r="F29" s="7">
        <f t="shared" si="12"/>
        <v>1.1569237330454004E-2</v>
      </c>
      <c r="G29" s="2"/>
      <c r="H29" s="6">
        <v>5639.1538461538503</v>
      </c>
      <c r="I29" s="2"/>
      <c r="J29" s="7">
        <f t="shared" si="13"/>
        <v>2.4275307129375163E-2</v>
      </c>
      <c r="K29" s="2"/>
      <c r="L29" s="6">
        <f t="shared" si="14"/>
        <v>-3043.6138461538503</v>
      </c>
      <c r="M29" s="2"/>
      <c r="N29" s="7">
        <f t="shared" si="15"/>
        <v>-0.53972881910815895</v>
      </c>
      <c r="O29" s="11"/>
      <c r="P29" s="6">
        <v>10235.620000000001</v>
      </c>
      <c r="Q29" s="2"/>
      <c r="R29" s="7">
        <f t="shared" si="16"/>
        <v>1.9750785463445674E-2</v>
      </c>
      <c r="S29" s="2"/>
      <c r="T29" s="6">
        <v>19727.984615384619</v>
      </c>
      <c r="U29" s="2"/>
      <c r="V29" s="7">
        <f t="shared" si="17"/>
        <v>3.6291362427124024E-2</v>
      </c>
      <c r="W29" s="2"/>
      <c r="X29" s="6">
        <f t="shared" si="18"/>
        <v>-9492.3646153846184</v>
      </c>
      <c r="Y29" s="2"/>
      <c r="Z29" s="7">
        <f t="shared" si="19"/>
        <v>-0.48116240966561369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116.71</v>
      </c>
      <c r="E30" s="2"/>
      <c r="F30" s="7">
        <f t="shared" si="12"/>
        <v>5.2021763827075939E-4</v>
      </c>
      <c r="G30" s="2"/>
      <c r="H30" s="6">
        <v>139.2388</v>
      </c>
      <c r="I30" s="2"/>
      <c r="J30" s="7">
        <f t="shared" si="13"/>
        <v>5.9939216530348685E-4</v>
      </c>
      <c r="K30" s="2"/>
      <c r="L30" s="6">
        <f t="shared" si="14"/>
        <v>-22.528800000000004</v>
      </c>
      <c r="M30" s="2"/>
      <c r="N30" s="7">
        <f t="shared" si="15"/>
        <v>-0.16179972823666969</v>
      </c>
      <c r="O30" s="11"/>
      <c r="P30" s="6">
        <v>295.47000000000003</v>
      </c>
      <c r="Q30" s="2"/>
      <c r="R30" s="7">
        <f t="shared" si="16"/>
        <v>5.7014275450674142E-4</v>
      </c>
      <c r="S30" s="2"/>
      <c r="T30" s="6">
        <v>359.93636800000002</v>
      </c>
      <c r="U30" s="2"/>
      <c r="V30" s="7">
        <f t="shared" si="17"/>
        <v>6.6213459896983075E-4</v>
      </c>
      <c r="W30" s="2"/>
      <c r="X30" s="6">
        <f t="shared" si="18"/>
        <v>-64.466367999999989</v>
      </c>
      <c r="Y30" s="2"/>
      <c r="Z30" s="7">
        <f t="shared" si="19"/>
        <v>-0.17910490223094097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617.47</v>
      </c>
      <c r="E31" s="2"/>
      <c r="F31" s="7">
        <f t="shared" si="12"/>
        <v>2.7522815962903418E-3</v>
      </c>
      <c r="G31" s="2"/>
      <c r="H31" s="6">
        <v>970.97307692307697</v>
      </c>
      <c r="I31" s="2"/>
      <c r="J31" s="7">
        <f t="shared" si="13"/>
        <v>4.1798238352263326E-3</v>
      </c>
      <c r="K31" s="2"/>
      <c r="L31" s="6">
        <f t="shared" si="14"/>
        <v>-353.50307692307695</v>
      </c>
      <c r="M31" s="2"/>
      <c r="N31" s="7">
        <f t="shared" si="15"/>
        <v>-0.36407093597620149</v>
      </c>
      <c r="O31" s="11"/>
      <c r="P31" s="6">
        <v>1666.61</v>
      </c>
      <c r="Q31" s="2"/>
      <c r="R31" s="7">
        <f t="shared" si="16"/>
        <v>3.2159123298083738E-3</v>
      </c>
      <c r="S31" s="2"/>
      <c r="T31" s="6">
        <v>3495.5030769230784</v>
      </c>
      <c r="U31" s="2"/>
      <c r="V31" s="7">
        <f t="shared" si="17"/>
        <v>6.4302852776362742E-3</v>
      </c>
      <c r="W31" s="2"/>
      <c r="X31" s="6">
        <f t="shared" si="18"/>
        <v>-1828.8930769230785</v>
      </c>
      <c r="Y31" s="2"/>
      <c r="Z31" s="7">
        <f t="shared" si="19"/>
        <v>-0.52321312173839207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943.98</v>
      </c>
      <c r="E33" s="2"/>
      <c r="F33" s="7">
        <f t="shared" si="12"/>
        <v>4.2076518393867829E-3</v>
      </c>
      <c r="G33" s="2"/>
      <c r="H33" s="6">
        <v>737.91923076923092</v>
      </c>
      <c r="I33" s="2"/>
      <c r="J33" s="7">
        <f t="shared" si="13"/>
        <v>3.1765786946587643E-3</v>
      </c>
      <c r="K33" s="2"/>
      <c r="L33" s="6">
        <f t="shared" si="14"/>
        <v>206.0607692307691</v>
      </c>
      <c r="M33" s="2"/>
      <c r="N33" s="7">
        <f t="shared" si="15"/>
        <v>0.27924569605804239</v>
      </c>
      <c r="O33" s="11"/>
      <c r="P33" s="6">
        <v>2162.27</v>
      </c>
      <c r="Q33" s="2"/>
      <c r="R33" s="7">
        <f t="shared" si="16"/>
        <v>4.1723443117314511E-3</v>
      </c>
      <c r="S33" s="2"/>
      <c r="T33" s="6">
        <v>2510.8532307692317</v>
      </c>
      <c r="U33" s="2"/>
      <c r="V33" s="7">
        <f t="shared" si="17"/>
        <v>4.6189353031074899E-3</v>
      </c>
      <c r="W33" s="2"/>
      <c r="X33" s="6">
        <f t="shared" si="18"/>
        <v>-348.5832307692317</v>
      </c>
      <c r="Y33" s="2"/>
      <c r="Z33" s="7">
        <f t="shared" si="19"/>
        <v>-0.13883058814331367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998.94</v>
      </c>
      <c r="E34" s="2"/>
      <c r="F34" s="7">
        <f t="shared" si="12"/>
        <v>4.4526279459702889E-3</v>
      </c>
      <c r="G34" s="2"/>
      <c r="H34" s="6">
        <v>1901.7692307692298</v>
      </c>
      <c r="I34" s="2"/>
      <c r="J34" s="7">
        <f t="shared" si="13"/>
        <v>8.1866949236729658E-3</v>
      </c>
      <c r="K34" s="2"/>
      <c r="L34" s="6">
        <f t="shared" si="14"/>
        <v>-902.82923076922975</v>
      </c>
      <c r="M34" s="2"/>
      <c r="N34" s="7">
        <f t="shared" si="15"/>
        <v>-0.47473122193908479</v>
      </c>
      <c r="O34" s="11"/>
      <c r="P34" s="6">
        <v>2167.98</v>
      </c>
      <c r="Q34" s="2"/>
      <c r="R34" s="7">
        <f t="shared" si="16"/>
        <v>4.1833624019884429E-3</v>
      </c>
      <c r="S34" s="2"/>
      <c r="T34" s="6">
        <v>5157.4532307692261</v>
      </c>
      <c r="U34" s="2"/>
      <c r="V34" s="7">
        <f t="shared" si="17"/>
        <v>9.4875887247410345E-3</v>
      </c>
      <c r="W34" s="2"/>
      <c r="X34" s="6">
        <f t="shared" si="18"/>
        <v>-2989.4732307692261</v>
      </c>
      <c r="Y34" s="2"/>
      <c r="Z34" s="7">
        <f t="shared" si="19"/>
        <v>-0.57964136503150621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511.18</v>
      </c>
      <c r="E35" s="2"/>
      <c r="F35" s="7">
        <f t="shared" si="12"/>
        <v>2.2785095735690752E-3</v>
      </c>
      <c r="G35" s="2"/>
      <c r="H35" s="6">
        <v>150</v>
      </c>
      <c r="I35" s="2"/>
      <c r="J35" s="7">
        <f t="shared" si="13"/>
        <v>6.4571674558760225E-4</v>
      </c>
      <c r="K35" s="2"/>
      <c r="L35" s="6">
        <f t="shared" si="14"/>
        <v>361.18</v>
      </c>
      <c r="M35" s="2"/>
      <c r="N35" s="7">
        <f t="shared" si="15"/>
        <v>2.4078666666666666</v>
      </c>
      <c r="O35" s="11"/>
      <c r="P35" s="6">
        <v>1319.6</v>
      </c>
      <c r="Q35" s="2"/>
      <c r="R35" s="7">
        <f t="shared" si="16"/>
        <v>2.5463173210379933E-3</v>
      </c>
      <c r="S35" s="2"/>
      <c r="T35" s="6">
        <v>600</v>
      </c>
      <c r="U35" s="2"/>
      <c r="V35" s="7">
        <f t="shared" si="17"/>
        <v>1.1037527593818985E-3</v>
      </c>
      <c r="W35" s="2"/>
      <c r="X35" s="6">
        <f t="shared" si="18"/>
        <v>719.59999999999991</v>
      </c>
      <c r="Y35" s="2"/>
      <c r="Z35" s="7">
        <f t="shared" si="19"/>
        <v>1.1993333333333331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52716.800000000003</v>
      </c>
      <c r="E36" s="1"/>
      <c r="F36" s="5">
        <f t="shared" ref="F36:F46" si="20">IF(D$12=0,0,D36/D$12)</f>
        <v>0.23497737291741896</v>
      </c>
      <c r="G36" s="1"/>
      <c r="H36" s="1">
        <f>SUM(OSRRefH22_1x_0)</f>
        <v>52077.546153846197</v>
      </c>
      <c r="I36" s="1"/>
      <c r="J36" s="5">
        <f t="shared" ref="J36:J46" si="21">IF(H$12=0,0,H36/H$12)</f>
        <v>0.22418229080433144</v>
      </c>
      <c r="K36" s="1"/>
      <c r="L36" s="1">
        <f t="shared" ref="L36:L46" si="22">+D36-H36</f>
        <v>639.25384615380608</v>
      </c>
      <c r="M36" s="1"/>
      <c r="N36" s="5">
        <f t="shared" ref="N36:N46" si="23">IF(H36=0,0,L36/H36)</f>
        <v>1.2275037772811687E-2</v>
      </c>
      <c r="O36" s="13"/>
      <c r="P36" s="1">
        <f>SUM(OSRRefP22_1x_0)</f>
        <v>131281.18</v>
      </c>
      <c r="Q36" s="1"/>
      <c r="R36" s="5">
        <f t="shared" ref="R36:R46" si="24">IF(P$12=0,0,P36/P$12)</f>
        <v>0.25332187220393043</v>
      </c>
      <c r="S36" s="1"/>
      <c r="T36" s="1">
        <f>SUM(OSRRefT22_1x_0)</f>
        <v>133415.35815384623</v>
      </c>
      <c r="U36" s="1"/>
      <c r="V36" s="5">
        <f t="shared" ref="V36:V46" si="25">IF(T$12=0,0,T36/T$12)</f>
        <v>0.24542928284372006</v>
      </c>
      <c r="W36" s="1"/>
      <c r="X36" s="1">
        <f t="shared" ref="X36:X46" si="26">+P36-T36</f>
        <v>-2134.1781538462383</v>
      </c>
      <c r="Y36" s="1"/>
      <c r="Z36" s="5">
        <f t="shared" ref="Z36:Z46" si="27">IF(T36=0,0,X36/T36)</f>
        <v>-1.599649533140883E-2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11050</v>
      </c>
      <c r="E38" s="2"/>
      <c r="F38" s="7">
        <f t="shared" si="20"/>
        <v>4.9253747775613838E-2</v>
      </c>
      <c r="G38" s="2"/>
      <c r="H38" s="6">
        <v>10161.346153846202</v>
      </c>
      <c r="I38" s="2"/>
      <c r="J38" s="7">
        <f t="shared" si="21"/>
        <v>4.3742342461671122E-2</v>
      </c>
      <c r="K38" s="2"/>
      <c r="L38" s="6">
        <f t="shared" si="22"/>
        <v>888.65384615379844</v>
      </c>
      <c r="M38" s="2"/>
      <c r="N38" s="7">
        <f t="shared" si="23"/>
        <v>8.7454342436452809E-2</v>
      </c>
      <c r="O38" s="11"/>
      <c r="P38" s="6">
        <v>27128</v>
      </c>
      <c r="Q38" s="2"/>
      <c r="R38" s="7">
        <f t="shared" si="24"/>
        <v>5.2346541592239081E-2</v>
      </c>
      <c r="S38" s="2"/>
      <c r="T38" s="6">
        <v>36580.846153846243</v>
      </c>
      <c r="U38" s="2"/>
      <c r="V38" s="7">
        <f t="shared" si="25"/>
        <v>6.7293683138054158E-2</v>
      </c>
      <c r="W38" s="2"/>
      <c r="X38" s="6">
        <f t="shared" si="26"/>
        <v>-9452.8461538462434</v>
      </c>
      <c r="Y38" s="2"/>
      <c r="Z38" s="7">
        <f t="shared" si="27"/>
        <v>-0.25840971841085575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6967.79</v>
      </c>
      <c r="E40" s="2"/>
      <c r="F40" s="7">
        <f t="shared" si="20"/>
        <v>3.1057897847370529E-2</v>
      </c>
      <c r="G40" s="2"/>
      <c r="H40" s="6">
        <v>4958.7</v>
      </c>
      <c r="I40" s="2"/>
      <c r="J40" s="7">
        <f t="shared" si="21"/>
        <v>2.1346104175634956E-2</v>
      </c>
      <c r="K40" s="2"/>
      <c r="L40" s="6">
        <f t="shared" si="22"/>
        <v>2009.0900000000001</v>
      </c>
      <c r="M40" s="2"/>
      <c r="N40" s="7">
        <f t="shared" si="23"/>
        <v>0.40516466009236296</v>
      </c>
      <c r="O40" s="11"/>
      <c r="P40" s="6">
        <v>11621.08</v>
      </c>
      <c r="Q40" s="2"/>
      <c r="R40" s="7">
        <f t="shared" si="24"/>
        <v>2.2424187096974999E-2</v>
      </c>
      <c r="S40" s="2"/>
      <c r="T40" s="6">
        <v>12657.012000000001</v>
      </c>
      <c r="U40" s="2"/>
      <c r="V40" s="7">
        <f t="shared" si="25"/>
        <v>2.3283686534216336E-2</v>
      </c>
      <c r="W40" s="2"/>
      <c r="X40" s="6">
        <f t="shared" si="26"/>
        <v>-1035.9320000000007</v>
      </c>
      <c r="Y40" s="2"/>
      <c r="Z40" s="7">
        <f t="shared" si="27"/>
        <v>-8.1846489519011328E-2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16601.060000000001</v>
      </c>
      <c r="E41" s="2"/>
      <c r="F41" s="7">
        <f t="shared" si="20"/>
        <v>7.3996780275821891E-2</v>
      </c>
      <c r="G41" s="2"/>
      <c r="H41" s="6">
        <v>15832.5</v>
      </c>
      <c r="I41" s="2"/>
      <c r="J41" s="7">
        <f t="shared" si="21"/>
        <v>6.8155402496771419E-2</v>
      </c>
      <c r="K41" s="2"/>
      <c r="L41" s="6">
        <f t="shared" si="22"/>
        <v>768.56000000000131</v>
      </c>
      <c r="M41" s="2"/>
      <c r="N41" s="7">
        <f t="shared" si="23"/>
        <v>4.8543186483499215E-2</v>
      </c>
      <c r="O41" s="11"/>
      <c r="P41" s="6">
        <v>39664.85</v>
      </c>
      <c r="Q41" s="2"/>
      <c r="R41" s="7">
        <f t="shared" si="24"/>
        <v>7.6537810390553088E-2</v>
      </c>
      <c r="S41" s="2"/>
      <c r="T41" s="6">
        <v>36207.5</v>
      </c>
      <c r="U41" s="2"/>
      <c r="V41" s="7">
        <f t="shared" si="25"/>
        <v>6.6606880058866808E-2</v>
      </c>
      <c r="W41" s="2"/>
      <c r="X41" s="6">
        <f t="shared" si="26"/>
        <v>3457.3499999999985</v>
      </c>
      <c r="Y41" s="2"/>
      <c r="Z41" s="7">
        <f t="shared" si="27"/>
        <v>9.5487122833667018E-2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2572.38</v>
      </c>
      <c r="E42" s="2"/>
      <c r="F42" s="7">
        <f t="shared" si="20"/>
        <v>1.146600504099851E-2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2572.38</v>
      </c>
      <c r="M42" s="2"/>
      <c r="N42" s="7">
        <f t="shared" si="23"/>
        <v>0</v>
      </c>
      <c r="O42" s="11"/>
      <c r="P42" s="6">
        <v>6035.26</v>
      </c>
      <c r="Q42" s="2"/>
      <c r="R42" s="7">
        <f t="shared" si="24"/>
        <v>1.1645716182909792E-2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6035.26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14475.57</v>
      </c>
      <c r="E43" s="2"/>
      <c r="F43" s="7">
        <f t="shared" si="20"/>
        <v>6.4522721600745916E-2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14475.57</v>
      </c>
      <c r="M43" s="2"/>
      <c r="N43" s="7">
        <f t="shared" si="23"/>
        <v>0</v>
      </c>
      <c r="O43" s="11"/>
      <c r="P43" s="6">
        <v>45001.990000000005</v>
      </c>
      <c r="Q43" s="2"/>
      <c r="R43" s="7">
        <f t="shared" si="24"/>
        <v>8.6836425142602758E-2</v>
      </c>
      <c r="S43" s="2"/>
      <c r="T43" s="6">
        <v>2535</v>
      </c>
      <c r="U43" s="2"/>
      <c r="V43" s="7">
        <f t="shared" si="25"/>
        <v>4.663355408388521E-3</v>
      </c>
      <c r="W43" s="2"/>
      <c r="X43" s="6">
        <f t="shared" si="26"/>
        <v>42466.990000000005</v>
      </c>
      <c r="Y43" s="2"/>
      <c r="Z43" s="7">
        <f t="shared" si="27"/>
        <v>16.752264299802764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1050</v>
      </c>
      <c r="E44" s="2"/>
      <c r="F44" s="7">
        <f t="shared" si="20"/>
        <v>4.6802203768682828E-3</v>
      </c>
      <c r="G44" s="2"/>
      <c r="H44" s="6">
        <v>21125</v>
      </c>
      <c r="I44" s="2"/>
      <c r="J44" s="7">
        <f t="shared" si="21"/>
        <v>9.0938441670253986E-2</v>
      </c>
      <c r="K44" s="2"/>
      <c r="L44" s="6">
        <f t="shared" si="22"/>
        <v>-20075</v>
      </c>
      <c r="M44" s="2"/>
      <c r="N44" s="7">
        <f t="shared" si="23"/>
        <v>-0.95029585798816563</v>
      </c>
      <c r="O44" s="11"/>
      <c r="P44" s="6">
        <v>1830</v>
      </c>
      <c r="Q44" s="2"/>
      <c r="R44" s="7">
        <f t="shared" si="24"/>
        <v>3.5311917986507488E-3</v>
      </c>
      <c r="S44" s="2"/>
      <c r="T44" s="6">
        <v>45435</v>
      </c>
      <c r="U44" s="2"/>
      <c r="V44" s="7">
        <f t="shared" si="25"/>
        <v>8.3581677704194265E-2</v>
      </c>
      <c r="W44" s="2"/>
      <c r="X44" s="6">
        <f t="shared" si="26"/>
        <v>-43605</v>
      </c>
      <c r="Y44" s="2"/>
      <c r="Z44" s="7">
        <f t="shared" si="27"/>
        <v>-0.95972268075272371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937</v>
      </c>
      <c r="E47" s="1"/>
      <c r="F47" s="5">
        <f t="shared" ref="F47:F56" si="28">IF(D$12=0,0,D47/D$12)</f>
        <v>4.1765395172624585E-3</v>
      </c>
      <c r="G47" s="1"/>
      <c r="H47" s="1">
        <f>SUM(OSRRefH22_2x_0)</f>
        <v>1580</v>
      </c>
      <c r="I47" s="1"/>
      <c r="J47" s="5">
        <f t="shared" ref="J47:J56" si="29">IF(H$12=0,0,H47/H$12)</f>
        <v>6.8015497201894103E-3</v>
      </c>
      <c r="K47" s="1"/>
      <c r="L47" s="1">
        <f t="shared" ref="L47:L56" si="30">+D47-H47</f>
        <v>-643</v>
      </c>
      <c r="M47" s="1"/>
      <c r="N47" s="5">
        <f t="shared" ref="N47:N56" si="31">IF(H47=0,0,L47/H47)</f>
        <v>-0.4069620253164557</v>
      </c>
      <c r="O47" s="13"/>
      <c r="P47" s="1">
        <f>SUM(OSRRefP22_2x_0)</f>
        <v>2440.9299999999998</v>
      </c>
      <c r="Q47" s="1"/>
      <c r="R47" s="5">
        <f t="shared" ref="R47:R56" si="32">IF(P$12=0,0,P47/P$12)</f>
        <v>4.7100502716287277E-3</v>
      </c>
      <c r="S47" s="1"/>
      <c r="T47" s="1">
        <f>SUM(OSRRefT22_2x_0)</f>
        <v>4230</v>
      </c>
      <c r="U47" s="1"/>
      <c r="V47" s="5">
        <f t="shared" ref="V47:V56" si="33">IF(T$12=0,0,T47/T$12)</f>
        <v>7.7814569536423838E-3</v>
      </c>
      <c r="W47" s="1"/>
      <c r="X47" s="1">
        <f t="shared" ref="X47:X56" si="34">+P47-T47</f>
        <v>-1789.0700000000002</v>
      </c>
      <c r="Y47" s="1"/>
      <c r="Z47" s="5">
        <f t="shared" ref="Z47:Z56" si="35">IF(T47=0,0,X47/T47)</f>
        <v>-0.42294799054373527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937</v>
      </c>
      <c r="E48" s="2"/>
      <c r="F48" s="7">
        <f t="shared" si="28"/>
        <v>4.1765395172624585E-3</v>
      </c>
      <c r="G48" s="2"/>
      <c r="H48" s="6">
        <v>1580</v>
      </c>
      <c r="I48" s="2"/>
      <c r="J48" s="7">
        <f t="shared" si="29"/>
        <v>6.8015497201894103E-3</v>
      </c>
      <c r="K48" s="2"/>
      <c r="L48" s="6">
        <f t="shared" si="30"/>
        <v>-643</v>
      </c>
      <c r="M48" s="2"/>
      <c r="N48" s="7">
        <f t="shared" si="31"/>
        <v>-0.4069620253164557</v>
      </c>
      <c r="O48" s="11"/>
      <c r="P48" s="6">
        <v>2440.9299999999998</v>
      </c>
      <c r="Q48" s="2"/>
      <c r="R48" s="7">
        <f t="shared" si="32"/>
        <v>4.7100502716287277E-3</v>
      </c>
      <c r="S48" s="2"/>
      <c r="T48" s="6">
        <v>4230</v>
      </c>
      <c r="U48" s="2"/>
      <c r="V48" s="7">
        <f t="shared" si="33"/>
        <v>7.7814569536423838E-3</v>
      </c>
      <c r="W48" s="2"/>
      <c r="X48" s="6">
        <f t="shared" si="34"/>
        <v>-1789.0700000000002</v>
      </c>
      <c r="Y48" s="2"/>
      <c r="Z48" s="7">
        <f t="shared" si="35"/>
        <v>-0.42294799054373527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-15.29</v>
      </c>
      <c r="E49" s="1"/>
      <c r="F49" s="5">
        <f t="shared" si="28"/>
        <v>-6.8152923392681946E-5</v>
      </c>
      <c r="G49" s="1"/>
      <c r="H49" s="1">
        <f>SUM(OSRRefH22_3x_0)</f>
        <v>10</v>
      </c>
      <c r="I49" s="1"/>
      <c r="J49" s="5">
        <f t="shared" si="29"/>
        <v>4.3047783039173483E-5</v>
      </c>
      <c r="K49" s="1"/>
      <c r="L49" s="1">
        <f t="shared" si="30"/>
        <v>-25.29</v>
      </c>
      <c r="M49" s="1"/>
      <c r="N49" s="5">
        <f t="shared" si="31"/>
        <v>-2.5289999999999999</v>
      </c>
      <c r="O49" s="13"/>
      <c r="P49" s="1">
        <f>SUM(OSRRefP22_3x_0)</f>
        <v>4.16</v>
      </c>
      <c r="Q49" s="1"/>
      <c r="R49" s="5">
        <f t="shared" si="32"/>
        <v>8.0271900996650909E-6</v>
      </c>
      <c r="S49" s="1"/>
      <c r="T49" s="1">
        <f>SUM(OSRRefT22_3x_0)</f>
        <v>40</v>
      </c>
      <c r="U49" s="1"/>
      <c r="V49" s="5">
        <f t="shared" si="33"/>
        <v>7.3583517292126564E-5</v>
      </c>
      <c r="W49" s="1"/>
      <c r="X49" s="1">
        <f t="shared" si="34"/>
        <v>-35.840000000000003</v>
      </c>
      <c r="Y49" s="1"/>
      <c r="Z49" s="5">
        <f t="shared" si="35"/>
        <v>-0.89600000000000013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-15.29</v>
      </c>
      <c r="E50" s="2"/>
      <c r="F50" s="7">
        <f t="shared" si="28"/>
        <v>-6.8152923392681946E-5</v>
      </c>
      <c r="G50" s="2"/>
      <c r="H50" s="6">
        <v>10</v>
      </c>
      <c r="I50" s="2"/>
      <c r="J50" s="7">
        <f t="shared" si="29"/>
        <v>4.3047783039173483E-5</v>
      </c>
      <c r="K50" s="2"/>
      <c r="L50" s="6">
        <f t="shared" si="30"/>
        <v>-25.29</v>
      </c>
      <c r="M50" s="2"/>
      <c r="N50" s="7">
        <f t="shared" si="31"/>
        <v>-2.5289999999999999</v>
      </c>
      <c r="O50" s="11"/>
      <c r="P50" s="6">
        <v>4.16</v>
      </c>
      <c r="Q50" s="2"/>
      <c r="R50" s="7">
        <f t="shared" si="32"/>
        <v>8.0271900996650909E-6</v>
      </c>
      <c r="S50" s="2"/>
      <c r="T50" s="6">
        <v>40</v>
      </c>
      <c r="U50" s="2"/>
      <c r="V50" s="7">
        <f t="shared" si="33"/>
        <v>7.3583517292126564E-5</v>
      </c>
      <c r="W50" s="2"/>
      <c r="X50" s="6">
        <f t="shared" si="34"/>
        <v>-35.840000000000003</v>
      </c>
      <c r="Y50" s="2"/>
      <c r="Z50" s="7">
        <f t="shared" si="35"/>
        <v>-0.89600000000000013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8778.2199999999993</v>
      </c>
      <c r="E51" s="1"/>
      <c r="F51" s="5">
        <f t="shared" si="28"/>
        <v>3.9127622968221615E-2</v>
      </c>
      <c r="G51" s="1"/>
      <c r="H51" s="1">
        <f>SUM(OSRRefH22_4x_0)</f>
        <v>8600</v>
      </c>
      <c r="I51" s="1"/>
      <c r="J51" s="5">
        <f t="shared" si="29"/>
        <v>3.7021093413689192E-2</v>
      </c>
      <c r="K51" s="1"/>
      <c r="L51" s="1">
        <f t="shared" si="30"/>
        <v>178.21999999999935</v>
      </c>
      <c r="M51" s="1"/>
      <c r="N51" s="5">
        <f t="shared" si="31"/>
        <v>2.0723255813953411E-2</v>
      </c>
      <c r="O51" s="13"/>
      <c r="P51" s="1">
        <f>SUM(OSRRefP22_4x_0)</f>
        <v>18883.59</v>
      </c>
      <c r="Q51" s="1"/>
      <c r="R51" s="5">
        <f t="shared" si="32"/>
        <v>3.6438020839936226E-2</v>
      </c>
      <c r="S51" s="1"/>
      <c r="T51" s="1">
        <f>SUM(OSRRefT22_4x_0)</f>
        <v>20050</v>
      </c>
      <c r="U51" s="1"/>
      <c r="V51" s="5">
        <f t="shared" si="33"/>
        <v>3.6883738042678443E-2</v>
      </c>
      <c r="W51" s="1"/>
      <c r="X51" s="1">
        <f t="shared" si="34"/>
        <v>-1166.4099999999999</v>
      </c>
      <c r="Y51" s="1"/>
      <c r="Z51" s="5">
        <f t="shared" si="35"/>
        <v>-5.8175062344139647E-2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8778.2199999999993</v>
      </c>
      <c r="E52" s="2"/>
      <c r="F52" s="7">
        <f t="shared" si="28"/>
        <v>3.9127622968221615E-2</v>
      </c>
      <c r="G52" s="2"/>
      <c r="H52" s="6">
        <v>8600</v>
      </c>
      <c r="I52" s="2"/>
      <c r="J52" s="7">
        <f t="shared" si="29"/>
        <v>3.7021093413689192E-2</v>
      </c>
      <c r="K52" s="2"/>
      <c r="L52" s="6">
        <f t="shared" si="30"/>
        <v>178.21999999999935</v>
      </c>
      <c r="M52" s="2"/>
      <c r="N52" s="7">
        <f t="shared" si="31"/>
        <v>2.0723255813953411E-2</v>
      </c>
      <c r="O52" s="11"/>
      <c r="P52" s="6">
        <v>18883.59</v>
      </c>
      <c r="Q52" s="2"/>
      <c r="R52" s="7">
        <f t="shared" si="32"/>
        <v>3.6438020839936226E-2</v>
      </c>
      <c r="S52" s="2"/>
      <c r="T52" s="6">
        <v>20050</v>
      </c>
      <c r="U52" s="2"/>
      <c r="V52" s="7">
        <f t="shared" si="33"/>
        <v>3.6883738042678443E-2</v>
      </c>
      <c r="W52" s="2"/>
      <c r="X52" s="6">
        <f t="shared" si="34"/>
        <v>-1166.4099999999999</v>
      </c>
      <c r="Y52" s="2"/>
      <c r="Z52" s="7">
        <f t="shared" si="35"/>
        <v>-5.8175062344139647E-2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3.6833200645371197E-2</v>
      </c>
      <c r="G53" s="1"/>
      <c r="H53" s="1">
        <f>SUM(OSRRefH22_5x_0)</f>
        <v>8780</v>
      </c>
      <c r="I53" s="1"/>
      <c r="J53" s="5">
        <f t="shared" si="29"/>
        <v>3.779595350839432E-2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33053.880000000005</v>
      </c>
      <c r="Q53" s="1"/>
      <c r="R53" s="5">
        <f t="shared" si="32"/>
        <v>6.3781196704691817E-2</v>
      </c>
      <c r="S53" s="1"/>
      <c r="T53" s="1">
        <f>SUM(OSRRefT22_5x_0)</f>
        <v>34652</v>
      </c>
      <c r="U53" s="1"/>
      <c r="V53" s="5">
        <f t="shared" si="33"/>
        <v>6.3745401030169235E-2</v>
      </c>
      <c r="W53" s="1"/>
      <c r="X53" s="1">
        <f t="shared" si="34"/>
        <v>-1598.1199999999953</v>
      </c>
      <c r="Y53" s="1"/>
      <c r="Z53" s="5">
        <f t="shared" si="35"/>
        <v>-4.61191273230981E-2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2.9137937728196964E-2</v>
      </c>
      <c r="G54" s="2"/>
      <c r="H54" s="6">
        <v>6537</v>
      </c>
      <c r="I54" s="2"/>
      <c r="J54" s="7">
        <f t="shared" si="29"/>
        <v>2.8140335772707706E-2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26148.2</v>
      </c>
      <c r="Q54" s="2"/>
      <c r="R54" s="7">
        <f t="shared" si="32"/>
        <v>5.0455906770207386E-2</v>
      </c>
      <c r="S54" s="2"/>
      <c r="T54" s="6">
        <v>26148</v>
      </c>
      <c r="U54" s="2"/>
      <c r="V54" s="7">
        <f t="shared" si="33"/>
        <v>4.8101545253863134E-2</v>
      </c>
      <c r="W54" s="2"/>
      <c r="X54" s="6">
        <f t="shared" si="34"/>
        <v>0.2000000000007276</v>
      </c>
      <c r="Y54" s="2"/>
      <c r="Z54" s="7">
        <f t="shared" si="35"/>
        <v>7.6487685482915549E-6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1726.42</v>
      </c>
      <c r="E55" s="2"/>
      <c r="F55" s="7">
        <f t="shared" si="28"/>
        <v>7.6952629171742302E-3</v>
      </c>
      <c r="G55" s="2"/>
      <c r="H55" s="6">
        <v>1726</v>
      </c>
      <c r="I55" s="2"/>
      <c r="J55" s="7">
        <f t="shared" si="29"/>
        <v>7.4300473525613434E-3</v>
      </c>
      <c r="K55" s="2"/>
      <c r="L55" s="6">
        <f t="shared" si="30"/>
        <v>0.42000000000007276</v>
      </c>
      <c r="M55" s="2"/>
      <c r="N55" s="7">
        <f t="shared" si="31"/>
        <v>2.4333719582854738E-4</v>
      </c>
      <c r="O55" s="11"/>
      <c r="P55" s="6">
        <v>6905.68</v>
      </c>
      <c r="Q55" s="2"/>
      <c r="R55" s="7">
        <f t="shared" si="32"/>
        <v>1.332528993448443E-2</v>
      </c>
      <c r="S55" s="2"/>
      <c r="T55" s="6">
        <v>6904</v>
      </c>
      <c r="U55" s="2"/>
      <c r="V55" s="7">
        <f t="shared" si="33"/>
        <v>1.2700515084621045E-2</v>
      </c>
      <c r="W55" s="2"/>
      <c r="X55" s="6">
        <f t="shared" si="34"/>
        <v>1.680000000000291</v>
      </c>
      <c r="Y55" s="2"/>
      <c r="Z55" s="7">
        <f t="shared" si="35"/>
        <v>2.4333719582854738E-4</v>
      </c>
    </row>
    <row r="56" spans="1:26" s="24" customFormat="1" hidden="1" outlineLevel="2" x14ac:dyDescent="0.25">
      <c r="A56" s="27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517</v>
      </c>
      <c r="I56" s="2"/>
      <c r="J56" s="7">
        <f t="shared" si="29"/>
        <v>2.225570383125269E-3</v>
      </c>
      <c r="K56" s="2"/>
      <c r="L56" s="6">
        <f t="shared" si="30"/>
        <v>-517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1600</v>
      </c>
      <c r="U56" s="2"/>
      <c r="V56" s="7">
        <f t="shared" si="33"/>
        <v>2.9433406916850625E-3</v>
      </c>
      <c r="W56" s="2"/>
      <c r="X56" s="6">
        <f t="shared" si="34"/>
        <v>-1600</v>
      </c>
      <c r="Y56" s="2"/>
      <c r="Z56" s="7">
        <f t="shared" si="35"/>
        <v>-1</v>
      </c>
    </row>
    <row r="57" spans="1:26" s="26" customFormat="1" outlineLevel="1" collapsed="1" x14ac:dyDescent="0.25">
      <c r="A57" s="25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ref="F57:F63" si="36">IF(D$12=0,0,D57/D$12)</f>
        <v>0</v>
      </c>
      <c r="G57" s="1"/>
      <c r="H57" s="1">
        <f>SUM(OSRRefH22_6x_0)</f>
        <v>75</v>
      </c>
      <c r="I57" s="1"/>
      <c r="J57" s="5">
        <f t="shared" ref="J57:J63" si="37">IF(H$12=0,0,H57/H$12)</f>
        <v>3.2285837279380112E-4</v>
      </c>
      <c r="K57" s="1"/>
      <c r="L57" s="1">
        <f t="shared" ref="L57:L63" si="38">+D57-H57</f>
        <v>-75</v>
      </c>
      <c r="M57" s="1"/>
      <c r="N57" s="5">
        <f t="shared" ref="N57:N63" si="39">IF(H57=0,0,L57/H57)</f>
        <v>-1</v>
      </c>
      <c r="O57" s="13"/>
      <c r="P57" s="1">
        <f>SUM(OSRRefP22_6x_0)</f>
        <v>8.25</v>
      </c>
      <c r="Q57" s="1"/>
      <c r="R57" s="5">
        <f t="shared" ref="R57:R63" si="40">IF(P$12=0,0,P57/P$12)</f>
        <v>1.5919307288999277E-5</v>
      </c>
      <c r="S57" s="1"/>
      <c r="T57" s="1">
        <f>SUM(OSRRefT22_6x_0)</f>
        <v>275</v>
      </c>
      <c r="U57" s="1"/>
      <c r="V57" s="5">
        <f t="shared" ref="V57:V63" si="41">IF(T$12=0,0,T57/T$12)</f>
        <v>5.0588668138337018E-4</v>
      </c>
      <c r="W57" s="1"/>
      <c r="X57" s="1">
        <f t="shared" ref="X57:X63" si="42">+P57-T57</f>
        <v>-266.75</v>
      </c>
      <c r="Y57" s="1"/>
      <c r="Z57" s="5">
        <f t="shared" ref="Z57:Z63" si="43">IF(T57=0,0,X57/T57)</f>
        <v>-0.97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75</v>
      </c>
      <c r="I58" s="2"/>
      <c r="J58" s="7">
        <f t="shared" si="37"/>
        <v>3.2285837279380112E-4</v>
      </c>
      <c r="K58" s="2"/>
      <c r="L58" s="6">
        <f t="shared" si="38"/>
        <v>-75</v>
      </c>
      <c r="M58" s="2"/>
      <c r="N58" s="7">
        <f t="shared" si="39"/>
        <v>-1</v>
      </c>
      <c r="O58" s="11"/>
      <c r="P58" s="6">
        <v>8.25</v>
      </c>
      <c r="Q58" s="2"/>
      <c r="R58" s="7">
        <f t="shared" si="40"/>
        <v>1.5919307288999277E-5</v>
      </c>
      <c r="S58" s="2"/>
      <c r="T58" s="6">
        <v>275</v>
      </c>
      <c r="U58" s="2"/>
      <c r="V58" s="7">
        <f t="shared" si="41"/>
        <v>5.0588668138337018E-4</v>
      </c>
      <c r="W58" s="2"/>
      <c r="X58" s="6">
        <f t="shared" si="42"/>
        <v>-266.75</v>
      </c>
      <c r="Y58" s="2"/>
      <c r="Z58" s="7">
        <f t="shared" si="43"/>
        <v>-0.97</v>
      </c>
    </row>
    <row r="59" spans="1:26" s="26" customFormat="1" outlineLevel="1" collapsed="1" x14ac:dyDescent="0.25">
      <c r="A59" s="25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1042.31</v>
      </c>
      <c r="E59" s="1"/>
      <c r="F59" s="5">
        <f t="shared" si="36"/>
        <v>4.6459433342986474E-3</v>
      </c>
      <c r="G59" s="1"/>
      <c r="H59" s="1">
        <f>SUM(OSRRefH22_7x_0)</f>
        <v>55</v>
      </c>
      <c r="I59" s="1"/>
      <c r="J59" s="5">
        <f t="shared" si="37"/>
        <v>2.3676280671545416E-4</v>
      </c>
      <c r="K59" s="1"/>
      <c r="L59" s="1">
        <f t="shared" si="38"/>
        <v>987.31</v>
      </c>
      <c r="M59" s="1"/>
      <c r="N59" s="5">
        <f t="shared" si="39"/>
        <v>17.951090909090908</v>
      </c>
      <c r="O59" s="13"/>
      <c r="P59" s="1">
        <f>SUM(OSRRefP22_7x_0)</f>
        <v>1961.24</v>
      </c>
      <c r="Q59" s="1"/>
      <c r="R59" s="5">
        <f t="shared" si="40"/>
        <v>3.7844342093911448E-3</v>
      </c>
      <c r="S59" s="1"/>
      <c r="T59" s="1">
        <f>SUM(OSRRefT22_7x_0)</f>
        <v>330</v>
      </c>
      <c r="U59" s="1"/>
      <c r="V59" s="5">
        <f t="shared" si="41"/>
        <v>6.0706401766004415E-4</v>
      </c>
      <c r="W59" s="1"/>
      <c r="X59" s="1">
        <f t="shared" si="42"/>
        <v>1631.24</v>
      </c>
      <c r="Y59" s="1"/>
      <c r="Z59" s="5">
        <f t="shared" si="43"/>
        <v>4.9431515151515155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1042.31</v>
      </c>
      <c r="E60" s="2"/>
      <c r="F60" s="7">
        <f t="shared" si="36"/>
        <v>4.6459433342986474E-3</v>
      </c>
      <c r="G60" s="2"/>
      <c r="H60" s="6">
        <v>55</v>
      </c>
      <c r="I60" s="2"/>
      <c r="J60" s="7">
        <f t="shared" si="37"/>
        <v>2.3676280671545416E-4</v>
      </c>
      <c r="K60" s="2"/>
      <c r="L60" s="6">
        <f t="shared" si="38"/>
        <v>987.31</v>
      </c>
      <c r="M60" s="2"/>
      <c r="N60" s="7">
        <f t="shared" si="39"/>
        <v>17.951090909090908</v>
      </c>
      <c r="O60" s="11"/>
      <c r="P60" s="6">
        <v>1961.24</v>
      </c>
      <c r="Q60" s="2"/>
      <c r="R60" s="7">
        <f t="shared" si="40"/>
        <v>3.7844342093911448E-3</v>
      </c>
      <c r="S60" s="2"/>
      <c r="T60" s="6">
        <v>330</v>
      </c>
      <c r="U60" s="2"/>
      <c r="V60" s="7">
        <f t="shared" si="41"/>
        <v>6.0706401766004415E-4</v>
      </c>
      <c r="W60" s="2"/>
      <c r="X60" s="6">
        <f t="shared" si="42"/>
        <v>1631.24</v>
      </c>
      <c r="Y60" s="2"/>
      <c r="Z60" s="7">
        <f t="shared" si="43"/>
        <v>4.9431515151515155</v>
      </c>
    </row>
    <row r="61" spans="1:26" s="26" customFormat="1" outlineLevel="1" collapsed="1" x14ac:dyDescent="0.25">
      <c r="A61" s="25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1870.5</v>
      </c>
      <c r="E61" s="1"/>
      <c r="F61" s="5">
        <f t="shared" si="36"/>
        <v>8.3374782999353567E-3</v>
      </c>
      <c r="G61" s="1"/>
      <c r="H61" s="1">
        <f>SUM(OSRRefH22_8x_0)</f>
        <v>750</v>
      </c>
      <c r="I61" s="1"/>
      <c r="J61" s="5">
        <f t="shared" si="37"/>
        <v>3.2285837279380112E-3</v>
      </c>
      <c r="K61" s="1"/>
      <c r="L61" s="1">
        <f t="shared" si="38"/>
        <v>1120.5</v>
      </c>
      <c r="M61" s="1"/>
      <c r="N61" s="5">
        <f t="shared" si="39"/>
        <v>1.494</v>
      </c>
      <c r="O61" s="13"/>
      <c r="P61" s="1">
        <f>SUM(OSRRefP22_8x_0)</f>
        <v>6760.05</v>
      </c>
      <c r="Q61" s="1"/>
      <c r="R61" s="5">
        <f t="shared" si="40"/>
        <v>1.3044280392606009E-2</v>
      </c>
      <c r="S61" s="1"/>
      <c r="T61" s="1">
        <f>SUM(OSRRefT22_8x_0)</f>
        <v>3150</v>
      </c>
      <c r="U61" s="1"/>
      <c r="V61" s="5">
        <f t="shared" si="41"/>
        <v>5.794701986754967E-3</v>
      </c>
      <c r="W61" s="1"/>
      <c r="X61" s="1">
        <f t="shared" si="42"/>
        <v>3610.05</v>
      </c>
      <c r="Y61" s="1"/>
      <c r="Z61" s="5">
        <f t="shared" si="43"/>
        <v>1.1460476190476192</v>
      </c>
    </row>
    <row r="62" spans="1:26" s="24" customFormat="1" hidden="1" outlineLevel="2" x14ac:dyDescent="0.25">
      <c r="A62" s="27"/>
      <c r="B62" s="11" t="str">
        <f>CONCATENATE("          ", "6269", " - ", "ENTERTAINMENT")</f>
        <v xml:space="preserve">          6269 - ENTERTAINMENT</v>
      </c>
      <c r="C62" s="11"/>
      <c r="D62" s="6">
        <v>1850</v>
      </c>
      <c r="E62" s="2"/>
      <c r="F62" s="7">
        <f t="shared" si="36"/>
        <v>8.2461025687679268E-3</v>
      </c>
      <c r="G62" s="2"/>
      <c r="H62" s="6">
        <v>750</v>
      </c>
      <c r="I62" s="2"/>
      <c r="J62" s="7">
        <f t="shared" si="37"/>
        <v>3.2285837279380112E-3</v>
      </c>
      <c r="K62" s="2"/>
      <c r="L62" s="6">
        <f t="shared" si="38"/>
        <v>1100</v>
      </c>
      <c r="M62" s="2"/>
      <c r="N62" s="7">
        <f t="shared" si="39"/>
        <v>1.4666666666666666</v>
      </c>
      <c r="O62" s="11"/>
      <c r="P62" s="6">
        <v>5500</v>
      </c>
      <c r="Q62" s="2"/>
      <c r="R62" s="7">
        <f t="shared" si="40"/>
        <v>1.0612871525999519E-2</v>
      </c>
      <c r="S62" s="2"/>
      <c r="T62" s="6">
        <v>3150</v>
      </c>
      <c r="U62" s="2"/>
      <c r="V62" s="7">
        <f t="shared" si="41"/>
        <v>5.794701986754967E-3</v>
      </c>
      <c r="W62" s="2"/>
      <c r="X62" s="6">
        <f t="shared" si="42"/>
        <v>2350</v>
      </c>
      <c r="Y62" s="2"/>
      <c r="Z62" s="7">
        <f t="shared" si="43"/>
        <v>0.74603174603174605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20.5</v>
      </c>
      <c r="E63" s="2"/>
      <c r="F63" s="7">
        <f t="shared" si="36"/>
        <v>9.1375731167428386E-5</v>
      </c>
      <c r="G63" s="2"/>
      <c r="H63" s="6"/>
      <c r="I63" s="2"/>
      <c r="J63" s="7">
        <f t="shared" si="37"/>
        <v>0</v>
      </c>
      <c r="K63" s="2"/>
      <c r="L63" s="6">
        <f t="shared" si="38"/>
        <v>20.5</v>
      </c>
      <c r="M63" s="2"/>
      <c r="N63" s="7">
        <f t="shared" si="39"/>
        <v>0</v>
      </c>
      <c r="O63" s="11"/>
      <c r="P63" s="6">
        <v>1260.05</v>
      </c>
      <c r="Q63" s="2"/>
      <c r="R63" s="7">
        <f t="shared" si="40"/>
        <v>2.4314088666064896E-3</v>
      </c>
      <c r="S63" s="2"/>
      <c r="T63" s="6"/>
      <c r="U63" s="2"/>
      <c r="V63" s="7">
        <f t="shared" si="41"/>
        <v>0</v>
      </c>
      <c r="W63" s="2"/>
      <c r="X63" s="6">
        <f t="shared" si="42"/>
        <v>1260.05</v>
      </c>
      <c r="Y63" s="2"/>
      <c r="Z63" s="7">
        <f t="shared" si="43"/>
        <v>0</v>
      </c>
    </row>
    <row r="64" spans="1:26" s="26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SUM(OSRRefD22_9x_0)</f>
        <v>3825.22</v>
      </c>
      <c r="E64" s="1"/>
      <c r="F64" s="5">
        <f t="shared" ref="F64:F67" si="44">IF(D$12=0,0,D64/D$12)</f>
        <v>1.7050354847622948E-2</v>
      </c>
      <c r="G64" s="1"/>
      <c r="H64" s="1">
        <f>SUM(OSRRefH22_9x_0)</f>
        <v>2300</v>
      </c>
      <c r="I64" s="1"/>
      <c r="J64" s="5">
        <f t="shared" ref="J64:J67" si="45">IF(H$12=0,0,H64/H$12)</f>
        <v>9.9009900990099011E-3</v>
      </c>
      <c r="K64" s="1"/>
      <c r="L64" s="1">
        <f t="shared" ref="L64:L67" si="46">+D64-H64</f>
        <v>1525.2199999999998</v>
      </c>
      <c r="M64" s="1"/>
      <c r="N64" s="5">
        <f t="shared" ref="N64:N67" si="47">IF(H64=0,0,L64/H64)</f>
        <v>0.66313913043478256</v>
      </c>
      <c r="O64" s="13"/>
      <c r="P64" s="1">
        <f>SUM(OSRRefP22_9x_0)</f>
        <v>11849.689999999999</v>
      </c>
      <c r="Q64" s="1"/>
      <c r="R64" s="5">
        <f t="shared" ref="R64:R67" si="48">IF(P$12=0,0,P64/P$12)</f>
        <v>2.2865315925985678E-2</v>
      </c>
      <c r="S64" s="1"/>
      <c r="T64" s="1">
        <f>SUM(OSRRefT22_9x_0)</f>
        <v>5613</v>
      </c>
      <c r="U64" s="1"/>
      <c r="V64" s="5">
        <f t="shared" ref="V64:V67" si="49">IF(T$12=0,0,T64/T$12)</f>
        <v>1.032560706401766E-2</v>
      </c>
      <c r="W64" s="1"/>
      <c r="X64" s="1">
        <f t="shared" ref="X64:X67" si="50">+P64-T64</f>
        <v>6236.6899999999987</v>
      </c>
      <c r="Y64" s="1"/>
      <c r="Z64" s="5">
        <f t="shared" ref="Z64:Z67" si="51">IF(T64=0,0,X64/T64)</f>
        <v>1.1111152681275609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2623.85</v>
      </c>
      <c r="Q65" s="2"/>
      <c r="R65" s="7">
        <f t="shared" si="48"/>
        <v>5.0630150824534249E-3</v>
      </c>
      <c r="S65" s="2"/>
      <c r="T65" s="6"/>
      <c r="U65" s="2"/>
      <c r="V65" s="7">
        <f t="shared" si="49"/>
        <v>0</v>
      </c>
      <c r="W65" s="2"/>
      <c r="X65" s="6">
        <f t="shared" si="50"/>
        <v>2623.85</v>
      </c>
      <c r="Y65" s="2"/>
      <c r="Z65" s="7">
        <f t="shared" si="51"/>
        <v>0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6">
        <v>189.04</v>
      </c>
      <c r="E66" s="2"/>
      <c r="F66" s="7">
        <f t="shared" si="44"/>
        <v>8.4261796194588594E-4</v>
      </c>
      <c r="G66" s="2"/>
      <c r="H66" s="6"/>
      <c r="I66" s="2"/>
      <c r="J66" s="7">
        <f t="shared" si="45"/>
        <v>0</v>
      </c>
      <c r="K66" s="2"/>
      <c r="L66" s="6">
        <f t="shared" si="46"/>
        <v>189.04</v>
      </c>
      <c r="M66" s="2"/>
      <c r="N66" s="7">
        <f t="shared" si="47"/>
        <v>0</v>
      </c>
      <c r="O66" s="11"/>
      <c r="P66" s="6">
        <v>189.04</v>
      </c>
      <c r="Q66" s="2"/>
      <c r="R66" s="7">
        <f t="shared" si="48"/>
        <v>3.6477404241362708E-4</v>
      </c>
      <c r="S66" s="2"/>
      <c r="T66" s="6">
        <v>188</v>
      </c>
      <c r="U66" s="2"/>
      <c r="V66" s="7">
        <f t="shared" si="49"/>
        <v>3.4584253127299485E-4</v>
      </c>
      <c r="W66" s="2"/>
      <c r="X66" s="6">
        <f t="shared" si="50"/>
        <v>1.039999999999992</v>
      </c>
      <c r="Y66" s="2"/>
      <c r="Z66" s="7">
        <f t="shared" si="51"/>
        <v>5.5319148936169788E-3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3636.18</v>
      </c>
      <c r="E67" s="2"/>
      <c r="F67" s="7">
        <f t="shared" si="44"/>
        <v>1.620773688567706E-2</v>
      </c>
      <c r="G67" s="2"/>
      <c r="H67" s="6">
        <v>2300</v>
      </c>
      <c r="I67" s="2"/>
      <c r="J67" s="7">
        <f t="shared" si="45"/>
        <v>9.9009900990099011E-3</v>
      </c>
      <c r="K67" s="2"/>
      <c r="L67" s="6">
        <f t="shared" si="46"/>
        <v>1336.1799999999998</v>
      </c>
      <c r="M67" s="2"/>
      <c r="N67" s="7">
        <f t="shared" si="47"/>
        <v>0.5809478260869565</v>
      </c>
      <c r="O67" s="11"/>
      <c r="P67" s="6">
        <v>9036.7999999999993</v>
      </c>
      <c r="Q67" s="2"/>
      <c r="R67" s="7">
        <f t="shared" si="48"/>
        <v>1.7437526801118625E-2</v>
      </c>
      <c r="S67" s="2"/>
      <c r="T67" s="6">
        <v>5425</v>
      </c>
      <c r="U67" s="2"/>
      <c r="V67" s="7">
        <f t="shared" si="49"/>
        <v>9.9797645327446647E-3</v>
      </c>
      <c r="W67" s="2"/>
      <c r="X67" s="6">
        <f t="shared" si="50"/>
        <v>3611.7999999999993</v>
      </c>
      <c r="Y67" s="2"/>
      <c r="Z67" s="7">
        <f t="shared" si="51"/>
        <v>0.66576958525345609</v>
      </c>
    </row>
    <row r="68" spans="1:26" s="26" customFormat="1" outlineLevel="1" collapsed="1" x14ac:dyDescent="0.25">
      <c r="A68" s="25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SUM(OSRRefD22_10x_0)</f>
        <v>443.25</v>
      </c>
      <c r="E68" s="1"/>
      <c r="F68" s="5">
        <f t="shared" ref="F68:F71" si="52">IF(D$12=0,0,D68/D$12)</f>
        <v>1.9757216019493967E-3</v>
      </c>
      <c r="G68" s="1"/>
      <c r="H68" s="1">
        <f>SUM(OSRRefH22_10x_0)</f>
        <v>850</v>
      </c>
      <c r="I68" s="1"/>
      <c r="J68" s="5">
        <f t="shared" ref="J68:J71" si="53">IF(H$12=0,0,H68/H$12)</f>
        <v>3.6590615583297461E-3</v>
      </c>
      <c r="K68" s="1"/>
      <c r="L68" s="1">
        <f t="shared" ref="L68:L71" si="54">+D68-H68</f>
        <v>-406.75</v>
      </c>
      <c r="M68" s="1"/>
      <c r="N68" s="5">
        <f t="shared" ref="N68:N71" si="55">IF(H68=0,0,L68/H68)</f>
        <v>-0.47852941176470587</v>
      </c>
      <c r="O68" s="13"/>
      <c r="P68" s="1">
        <f>SUM(OSRRefP22_10x_0)</f>
        <v>1306</v>
      </c>
      <c r="Q68" s="1"/>
      <c r="R68" s="5">
        <f t="shared" ref="R68:R71" si="56">IF(P$12=0,0,P68/P$12)</f>
        <v>2.520074584173704E-3</v>
      </c>
      <c r="S68" s="1"/>
      <c r="T68" s="1">
        <f>SUM(OSRRefT22_10x_0)</f>
        <v>2492</v>
      </c>
      <c r="U68" s="1"/>
      <c r="V68" s="5">
        <f t="shared" ref="V68:V71" si="57">IF(T$12=0,0,T68/T$12)</f>
        <v>4.5842531272994851E-3</v>
      </c>
      <c r="W68" s="1"/>
      <c r="X68" s="1">
        <f t="shared" ref="X68:X71" si="58">+P68-T68</f>
        <v>-1186</v>
      </c>
      <c r="Y68" s="1"/>
      <c r="Z68" s="5">
        <f t="shared" ref="Z68:Z71" si="59">IF(T68=0,0,X68/T68)</f>
        <v>-0.47592295345104335</v>
      </c>
    </row>
    <row r="69" spans="1:26" s="24" customFormat="1" hidden="1" outlineLevel="2" x14ac:dyDescent="0.25">
      <c r="A69" s="27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52"/>
        <v>0</v>
      </c>
      <c r="G69" s="2"/>
      <c r="H69" s="6">
        <v>30</v>
      </c>
      <c r="I69" s="2"/>
      <c r="J69" s="7">
        <f t="shared" si="53"/>
        <v>1.2914334911752045E-4</v>
      </c>
      <c r="K69" s="2"/>
      <c r="L69" s="6">
        <f t="shared" si="54"/>
        <v>-30</v>
      </c>
      <c r="M69" s="2"/>
      <c r="N69" s="7">
        <f t="shared" si="55"/>
        <v>-1</v>
      </c>
      <c r="O69" s="11"/>
      <c r="P69" s="6">
        <v>119.25</v>
      </c>
      <c r="Q69" s="2"/>
      <c r="R69" s="7">
        <f t="shared" si="56"/>
        <v>2.3010635081371683E-4</v>
      </c>
      <c r="S69" s="2"/>
      <c r="T69" s="6">
        <v>120</v>
      </c>
      <c r="U69" s="2"/>
      <c r="V69" s="7">
        <f t="shared" si="57"/>
        <v>2.2075055187637969E-4</v>
      </c>
      <c r="W69" s="2"/>
      <c r="X69" s="6">
        <f t="shared" si="58"/>
        <v>-0.75</v>
      </c>
      <c r="Y69" s="2"/>
      <c r="Z69" s="7">
        <f t="shared" si="59"/>
        <v>-6.2500000000000003E-3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6"/>
      <c r="E70" s="2"/>
      <c r="F70" s="7">
        <f t="shared" si="52"/>
        <v>0</v>
      </c>
      <c r="G70" s="2"/>
      <c r="H70" s="6">
        <v>360</v>
      </c>
      <c r="I70" s="2"/>
      <c r="J70" s="7">
        <f t="shared" si="53"/>
        <v>1.5497201894102454E-3</v>
      </c>
      <c r="K70" s="2"/>
      <c r="L70" s="6">
        <f t="shared" si="54"/>
        <v>-360</v>
      </c>
      <c r="M70" s="2"/>
      <c r="N70" s="7">
        <f t="shared" si="55"/>
        <v>-1</v>
      </c>
      <c r="O70" s="11"/>
      <c r="P70" s="6">
        <v>350</v>
      </c>
      <c r="Q70" s="2"/>
      <c r="R70" s="7">
        <f t="shared" si="56"/>
        <v>6.7536455165451484E-4</v>
      </c>
      <c r="S70" s="2"/>
      <c r="T70" s="6">
        <v>1296</v>
      </c>
      <c r="U70" s="2"/>
      <c r="V70" s="7">
        <f t="shared" si="57"/>
        <v>2.3841059602649007E-3</v>
      </c>
      <c r="W70" s="2"/>
      <c r="X70" s="6">
        <f t="shared" si="58"/>
        <v>-946</v>
      </c>
      <c r="Y70" s="2"/>
      <c r="Z70" s="7">
        <f t="shared" si="59"/>
        <v>-0.72993827160493829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>
        <v>443.25</v>
      </c>
      <c r="E71" s="2"/>
      <c r="F71" s="7">
        <f t="shared" si="52"/>
        <v>1.9757216019493967E-3</v>
      </c>
      <c r="G71" s="2"/>
      <c r="H71" s="6">
        <v>460</v>
      </c>
      <c r="I71" s="2"/>
      <c r="J71" s="7">
        <f t="shared" si="53"/>
        <v>1.9801980198019802E-3</v>
      </c>
      <c r="K71" s="2"/>
      <c r="L71" s="6">
        <f t="shared" si="54"/>
        <v>-16.75</v>
      </c>
      <c r="M71" s="2"/>
      <c r="N71" s="7">
        <f t="shared" si="55"/>
        <v>-3.6413043478260868E-2</v>
      </c>
      <c r="O71" s="11"/>
      <c r="P71" s="6">
        <v>836.75</v>
      </c>
      <c r="Q71" s="2"/>
      <c r="R71" s="7">
        <f t="shared" si="56"/>
        <v>1.6146036817054723E-3</v>
      </c>
      <c r="S71" s="2"/>
      <c r="T71" s="6">
        <v>1076</v>
      </c>
      <c r="U71" s="2"/>
      <c r="V71" s="7">
        <f t="shared" si="57"/>
        <v>1.9793966151582048E-3</v>
      </c>
      <c r="W71" s="2"/>
      <c r="X71" s="6">
        <f t="shared" si="58"/>
        <v>-239.25</v>
      </c>
      <c r="Y71" s="2"/>
      <c r="Z71" s="7">
        <f t="shared" si="59"/>
        <v>-0.22235130111524162</v>
      </c>
    </row>
    <row r="72" spans="1:26" s="26" customFormat="1" outlineLevel="1" collapsed="1" x14ac:dyDescent="0.25">
      <c r="A72" s="25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SUM(OSRRefD22_11x_0)</f>
        <v>196.71</v>
      </c>
      <c r="E72" s="1"/>
      <c r="F72" s="5">
        <f t="shared" ref="F72:F81" si="60">IF(D$12=0,0,D72/D$12)</f>
        <v>8.7680585746072388E-4</v>
      </c>
      <c r="G72" s="1"/>
      <c r="H72" s="1">
        <f>SUM(OSRRefH22_11x_0)</f>
        <v>194</v>
      </c>
      <c r="I72" s="1"/>
      <c r="J72" s="5">
        <f t="shared" ref="J72:J81" si="61">IF(H$12=0,0,H72/H$12)</f>
        <v>8.3512699095996562E-4</v>
      </c>
      <c r="K72" s="1"/>
      <c r="L72" s="1">
        <f t="shared" ref="L72:L81" si="62">+D72-H72</f>
        <v>2.710000000000008</v>
      </c>
      <c r="M72" s="1"/>
      <c r="N72" s="5">
        <f t="shared" ref="N72:N81" si="63">IF(H72=0,0,L72/H72)</f>
        <v>1.3969072164948495E-2</v>
      </c>
      <c r="O72" s="13"/>
      <c r="P72" s="1">
        <f>SUM(OSRRefP22_11x_0)</f>
        <v>786.84</v>
      </c>
      <c r="Q72" s="1"/>
      <c r="R72" s="5">
        <f t="shared" ref="R72:R81" si="64">IF(P$12=0,0,P72/P$12)</f>
        <v>1.5182966966395385E-3</v>
      </c>
      <c r="S72" s="1"/>
      <c r="T72" s="1">
        <f>SUM(OSRRefT22_11x_0)</f>
        <v>776</v>
      </c>
      <c r="U72" s="1"/>
      <c r="V72" s="5">
        <f t="shared" ref="V72:V81" si="65">IF(T$12=0,0,T72/T$12)</f>
        <v>1.4275202354672553E-3</v>
      </c>
      <c r="W72" s="1"/>
      <c r="X72" s="1">
        <f t="shared" ref="X72:X81" si="66">+P72-T72</f>
        <v>10.840000000000032</v>
      </c>
      <c r="Y72" s="1"/>
      <c r="Z72" s="5">
        <f t="shared" ref="Z72:Z81" si="67">IF(T72=0,0,X72/T72)</f>
        <v>1.3969072164948495E-2</v>
      </c>
    </row>
    <row r="73" spans="1:26" s="24" customFormat="1" hidden="1" outlineLevel="2" x14ac:dyDescent="0.25">
      <c r="A73" s="27"/>
      <c r="B73" s="11" t="str">
        <f>CONCATENATE("          ", "6275", " - ", "SUBSCRIPTIONS")</f>
        <v xml:space="preserve">          6275 - SUBSCRIPTIONS</v>
      </c>
      <c r="C73" s="11"/>
      <c r="D73" s="6">
        <v>196.71</v>
      </c>
      <c r="E73" s="2"/>
      <c r="F73" s="7">
        <f t="shared" si="60"/>
        <v>8.7680585746072388E-4</v>
      </c>
      <c r="G73" s="2"/>
      <c r="H73" s="6">
        <v>194</v>
      </c>
      <c r="I73" s="2"/>
      <c r="J73" s="7">
        <f t="shared" si="61"/>
        <v>8.3512699095996562E-4</v>
      </c>
      <c r="K73" s="2"/>
      <c r="L73" s="6">
        <f t="shared" si="62"/>
        <v>2.710000000000008</v>
      </c>
      <c r="M73" s="2"/>
      <c r="N73" s="7">
        <f t="shared" si="63"/>
        <v>1.3969072164948495E-2</v>
      </c>
      <c r="O73" s="11"/>
      <c r="P73" s="6">
        <v>786.84</v>
      </c>
      <c r="Q73" s="2"/>
      <c r="R73" s="7">
        <f t="shared" si="64"/>
        <v>1.5182966966395385E-3</v>
      </c>
      <c r="S73" s="2"/>
      <c r="T73" s="6">
        <v>776</v>
      </c>
      <c r="U73" s="2"/>
      <c r="V73" s="7">
        <f t="shared" si="65"/>
        <v>1.4275202354672553E-3</v>
      </c>
      <c r="W73" s="2"/>
      <c r="X73" s="6">
        <f t="shared" si="66"/>
        <v>10.840000000000032</v>
      </c>
      <c r="Y73" s="2"/>
      <c r="Z73" s="7">
        <f t="shared" si="67"/>
        <v>1.3969072164948495E-2</v>
      </c>
    </row>
    <row r="74" spans="1:26" s="26" customFormat="1" outlineLevel="1" collapsed="1" x14ac:dyDescent="0.25">
      <c r="A74" s="25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SUM(OSRRefD22_12x_0)</f>
        <v>350.4</v>
      </c>
      <c r="E74" s="1"/>
      <c r="F74" s="5">
        <f t="shared" si="60"/>
        <v>1.5618564000520441E-3</v>
      </c>
      <c r="G74" s="1"/>
      <c r="H74" s="1">
        <f>SUM(OSRRefH22_12x_0)</f>
        <v>1385</v>
      </c>
      <c r="I74" s="1"/>
      <c r="J74" s="5">
        <f t="shared" si="61"/>
        <v>5.962117950925527E-3</v>
      </c>
      <c r="K74" s="1"/>
      <c r="L74" s="1">
        <f t="shared" si="62"/>
        <v>-1034.5999999999999</v>
      </c>
      <c r="M74" s="1"/>
      <c r="N74" s="5">
        <f t="shared" si="63"/>
        <v>-0.74700361010830318</v>
      </c>
      <c r="O74" s="13"/>
      <c r="P74" s="1">
        <f>SUM(OSRRefP22_12x_0)</f>
        <v>5022.26</v>
      </c>
      <c r="Q74" s="1"/>
      <c r="R74" s="5">
        <f t="shared" si="64"/>
        <v>9.6910182091211536E-3</v>
      </c>
      <c r="S74" s="1"/>
      <c r="T74" s="1">
        <f>SUM(OSRRefT22_12x_0)</f>
        <v>8935</v>
      </c>
      <c r="U74" s="1"/>
      <c r="V74" s="5">
        <f t="shared" si="65"/>
        <v>1.6436718175128772E-2</v>
      </c>
      <c r="W74" s="1"/>
      <c r="X74" s="1">
        <f t="shared" si="66"/>
        <v>-3912.74</v>
      </c>
      <c r="Y74" s="1"/>
      <c r="Z74" s="5">
        <f t="shared" si="67"/>
        <v>-0.43791158365976496</v>
      </c>
    </row>
    <row r="75" spans="1:26" s="24" customFormat="1" hidden="1" outlineLevel="2" x14ac:dyDescent="0.25">
      <c r="A75" s="27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60"/>
        <v>0</v>
      </c>
      <c r="G75" s="2"/>
      <c r="H75" s="6"/>
      <c r="I75" s="2"/>
      <c r="J75" s="7">
        <f t="shared" si="61"/>
        <v>0</v>
      </c>
      <c r="K75" s="2"/>
      <c r="L75" s="6">
        <f t="shared" si="62"/>
        <v>0</v>
      </c>
      <c r="M75" s="2"/>
      <c r="N75" s="7">
        <f t="shared" si="63"/>
        <v>0</v>
      </c>
      <c r="O75" s="11"/>
      <c r="P75" s="6"/>
      <c r="Q75" s="2"/>
      <c r="R75" s="7">
        <f t="shared" si="64"/>
        <v>0</v>
      </c>
      <c r="S75" s="2"/>
      <c r="T75" s="6">
        <v>2600</v>
      </c>
      <c r="U75" s="2"/>
      <c r="V75" s="7">
        <f t="shared" si="65"/>
        <v>4.7829286239882271E-3</v>
      </c>
      <c r="W75" s="2"/>
      <c r="X75" s="6">
        <f t="shared" si="66"/>
        <v>-2600</v>
      </c>
      <c r="Y75" s="2"/>
      <c r="Z75" s="7">
        <f t="shared" si="67"/>
        <v>-1</v>
      </c>
    </row>
    <row r="76" spans="1:26" s="24" customFormat="1" hidden="1" outlineLevel="2" x14ac:dyDescent="0.25">
      <c r="A76" s="27"/>
      <c r="B76" s="11" t="str">
        <f>CONCATENATE("          ", "6239", " - ", "KITCHEN SUPPLIES")</f>
        <v xml:space="preserve">          6239 - KITCHEN SUPPLIES</v>
      </c>
      <c r="C76" s="11"/>
      <c r="D76" s="6"/>
      <c r="E76" s="2"/>
      <c r="F76" s="7">
        <f t="shared" si="60"/>
        <v>0</v>
      </c>
      <c r="G76" s="2"/>
      <c r="H76" s="6">
        <v>125</v>
      </c>
      <c r="I76" s="2"/>
      <c r="J76" s="7">
        <f t="shared" si="61"/>
        <v>5.3809728798966854E-4</v>
      </c>
      <c r="K76" s="2"/>
      <c r="L76" s="6">
        <f t="shared" si="62"/>
        <v>-125</v>
      </c>
      <c r="M76" s="2"/>
      <c r="N76" s="7">
        <f t="shared" si="63"/>
        <v>-1</v>
      </c>
      <c r="O76" s="11"/>
      <c r="P76" s="6">
        <v>363.54</v>
      </c>
      <c r="Q76" s="2"/>
      <c r="R76" s="7">
        <f t="shared" si="64"/>
        <v>7.0149151173852097E-4</v>
      </c>
      <c r="S76" s="2"/>
      <c r="T76" s="6">
        <v>225</v>
      </c>
      <c r="U76" s="2"/>
      <c r="V76" s="7">
        <f t="shared" si="65"/>
        <v>4.1390728476821192E-4</v>
      </c>
      <c r="W76" s="2"/>
      <c r="X76" s="6">
        <f t="shared" si="66"/>
        <v>138.54000000000002</v>
      </c>
      <c r="Y76" s="2"/>
      <c r="Z76" s="7">
        <f t="shared" si="67"/>
        <v>0.61573333333333347</v>
      </c>
    </row>
    <row r="77" spans="1:26" s="24" customFormat="1" hidden="1" outlineLevel="2" x14ac:dyDescent="0.25">
      <c r="A77" s="27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60"/>
        <v>0</v>
      </c>
      <c r="G77" s="2"/>
      <c r="H77" s="6">
        <v>60</v>
      </c>
      <c r="I77" s="2"/>
      <c r="J77" s="7">
        <f t="shared" si="61"/>
        <v>2.582866982350409E-4</v>
      </c>
      <c r="K77" s="2"/>
      <c r="L77" s="6">
        <f t="shared" si="62"/>
        <v>-60</v>
      </c>
      <c r="M77" s="2"/>
      <c r="N77" s="7">
        <f t="shared" si="63"/>
        <v>-1</v>
      </c>
      <c r="O77" s="11"/>
      <c r="P77" s="6">
        <v>1468.9</v>
      </c>
      <c r="Q77" s="2"/>
      <c r="R77" s="7">
        <f t="shared" si="64"/>
        <v>2.8344085426437625E-3</v>
      </c>
      <c r="S77" s="2"/>
      <c r="T77" s="6">
        <v>785</v>
      </c>
      <c r="U77" s="2"/>
      <c r="V77" s="7">
        <f t="shared" si="65"/>
        <v>1.4440765268579838E-3</v>
      </c>
      <c r="W77" s="2"/>
      <c r="X77" s="6">
        <f t="shared" si="66"/>
        <v>683.90000000000009</v>
      </c>
      <c r="Y77" s="2"/>
      <c r="Z77" s="7">
        <f t="shared" si="67"/>
        <v>0.87121019108280262</v>
      </c>
    </row>
    <row r="78" spans="1:26" s="24" customFormat="1" hidden="1" outlineLevel="2" x14ac:dyDescent="0.25">
      <c r="A78" s="27"/>
      <c r="B78" s="11" t="str">
        <f>CONCATENATE("          ", "6243", " - ", "PAPER SUPPLIES")</f>
        <v xml:space="preserve">          6243 - PAPER SUPPLIES</v>
      </c>
      <c r="C78" s="11"/>
      <c r="D78" s="6">
        <v>350.4</v>
      </c>
      <c r="E78" s="2"/>
      <c r="F78" s="7">
        <f t="shared" si="60"/>
        <v>1.5618564000520441E-3</v>
      </c>
      <c r="G78" s="2"/>
      <c r="H78" s="6">
        <v>1200</v>
      </c>
      <c r="I78" s="2"/>
      <c r="J78" s="7">
        <f t="shared" si="61"/>
        <v>5.165733964700818E-3</v>
      </c>
      <c r="K78" s="2"/>
      <c r="L78" s="6">
        <f t="shared" si="62"/>
        <v>-849.6</v>
      </c>
      <c r="M78" s="2"/>
      <c r="N78" s="7">
        <f t="shared" si="63"/>
        <v>-0.70800000000000007</v>
      </c>
      <c r="O78" s="11"/>
      <c r="P78" s="6">
        <v>1874.33</v>
      </c>
      <c r="Q78" s="2"/>
      <c r="R78" s="7">
        <f t="shared" si="64"/>
        <v>3.6167315431503049E-3</v>
      </c>
      <c r="S78" s="2"/>
      <c r="T78" s="6">
        <v>3525</v>
      </c>
      <c r="U78" s="2"/>
      <c r="V78" s="7">
        <f t="shared" si="65"/>
        <v>6.4845474613686536E-3</v>
      </c>
      <c r="W78" s="2"/>
      <c r="X78" s="6">
        <f t="shared" si="66"/>
        <v>-1650.67</v>
      </c>
      <c r="Y78" s="2"/>
      <c r="Z78" s="7">
        <f t="shared" si="67"/>
        <v>-0.46827517730496454</v>
      </c>
    </row>
    <row r="79" spans="1:26" s="24" customFormat="1" hidden="1" outlineLevel="2" x14ac:dyDescent="0.25">
      <c r="A79" s="27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22.05</v>
      </c>
      <c r="Q79" s="2"/>
      <c r="R79" s="7">
        <f t="shared" si="64"/>
        <v>4.2547966754234437E-5</v>
      </c>
      <c r="S79" s="2"/>
      <c r="T79" s="6"/>
      <c r="U79" s="2"/>
      <c r="V79" s="7">
        <f t="shared" si="65"/>
        <v>0</v>
      </c>
      <c r="W79" s="2"/>
      <c r="X79" s="6">
        <f t="shared" si="66"/>
        <v>22.05</v>
      </c>
      <c r="Y79" s="2"/>
      <c r="Z79" s="7">
        <f t="shared" si="67"/>
        <v>0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60"/>
        <v>0</v>
      </c>
      <c r="G80" s="2"/>
      <c r="H80" s="6"/>
      <c r="I80" s="2"/>
      <c r="J80" s="7">
        <f t="shared" si="61"/>
        <v>0</v>
      </c>
      <c r="K80" s="2"/>
      <c r="L80" s="6">
        <f t="shared" si="62"/>
        <v>0</v>
      </c>
      <c r="M80" s="2"/>
      <c r="N80" s="7">
        <f t="shared" si="63"/>
        <v>0</v>
      </c>
      <c r="O80" s="11"/>
      <c r="P80" s="6">
        <v>513.20000000000005</v>
      </c>
      <c r="Q80" s="2"/>
      <c r="R80" s="7">
        <f t="shared" si="64"/>
        <v>9.9027739402599165E-4</v>
      </c>
      <c r="S80" s="2"/>
      <c r="T80" s="6">
        <v>1000</v>
      </c>
      <c r="U80" s="2"/>
      <c r="V80" s="7">
        <f t="shared" si="65"/>
        <v>1.8395879323031641E-3</v>
      </c>
      <c r="W80" s="2"/>
      <c r="X80" s="6">
        <f t="shared" si="66"/>
        <v>-486.79999999999995</v>
      </c>
      <c r="Y80" s="2"/>
      <c r="Z80" s="7">
        <f t="shared" si="67"/>
        <v>-0.48679999999999995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780.24</v>
      </c>
      <c r="Q81" s="2"/>
      <c r="R81" s="7">
        <f t="shared" si="64"/>
        <v>1.505561250808339E-3</v>
      </c>
      <c r="S81" s="2"/>
      <c r="T81" s="6">
        <v>800</v>
      </c>
      <c r="U81" s="2"/>
      <c r="V81" s="7">
        <f t="shared" si="65"/>
        <v>1.4716703458425313E-3</v>
      </c>
      <c r="W81" s="2"/>
      <c r="X81" s="6">
        <f t="shared" si="66"/>
        <v>-19.759999999999991</v>
      </c>
      <c r="Y81" s="2"/>
      <c r="Z81" s="7">
        <f t="shared" si="67"/>
        <v>-2.4699999999999989E-2</v>
      </c>
    </row>
    <row r="82" spans="1:26" s="26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157.55000000000001</v>
      </c>
      <c r="E82" s="1"/>
      <c r="F82" s="5">
        <f t="shared" ref="F82:F87" si="68">IF(D$12=0,0,D82/D$12)</f>
        <v>7.0225592416723627E-4</v>
      </c>
      <c r="G82" s="1"/>
      <c r="H82" s="1">
        <f>SUM(OSRRefH22_13x_0)</f>
        <v>160</v>
      </c>
      <c r="I82" s="1"/>
      <c r="J82" s="5">
        <f t="shared" ref="J82:J87" si="69">IF(H$12=0,0,H82/H$12)</f>
        <v>6.8876452862677573E-4</v>
      </c>
      <c r="K82" s="1"/>
      <c r="L82" s="1">
        <f t="shared" ref="L82:L87" si="70">+D82-H82</f>
        <v>-2.4499999999999886</v>
      </c>
      <c r="M82" s="1"/>
      <c r="N82" s="5">
        <f t="shared" ref="N82:N87" si="71">IF(H82=0,0,L82/H82)</f>
        <v>-1.5312499999999929E-2</v>
      </c>
      <c r="O82" s="13"/>
      <c r="P82" s="1">
        <f>SUM(OSRRefP22_13x_0)</f>
        <v>539.45000000000005</v>
      </c>
      <c r="Q82" s="1"/>
      <c r="R82" s="5">
        <f t="shared" ref="R82:R87" si="72">IF(P$12=0,0,P82/P$12)</f>
        <v>1.0409297354000801E-3</v>
      </c>
      <c r="S82" s="1"/>
      <c r="T82" s="1">
        <f>SUM(OSRRefT22_13x_0)</f>
        <v>640</v>
      </c>
      <c r="U82" s="1"/>
      <c r="V82" s="5">
        <f t="shared" ref="V82:V87" si="73">IF(T$12=0,0,T82/T$12)</f>
        <v>1.177336276674025E-3</v>
      </c>
      <c r="W82" s="1"/>
      <c r="X82" s="1">
        <f t="shared" ref="X82:X87" si="74">+P82-T82</f>
        <v>-100.54999999999995</v>
      </c>
      <c r="Y82" s="1"/>
      <c r="Z82" s="5">
        <f t="shared" ref="Z82:Z87" si="75">IF(T82=0,0,X82/T82)</f>
        <v>-0.15710937499999994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6">
        <v>157.55000000000001</v>
      </c>
      <c r="E83" s="2"/>
      <c r="F83" s="7">
        <f t="shared" si="68"/>
        <v>7.0225592416723627E-4</v>
      </c>
      <c r="G83" s="2"/>
      <c r="H83" s="6">
        <v>160</v>
      </c>
      <c r="I83" s="2"/>
      <c r="J83" s="7">
        <f t="shared" si="69"/>
        <v>6.8876452862677573E-4</v>
      </c>
      <c r="K83" s="2"/>
      <c r="L83" s="6">
        <f t="shared" si="70"/>
        <v>-2.4499999999999886</v>
      </c>
      <c r="M83" s="2"/>
      <c r="N83" s="7">
        <f t="shared" si="71"/>
        <v>-1.5312499999999929E-2</v>
      </c>
      <c r="O83" s="11"/>
      <c r="P83" s="6">
        <v>539.45000000000005</v>
      </c>
      <c r="Q83" s="2"/>
      <c r="R83" s="7">
        <f t="shared" si="72"/>
        <v>1.0409297354000801E-3</v>
      </c>
      <c r="S83" s="2"/>
      <c r="T83" s="6">
        <v>640</v>
      </c>
      <c r="U83" s="2"/>
      <c r="V83" s="7">
        <f t="shared" si="73"/>
        <v>1.177336276674025E-3</v>
      </c>
      <c r="W83" s="2"/>
      <c r="X83" s="6">
        <f t="shared" si="74"/>
        <v>-100.54999999999995</v>
      </c>
      <c r="Y83" s="2"/>
      <c r="Z83" s="7">
        <f t="shared" si="75"/>
        <v>-0.15710937499999994</v>
      </c>
    </row>
    <row r="84" spans="1:26" s="26" customFormat="1" outlineLevel="1" collapsed="1" x14ac:dyDescent="0.25">
      <c r="A84" s="25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55.95</v>
      </c>
      <c r="E84" s="1"/>
      <c r="F84" s="5">
        <f t="shared" si="68"/>
        <v>2.493888857959814E-4</v>
      </c>
      <c r="G84" s="1"/>
      <c r="H84" s="1">
        <f>SUM(OSRRefH22_14x_0)</f>
        <v>0</v>
      </c>
      <c r="I84" s="1"/>
      <c r="J84" s="5">
        <f t="shared" si="69"/>
        <v>0</v>
      </c>
      <c r="K84" s="1"/>
      <c r="L84" s="1">
        <f t="shared" si="70"/>
        <v>55.95</v>
      </c>
      <c r="M84" s="1"/>
      <c r="N84" s="5">
        <f t="shared" si="71"/>
        <v>0</v>
      </c>
      <c r="O84" s="13"/>
      <c r="P84" s="1">
        <f>SUM(OSRRefP22_14x_0)</f>
        <v>140.94999999999999</v>
      </c>
      <c r="Q84" s="1"/>
      <c r="R84" s="5">
        <f t="shared" si="72"/>
        <v>2.7197895301629671E-4</v>
      </c>
      <c r="S84" s="1"/>
      <c r="T84" s="1">
        <f>SUM(OSRRefT22_14x_0)</f>
        <v>160</v>
      </c>
      <c r="U84" s="1"/>
      <c r="V84" s="5">
        <f t="shared" si="73"/>
        <v>2.9433406916850625E-4</v>
      </c>
      <c r="W84" s="1"/>
      <c r="X84" s="1">
        <f t="shared" si="74"/>
        <v>-19.050000000000011</v>
      </c>
      <c r="Y84" s="1"/>
      <c r="Z84" s="5">
        <f t="shared" si="75"/>
        <v>-0.11906250000000007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6">
        <v>55.95</v>
      </c>
      <c r="E85" s="2"/>
      <c r="F85" s="7">
        <f t="shared" si="68"/>
        <v>2.493888857959814E-4</v>
      </c>
      <c r="G85" s="2"/>
      <c r="H85" s="6"/>
      <c r="I85" s="2"/>
      <c r="J85" s="7">
        <f t="shared" si="69"/>
        <v>0</v>
      </c>
      <c r="K85" s="2"/>
      <c r="L85" s="6">
        <f t="shared" si="70"/>
        <v>55.95</v>
      </c>
      <c r="M85" s="2"/>
      <c r="N85" s="7">
        <f t="shared" si="71"/>
        <v>0</v>
      </c>
      <c r="O85" s="11"/>
      <c r="P85" s="6">
        <v>140.94999999999999</v>
      </c>
      <c r="Q85" s="2"/>
      <c r="R85" s="7">
        <f t="shared" si="72"/>
        <v>2.7197895301629671E-4</v>
      </c>
      <c r="S85" s="2"/>
      <c r="T85" s="6">
        <v>160</v>
      </c>
      <c r="U85" s="2"/>
      <c r="V85" s="7">
        <f t="shared" si="73"/>
        <v>2.9433406916850625E-4</v>
      </c>
      <c r="W85" s="2"/>
      <c r="X85" s="6">
        <f t="shared" si="74"/>
        <v>-19.050000000000011</v>
      </c>
      <c r="Y85" s="2"/>
      <c r="Z85" s="7">
        <f t="shared" si="75"/>
        <v>-0.11906250000000007</v>
      </c>
    </row>
    <row r="86" spans="1:26" s="26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68"/>
        <v>0</v>
      </c>
      <c r="G86" s="1"/>
      <c r="H86" s="1">
        <f>SUM(OSRRefH22_15x_0)</f>
        <v>0</v>
      </c>
      <c r="I86" s="1"/>
      <c r="J86" s="5">
        <f t="shared" si="69"/>
        <v>0</v>
      </c>
      <c r="K86" s="1"/>
      <c r="L86" s="1">
        <f t="shared" si="70"/>
        <v>0</v>
      </c>
      <c r="M86" s="1"/>
      <c r="N86" s="5">
        <f t="shared" si="71"/>
        <v>0</v>
      </c>
      <c r="O86" s="13"/>
      <c r="P86" s="1">
        <f>SUM(OSRRefP22_15x_0)</f>
        <v>0</v>
      </c>
      <c r="Q86" s="1"/>
      <c r="R86" s="5">
        <f t="shared" si="72"/>
        <v>0</v>
      </c>
      <c r="S86" s="1"/>
      <c r="T86" s="1">
        <f>SUM(OSRRefT22_15x_0)</f>
        <v>2000</v>
      </c>
      <c r="U86" s="1"/>
      <c r="V86" s="5">
        <f t="shared" si="73"/>
        <v>3.6791758646063282E-3</v>
      </c>
      <c r="W86" s="1"/>
      <c r="X86" s="1">
        <f t="shared" si="74"/>
        <v>-2000</v>
      </c>
      <c r="Y86" s="1"/>
      <c r="Z86" s="5">
        <f t="shared" si="75"/>
        <v>-1</v>
      </c>
    </row>
    <row r="87" spans="1:26" s="24" customFormat="1" hidden="1" outlineLevel="2" x14ac:dyDescent="0.25">
      <c r="A87" s="27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8"/>
        <v>0</v>
      </c>
      <c r="G87" s="2"/>
      <c r="H87" s="6"/>
      <c r="I87" s="2"/>
      <c r="J87" s="7">
        <f t="shared" si="69"/>
        <v>0</v>
      </c>
      <c r="K87" s="2"/>
      <c r="L87" s="6">
        <f t="shared" si="70"/>
        <v>0</v>
      </c>
      <c r="M87" s="2"/>
      <c r="N87" s="7">
        <f t="shared" si="71"/>
        <v>0</v>
      </c>
      <c r="O87" s="11"/>
      <c r="P87" s="6"/>
      <c r="Q87" s="2"/>
      <c r="R87" s="7">
        <f t="shared" si="72"/>
        <v>0</v>
      </c>
      <c r="S87" s="2"/>
      <c r="T87" s="6">
        <v>2000</v>
      </c>
      <c r="U87" s="2"/>
      <c r="V87" s="7">
        <f t="shared" si="73"/>
        <v>3.6791758646063282E-3</v>
      </c>
      <c r="W87" s="2"/>
      <c r="X87" s="6">
        <f t="shared" si="74"/>
        <v>-2000</v>
      </c>
      <c r="Y87" s="2"/>
      <c r="Z87" s="7">
        <f t="shared" si="75"/>
        <v>-1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2">
        <f>+D23-D25+D89</f>
        <v>77346.7</v>
      </c>
      <c r="E91" s="14"/>
      <c r="F91" s="20">
        <f>IF(D$12=0,0,D91/D$12)</f>
        <v>0.34476152516525527</v>
      </c>
      <c r="G91" s="14"/>
      <c r="H91" s="22">
        <f>+H23-H25+H89</f>
        <v>70596.445288846109</v>
      </c>
      <c r="I91" s="14"/>
      <c r="J91" s="20">
        <f>IF(H$12=0,0,H91/H$12)</f>
        <v>0.30390204601311283</v>
      </c>
      <c r="K91" s="16"/>
      <c r="L91" s="22">
        <f>+D91-H91</f>
        <v>6750.2547111538879</v>
      </c>
      <c r="M91" s="16"/>
      <c r="N91" s="20">
        <f>IF(H91=0,0,L91/H91)</f>
        <v>9.5617487304568219E-2</v>
      </c>
      <c r="O91" s="29"/>
      <c r="P91" s="22">
        <f>+P23-P25+P89</f>
        <v>108514.71000000005</v>
      </c>
      <c r="Q91" s="14"/>
      <c r="R91" s="20">
        <f>IF(P$12=0,0,P91/P$12)</f>
        <v>0.20939139562019923</v>
      </c>
      <c r="S91" s="14"/>
      <c r="T91" s="22">
        <f>+T23-T25+T89</f>
        <v>117408.06518721528</v>
      </c>
      <c r="U91" s="14"/>
      <c r="V91" s="20">
        <f>IF(T$12=0,0,T91/T$12)</f>
        <v>0.21598245987346446</v>
      </c>
      <c r="W91" s="16"/>
      <c r="X91" s="22">
        <f>+P91-T91</f>
        <v>-8893.3551872152311</v>
      </c>
      <c r="Y91" s="16"/>
      <c r="Z91" s="20">
        <f>IF(T91=0,0,X91/T91)</f>
        <v>-7.5747395828678052E-2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20599.52</v>
      </c>
      <c r="E93" s="4"/>
      <c r="F93" s="12">
        <f>IF(D$12=0,0,D93/D$12)</f>
        <v>9.1819326912100707E-2</v>
      </c>
      <c r="G93" s="4"/>
      <c r="H93" s="4">
        <v>26088</v>
      </c>
      <c r="I93" s="4"/>
      <c r="J93" s="12">
        <f>IF(H$12=0,0,H93/H$12)</f>
        <v>0.11230305639259579</v>
      </c>
      <c r="K93" s="4"/>
      <c r="L93" s="4">
        <f>+D93-H93</f>
        <v>-5488.48</v>
      </c>
      <c r="M93" s="4"/>
      <c r="N93" s="12">
        <f>IF(H93=0,0,L93/H93)</f>
        <v>-0.2103833180006133</v>
      </c>
      <c r="O93" s="10"/>
      <c r="P93" s="4">
        <v>52167.219999999994</v>
      </c>
      <c r="Q93" s="4"/>
      <c r="R93" s="12">
        <f>IF(P$12=0,0,P93/P$12)</f>
        <v>0.1006625461324641</v>
      </c>
      <c r="S93" s="4"/>
      <c r="T93" s="4">
        <v>65463.000000000007</v>
      </c>
      <c r="U93" s="4"/>
      <c r="V93" s="12">
        <f>IF(T$12=0,0,T93/T$12)</f>
        <v>0.12042494481236204</v>
      </c>
      <c r="W93" s="4"/>
      <c r="X93" s="4">
        <f>+P93-T93</f>
        <v>-13295.780000000013</v>
      </c>
      <c r="Y93" s="4"/>
      <c r="Z93" s="12">
        <f>IF(T93=0,0,X93/T93)</f>
        <v>-0.20310373798939876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1">
        <f>+D91-D93</f>
        <v>56747.179999999993</v>
      </c>
      <c r="E95" s="14"/>
      <c r="F95" s="33">
        <f>IF(D$12=0,0,D95/D$12)</f>
        <v>0.25294219825315456</v>
      </c>
      <c r="G95" s="14"/>
      <c r="H95" s="31">
        <f>+H91-H93</f>
        <v>44508.445288846109</v>
      </c>
      <c r="I95" s="14"/>
      <c r="J95" s="33">
        <f>IF(H$12=0,0,H95/H$12)</f>
        <v>0.19159898962051705</v>
      </c>
      <c r="K95" s="16"/>
      <c r="L95" s="31">
        <f>D95-H95</f>
        <v>12238.734711153884</v>
      </c>
      <c r="M95" s="16"/>
      <c r="N95" s="33">
        <f>IF(H95=0,0,L95/H95)</f>
        <v>0.27497556096889619</v>
      </c>
      <c r="O95" s="29"/>
      <c r="P95" s="31">
        <f>+P91-P93</f>
        <v>56347.490000000056</v>
      </c>
      <c r="Q95" s="14"/>
      <c r="R95" s="33">
        <f>IF(P$12=0,0,P95/P$12)</f>
        <v>0.10872884948773513</v>
      </c>
      <c r="S95" s="14"/>
      <c r="T95" s="31">
        <f>+T91-T93</f>
        <v>51945.065187215274</v>
      </c>
      <c r="U95" s="14"/>
      <c r="V95" s="33">
        <f>IF(T$12=0,0,T95/T$12)</f>
        <v>9.555751506110241E-2</v>
      </c>
      <c r="W95" s="16"/>
      <c r="X95" s="31">
        <f>P95-T95</f>
        <v>4402.4248127847823</v>
      </c>
      <c r="Y95" s="16"/>
      <c r="Z95" s="33">
        <f>IF(T95=0,0,X95/T95)</f>
        <v>8.4751550448882829E-2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2">
        <f>SUM(D95:D97)</f>
        <v>56747.179999999993</v>
      </c>
      <c r="E98" s="14"/>
      <c r="F98" s="34">
        <f>IF(D$12=0,0,D98/D$12)</f>
        <v>0.25294219825315456</v>
      </c>
      <c r="G98" s="14"/>
      <c r="H98" s="32">
        <f>SUM(H95:H97)</f>
        <v>44508.445288846109</v>
      </c>
      <c r="I98" s="14"/>
      <c r="J98" s="34">
        <f>IF(H$12=0,0,H98/H$12)</f>
        <v>0.19159898962051705</v>
      </c>
      <c r="K98" s="16"/>
      <c r="L98" s="32">
        <f>+D98-H98</f>
        <v>12238.734711153884</v>
      </c>
      <c r="M98" s="16"/>
      <c r="N98" s="34">
        <f>IF(H98=0,0,L98/H98)</f>
        <v>0.27497556096889619</v>
      </c>
      <c r="O98" s="29"/>
      <c r="P98" s="32">
        <f>SUM(P95:P97)</f>
        <v>56347.490000000056</v>
      </c>
      <c r="Q98" s="14"/>
      <c r="R98" s="34">
        <f>IF(P$12=0,0,P98/P$12)</f>
        <v>0.10872884948773513</v>
      </c>
      <c r="S98" s="14"/>
      <c r="T98" s="32">
        <f>SUM(T95:T97)</f>
        <v>51945.065187215274</v>
      </c>
      <c r="U98" s="14"/>
      <c r="V98" s="34">
        <f>IF(T$12=0,0,T98/T$12)</f>
        <v>9.555751506110241E-2</v>
      </c>
      <c r="W98" s="16"/>
      <c r="X98" s="32">
        <f>+P98-T98</f>
        <v>4402.4248127847823</v>
      </c>
      <c r="Y98" s="16"/>
      <c r="Z98" s="34">
        <f>IF(T98=0,0,X98/T98)</f>
        <v>8.4751550448882829E-2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60">
        <v>43791.348585729167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4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5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","420", " - ", "Catering")</f>
        <v>Department 420 - Catering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10070.48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10070.48</v>
      </c>
      <c r="M12" s="4"/>
      <c r="N12" s="12">
        <f t="shared" ref="N12:N14" si="1">IF(H12=0,0,L12/H12)</f>
        <v>0</v>
      </c>
      <c r="O12" s="10"/>
      <c r="P12" s="4">
        <f>SUM(OSRRefP13x_0)</f>
        <v>10070.48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10070.48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--10070.73</f>
        <v>10070.73</v>
      </c>
      <c r="E13" s="2"/>
      <c r="F13" s="19"/>
      <c r="G13" s="2"/>
      <c r="H13" s="2"/>
      <c r="I13" s="2"/>
      <c r="J13" s="19"/>
      <c r="K13" s="2"/>
      <c r="L13" s="2">
        <f t="shared" si="0"/>
        <v>10070.73</v>
      </c>
      <c r="M13" s="2"/>
      <c r="N13" s="19">
        <f t="shared" si="1"/>
        <v>0</v>
      </c>
      <c r="O13" s="11"/>
      <c r="P13" s="2">
        <f>--10070.73</f>
        <v>10070.73</v>
      </c>
      <c r="Q13" s="2"/>
      <c r="R13" s="19"/>
      <c r="S13" s="2"/>
      <c r="T13" s="2"/>
      <c r="U13" s="2"/>
      <c r="V13" s="19"/>
      <c r="W13" s="2"/>
      <c r="X13" s="2">
        <f t="shared" si="2"/>
        <v>10070.73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-0.25</f>
        <v>-0.25</v>
      </c>
      <c r="E14" s="2"/>
      <c r="F14" s="19"/>
      <c r="G14" s="2"/>
      <c r="H14" s="2"/>
      <c r="I14" s="2"/>
      <c r="J14" s="19"/>
      <c r="K14" s="2"/>
      <c r="L14" s="2">
        <f t="shared" si="0"/>
        <v>-0.25</v>
      </c>
      <c r="M14" s="2"/>
      <c r="N14" s="19">
        <f t="shared" si="1"/>
        <v>0</v>
      </c>
      <c r="O14" s="11"/>
      <c r="P14" s="2">
        <f>-0.25</f>
        <v>-0.25</v>
      </c>
      <c r="Q14" s="2"/>
      <c r="R14" s="19"/>
      <c r="S14" s="2"/>
      <c r="T14" s="2"/>
      <c r="U14" s="2"/>
      <c r="V14" s="19"/>
      <c r="W14" s="2"/>
      <c r="X14" s="2">
        <f t="shared" si="2"/>
        <v>-0.25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>
        <f>D12-D16</f>
        <v>10070.48</v>
      </c>
      <c r="E18" s="14"/>
      <c r="F18" s="20">
        <f>IF(D$12=0,0,D18/D$12)</f>
        <v>1</v>
      </c>
      <c r="G18" s="14"/>
      <c r="H18" s="22">
        <f>H12-H16</f>
        <v>0</v>
      </c>
      <c r="I18" s="14"/>
      <c r="J18" s="20">
        <f>IF(H$12=0,0,H18/H$12)</f>
        <v>0</v>
      </c>
      <c r="K18" s="16"/>
      <c r="L18" s="22">
        <f>+D18-H18</f>
        <v>10070.48</v>
      </c>
      <c r="M18" s="16"/>
      <c r="N18" s="20">
        <f>IF(H18=0,0,L18/H18)</f>
        <v>0</v>
      </c>
      <c r="O18" s="29"/>
      <c r="P18" s="22">
        <f>P12-P16</f>
        <v>10070.48</v>
      </c>
      <c r="Q18" s="14"/>
      <c r="R18" s="20">
        <f>IF(P$12=0,0,P18/P$12)</f>
        <v>1</v>
      </c>
      <c r="S18" s="14"/>
      <c r="T18" s="22">
        <f>T12-T16</f>
        <v>0</v>
      </c>
      <c r="U18" s="14"/>
      <c r="V18" s="20">
        <f>IF(T$12=0,0,T18/T$12)</f>
        <v>0</v>
      </c>
      <c r="W18" s="16"/>
      <c r="X18" s="22">
        <f>+P18-T18</f>
        <v>10070.48</v>
      </c>
      <c r="Y18" s="16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41555.51</v>
      </c>
      <c r="E20" s="21"/>
      <c r="F20" s="35">
        <f t="shared" ref="F20:F28" si="4">IF(D$12=0,0,D20/D$12)</f>
        <v>4.1264676559607887</v>
      </c>
      <c r="G20" s="21"/>
      <c r="H20" s="21">
        <f>SUM(OSRRefH22x_0)</f>
        <v>0</v>
      </c>
      <c r="I20" s="21"/>
      <c r="J20" s="35">
        <f t="shared" ref="J20:J28" si="5">IF(H$12=0,0,H20/H$12)</f>
        <v>0</v>
      </c>
      <c r="K20" s="4"/>
      <c r="L20" s="21">
        <f t="shared" ref="L20:L28" si="6">+D20-H20</f>
        <v>41555.51</v>
      </c>
      <c r="M20" s="4"/>
      <c r="N20" s="35">
        <f t="shared" ref="N20:N28" si="7">IF(H20=0,0,L20/H20)</f>
        <v>0</v>
      </c>
      <c r="O20" s="10"/>
      <c r="P20" s="21">
        <f>SUM(OSRRefP22x_0)</f>
        <v>49602.720000000001</v>
      </c>
      <c r="Q20" s="21"/>
      <c r="R20" s="35">
        <f t="shared" ref="R20:R28" si="8">IF(P$12=0,0,P20/P$12)</f>
        <v>4.92555667654372</v>
      </c>
      <c r="S20" s="21"/>
      <c r="T20" s="21">
        <f>SUM(OSRRefT22x_0)</f>
        <v>0</v>
      </c>
      <c r="U20" s="21"/>
      <c r="V20" s="35">
        <f t="shared" ref="V20:V28" si="9">IF(T$12=0,0,T20/T$12)</f>
        <v>0</v>
      </c>
      <c r="W20" s="4"/>
      <c r="X20" s="21">
        <f t="shared" ref="X20:X28" si="10">+P20-T20</f>
        <v>49602.720000000001</v>
      </c>
      <c r="Y20" s="4"/>
      <c r="Z20" s="35">
        <f t="shared" ref="Z20:Z28" si="11">IF(T20=0,0,X20/T20)</f>
        <v>0</v>
      </c>
    </row>
    <row r="21" spans="1:26" s="26" customFormat="1" outlineLevel="1" collapsed="1" x14ac:dyDescent="0.25">
      <c r="A21" s="25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8769.9600000000009</v>
      </c>
      <c r="E21" s="1"/>
      <c r="F21" s="5">
        <f t="shared" si="4"/>
        <v>0.87085819146654397</v>
      </c>
      <c r="G21" s="1"/>
      <c r="H21" s="1">
        <f>SUM(OSRRefH22_0x_0)</f>
        <v>0</v>
      </c>
      <c r="I21" s="1"/>
      <c r="J21" s="5">
        <f t="shared" si="5"/>
        <v>0</v>
      </c>
      <c r="K21" s="1"/>
      <c r="L21" s="1">
        <f t="shared" si="6"/>
        <v>8769.9600000000009</v>
      </c>
      <c r="M21" s="1"/>
      <c r="N21" s="5">
        <f t="shared" si="7"/>
        <v>0</v>
      </c>
      <c r="O21" s="13"/>
      <c r="P21" s="1">
        <f>SUM(OSRRefP22_0x_0)</f>
        <v>8769.9600000000009</v>
      </c>
      <c r="Q21" s="1"/>
      <c r="R21" s="5">
        <f t="shared" si="8"/>
        <v>0.87085819146654397</v>
      </c>
      <c r="S21" s="1"/>
      <c r="T21" s="1">
        <f>SUM(OSRRefT22_0x_0)</f>
        <v>0</v>
      </c>
      <c r="U21" s="1"/>
      <c r="V21" s="5">
        <f t="shared" si="9"/>
        <v>0</v>
      </c>
      <c r="W21" s="1"/>
      <c r="X21" s="1">
        <f t="shared" si="10"/>
        <v>8769.9600000000009</v>
      </c>
      <c r="Y21" s="1"/>
      <c r="Z21" s="5">
        <f t="shared" si="11"/>
        <v>0</v>
      </c>
    </row>
    <row r="22" spans="1:26" s="24" customFormat="1" hidden="1" outlineLevel="2" x14ac:dyDescent="0.25">
      <c r="A22" s="27"/>
      <c r="B22" s="11" t="str">
        <f>CONCATENATE("          ", "6111", " - ", "F.I.C.A.")</f>
        <v xml:space="preserve">          6111 - F.I.C.A.</v>
      </c>
      <c r="C22" s="11"/>
      <c r="D22" s="6">
        <v>3338.85</v>
      </c>
      <c r="E22" s="2"/>
      <c r="F22" s="7">
        <f t="shared" si="4"/>
        <v>0.33154824794845927</v>
      </c>
      <c r="G22" s="2"/>
      <c r="H22" s="6"/>
      <c r="I22" s="2"/>
      <c r="J22" s="7">
        <f t="shared" si="5"/>
        <v>0</v>
      </c>
      <c r="K22" s="2"/>
      <c r="L22" s="6">
        <f t="shared" si="6"/>
        <v>3338.85</v>
      </c>
      <c r="M22" s="2"/>
      <c r="N22" s="7">
        <f t="shared" si="7"/>
        <v>0</v>
      </c>
      <c r="O22" s="11"/>
      <c r="P22" s="6">
        <v>3338.85</v>
      </c>
      <c r="Q22" s="2"/>
      <c r="R22" s="7">
        <f t="shared" si="8"/>
        <v>0.33154824794845927</v>
      </c>
      <c r="S22" s="2"/>
      <c r="T22" s="6"/>
      <c r="U22" s="2"/>
      <c r="V22" s="7">
        <f t="shared" si="9"/>
        <v>0</v>
      </c>
      <c r="W22" s="2"/>
      <c r="X22" s="6">
        <f t="shared" si="10"/>
        <v>3338.85</v>
      </c>
      <c r="Y22" s="2"/>
      <c r="Z22" s="7">
        <f t="shared" si="11"/>
        <v>0</v>
      </c>
    </row>
    <row r="23" spans="1:26" s="24" customFormat="1" hidden="1" outlineLevel="2" x14ac:dyDescent="0.25">
      <c r="A23" s="27"/>
      <c r="B23" s="11" t="str">
        <f>CONCATENATE("          ", "6112", " - ", "COMPENSATION INSURANCE")</f>
        <v xml:space="preserve">          6112 - COMPENSATION INSURANCE</v>
      </c>
      <c r="C23" s="11"/>
      <c r="D23" s="6">
        <v>1542.85</v>
      </c>
      <c r="E23" s="2"/>
      <c r="F23" s="7">
        <f t="shared" si="4"/>
        <v>0.15320520968216014</v>
      </c>
      <c r="G23" s="2"/>
      <c r="H23" s="6"/>
      <c r="I23" s="2"/>
      <c r="J23" s="7">
        <f t="shared" si="5"/>
        <v>0</v>
      </c>
      <c r="K23" s="2"/>
      <c r="L23" s="6">
        <f t="shared" si="6"/>
        <v>1542.85</v>
      </c>
      <c r="M23" s="2"/>
      <c r="N23" s="7">
        <f t="shared" si="7"/>
        <v>0</v>
      </c>
      <c r="O23" s="11"/>
      <c r="P23" s="6">
        <v>1542.85</v>
      </c>
      <c r="Q23" s="2"/>
      <c r="R23" s="7">
        <f t="shared" si="8"/>
        <v>0.15320520968216014</v>
      </c>
      <c r="S23" s="2"/>
      <c r="T23" s="6"/>
      <c r="U23" s="2"/>
      <c r="V23" s="7">
        <f t="shared" si="9"/>
        <v>0</v>
      </c>
      <c r="W23" s="2"/>
      <c r="X23" s="6">
        <f t="shared" si="10"/>
        <v>1542.85</v>
      </c>
      <c r="Y23" s="2"/>
      <c r="Z23" s="7">
        <f t="shared" si="11"/>
        <v>0</v>
      </c>
    </row>
    <row r="24" spans="1:26" s="24" customFormat="1" hidden="1" outlineLevel="2" x14ac:dyDescent="0.25">
      <c r="A24" s="27"/>
      <c r="B24" s="11" t="str">
        <f>CONCATENATE("          ", "6113", " - ", "GROUP INSURANCE")</f>
        <v xml:space="preserve">          6113 - GROUP INSURANCE</v>
      </c>
      <c r="C24" s="11"/>
      <c r="D24" s="6">
        <v>134.30000000000001</v>
      </c>
      <c r="E24" s="2"/>
      <c r="F24" s="7">
        <f t="shared" si="4"/>
        <v>1.3336007816906446E-2</v>
      </c>
      <c r="G24" s="2"/>
      <c r="H24" s="6"/>
      <c r="I24" s="2"/>
      <c r="J24" s="7">
        <f t="shared" si="5"/>
        <v>0</v>
      </c>
      <c r="K24" s="2"/>
      <c r="L24" s="6">
        <f t="shared" si="6"/>
        <v>134.30000000000001</v>
      </c>
      <c r="M24" s="2"/>
      <c r="N24" s="7">
        <f t="shared" si="7"/>
        <v>0</v>
      </c>
      <c r="O24" s="11"/>
      <c r="P24" s="6">
        <v>134.30000000000001</v>
      </c>
      <c r="Q24" s="2"/>
      <c r="R24" s="7">
        <f t="shared" si="8"/>
        <v>1.3336007816906446E-2</v>
      </c>
      <c r="S24" s="2"/>
      <c r="T24" s="6"/>
      <c r="U24" s="2"/>
      <c r="V24" s="7">
        <f t="shared" si="9"/>
        <v>0</v>
      </c>
      <c r="W24" s="2"/>
      <c r="X24" s="6">
        <f t="shared" si="10"/>
        <v>134.30000000000001</v>
      </c>
      <c r="Y24" s="2"/>
      <c r="Z24" s="7">
        <f t="shared" si="11"/>
        <v>0</v>
      </c>
    </row>
    <row r="25" spans="1:26" s="24" customFormat="1" hidden="1" outlineLevel="2" x14ac:dyDescent="0.25">
      <c r="A25" s="27"/>
      <c r="B25" s="11" t="str">
        <f>CONCATENATE("          ", "6114", " - ", "STATE UNEMPLOYMENT INSURANCE")</f>
        <v xml:space="preserve">          6114 - STATE UNEMPLOYMENT INSURANCE</v>
      </c>
      <c r="C25" s="11"/>
      <c r="D25" s="6">
        <v>103.39</v>
      </c>
      <c r="E25" s="2"/>
      <c r="F25" s="7">
        <f t="shared" si="4"/>
        <v>1.0266640716231998E-2</v>
      </c>
      <c r="G25" s="2"/>
      <c r="H25" s="6"/>
      <c r="I25" s="2"/>
      <c r="J25" s="7">
        <f t="shared" si="5"/>
        <v>0</v>
      </c>
      <c r="K25" s="2"/>
      <c r="L25" s="6">
        <f t="shared" si="6"/>
        <v>103.39</v>
      </c>
      <c r="M25" s="2"/>
      <c r="N25" s="7">
        <f t="shared" si="7"/>
        <v>0</v>
      </c>
      <c r="O25" s="11"/>
      <c r="P25" s="6">
        <v>103.39</v>
      </c>
      <c r="Q25" s="2"/>
      <c r="R25" s="7">
        <f t="shared" si="8"/>
        <v>1.0266640716231998E-2</v>
      </c>
      <c r="S25" s="2"/>
      <c r="T25" s="6"/>
      <c r="U25" s="2"/>
      <c r="V25" s="7">
        <f t="shared" si="9"/>
        <v>0</v>
      </c>
      <c r="W25" s="2"/>
      <c r="X25" s="6">
        <f t="shared" si="10"/>
        <v>103.39</v>
      </c>
      <c r="Y25" s="2"/>
      <c r="Z25" s="7">
        <f t="shared" si="11"/>
        <v>0</v>
      </c>
    </row>
    <row r="26" spans="1:26" s="24" customFormat="1" hidden="1" outlineLevel="2" x14ac:dyDescent="0.25">
      <c r="A26" s="27"/>
      <c r="B26" s="11" t="str">
        <f>CONCATENATE("          ", "6115", " - ", "P.E.R.S.")</f>
        <v xml:space="preserve">          6115 - P.E.R.S.</v>
      </c>
      <c r="C26" s="11"/>
      <c r="D26" s="6">
        <v>862.43</v>
      </c>
      <c r="E26" s="2"/>
      <c r="F26" s="7">
        <f t="shared" si="4"/>
        <v>8.5639413414256321E-2</v>
      </c>
      <c r="G26" s="2"/>
      <c r="H26" s="6"/>
      <c r="I26" s="2"/>
      <c r="J26" s="7">
        <f t="shared" si="5"/>
        <v>0</v>
      </c>
      <c r="K26" s="2"/>
      <c r="L26" s="6">
        <f t="shared" si="6"/>
        <v>862.43</v>
      </c>
      <c r="M26" s="2"/>
      <c r="N26" s="7">
        <f t="shared" si="7"/>
        <v>0</v>
      </c>
      <c r="O26" s="11"/>
      <c r="P26" s="6">
        <v>862.43</v>
      </c>
      <c r="Q26" s="2"/>
      <c r="R26" s="7">
        <f t="shared" si="8"/>
        <v>8.5639413414256321E-2</v>
      </c>
      <c r="S26" s="2"/>
      <c r="T26" s="6"/>
      <c r="U26" s="2"/>
      <c r="V26" s="7">
        <f t="shared" si="9"/>
        <v>0</v>
      </c>
      <c r="W26" s="2"/>
      <c r="X26" s="6">
        <f t="shared" si="10"/>
        <v>862.43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1508.13</v>
      </c>
      <c r="E27" s="2"/>
      <c r="F27" s="7">
        <f t="shared" si="4"/>
        <v>0.14975750907603214</v>
      </c>
      <c r="G27" s="2"/>
      <c r="H27" s="6"/>
      <c r="I27" s="2"/>
      <c r="J27" s="7">
        <f t="shared" si="5"/>
        <v>0</v>
      </c>
      <c r="K27" s="2"/>
      <c r="L27" s="6">
        <f t="shared" si="6"/>
        <v>1508.13</v>
      </c>
      <c r="M27" s="2"/>
      <c r="N27" s="7">
        <f t="shared" si="7"/>
        <v>0</v>
      </c>
      <c r="O27" s="11"/>
      <c r="P27" s="6">
        <v>1508.13</v>
      </c>
      <c r="Q27" s="2"/>
      <c r="R27" s="7">
        <f t="shared" si="8"/>
        <v>0.14975750907603214</v>
      </c>
      <c r="S27" s="2"/>
      <c r="T27" s="6"/>
      <c r="U27" s="2"/>
      <c r="V27" s="7">
        <f t="shared" si="9"/>
        <v>0</v>
      </c>
      <c r="W27" s="2"/>
      <c r="X27" s="6">
        <f t="shared" si="10"/>
        <v>1508.13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1280.01</v>
      </c>
      <c r="E28" s="2"/>
      <c r="F28" s="7">
        <f t="shared" si="4"/>
        <v>0.12710516281249754</v>
      </c>
      <c r="G28" s="2"/>
      <c r="H28" s="6"/>
      <c r="I28" s="2"/>
      <c r="J28" s="7">
        <f t="shared" si="5"/>
        <v>0</v>
      </c>
      <c r="K28" s="2"/>
      <c r="L28" s="6">
        <f t="shared" si="6"/>
        <v>1280.01</v>
      </c>
      <c r="M28" s="2"/>
      <c r="N28" s="7">
        <f t="shared" si="7"/>
        <v>0</v>
      </c>
      <c r="O28" s="11"/>
      <c r="P28" s="6">
        <v>1280.01</v>
      </c>
      <c r="Q28" s="2"/>
      <c r="R28" s="7">
        <f t="shared" si="8"/>
        <v>0.12710516281249754</v>
      </c>
      <c r="S28" s="2"/>
      <c r="T28" s="6"/>
      <c r="U28" s="2"/>
      <c r="V28" s="7">
        <f t="shared" si="9"/>
        <v>0</v>
      </c>
      <c r="W28" s="2"/>
      <c r="X28" s="6">
        <f t="shared" si="10"/>
        <v>1280.01</v>
      </c>
      <c r="Y28" s="2"/>
      <c r="Z28" s="7">
        <f t="shared" si="11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32205.57</v>
      </c>
      <c r="E29" s="1"/>
      <c r="F29" s="5">
        <f t="shared" ref="F29:F33" si="12">IF(D$12=0,0,D29/D$12)</f>
        <v>3.198017373551211</v>
      </c>
      <c r="G29" s="1"/>
      <c r="H29" s="1">
        <f>SUM(OSRRefH22_1x_0)</f>
        <v>0</v>
      </c>
      <c r="I29" s="1"/>
      <c r="J29" s="5">
        <f t="shared" ref="J29:J33" si="13">IF(H$12=0,0,H29/H$12)</f>
        <v>0</v>
      </c>
      <c r="K29" s="1"/>
      <c r="L29" s="1">
        <f t="shared" ref="L29:L33" si="14">+D29-H29</f>
        <v>32205.57</v>
      </c>
      <c r="M29" s="1"/>
      <c r="N29" s="5">
        <f t="shared" ref="N29:N33" si="15">IF(H29=0,0,L29/H29)</f>
        <v>0</v>
      </c>
      <c r="O29" s="13"/>
      <c r="P29" s="1">
        <f>SUM(OSRRefP22_1x_0)</f>
        <v>39101.57</v>
      </c>
      <c r="Q29" s="1"/>
      <c r="R29" s="5">
        <f t="shared" ref="R29:R33" si="16">IF(P$12=0,0,P29/P$12)</f>
        <v>3.8827910884088941</v>
      </c>
      <c r="S29" s="1"/>
      <c r="T29" s="1">
        <f>SUM(OSRRefT22_1x_0)</f>
        <v>0</v>
      </c>
      <c r="U29" s="1"/>
      <c r="V29" s="5">
        <f t="shared" ref="V29:V33" si="17">IF(T$12=0,0,T29/T$12)</f>
        <v>0</v>
      </c>
      <c r="W29" s="1"/>
      <c r="X29" s="1">
        <f t="shared" ref="X29:X33" si="18">+P29-T29</f>
        <v>39101.57</v>
      </c>
      <c r="Y29" s="1"/>
      <c r="Z29" s="5">
        <f t="shared" ref="Z29:Z33" si="19">IF(T29=0,0,X29/T29)</f>
        <v>0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>
        <v>21707.64</v>
      </c>
      <c r="E30" s="2"/>
      <c r="F30" s="7">
        <f t="shared" si="12"/>
        <v>2.1555715318435666</v>
      </c>
      <c r="G30" s="2"/>
      <c r="H30" s="6"/>
      <c r="I30" s="2"/>
      <c r="J30" s="7">
        <f t="shared" si="13"/>
        <v>0</v>
      </c>
      <c r="K30" s="2"/>
      <c r="L30" s="6">
        <f t="shared" si="14"/>
        <v>21707.64</v>
      </c>
      <c r="M30" s="2"/>
      <c r="N30" s="7">
        <f t="shared" si="15"/>
        <v>0</v>
      </c>
      <c r="O30" s="11"/>
      <c r="P30" s="6">
        <v>26332.639999999999</v>
      </c>
      <c r="Q30" s="2"/>
      <c r="R30" s="7">
        <f t="shared" si="16"/>
        <v>2.6148346454190863</v>
      </c>
      <c r="S30" s="2"/>
      <c r="T30" s="6"/>
      <c r="U30" s="2"/>
      <c r="V30" s="7">
        <f t="shared" si="17"/>
        <v>0</v>
      </c>
      <c r="W30" s="2"/>
      <c r="X30" s="6">
        <f t="shared" si="18"/>
        <v>26332.639999999999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"6005", " - ", "TEMPORARY WAGES-HOURLY")</f>
        <v xml:space="preserve">          6005 - TEMPORARY WAGES-HOURLY</v>
      </c>
      <c r="C31" s="11"/>
      <c r="D31" s="6">
        <v>3401.59</v>
      </c>
      <c r="E31" s="2"/>
      <c r="F31" s="7">
        <f t="shared" si="12"/>
        <v>0.33777833827185993</v>
      </c>
      <c r="G31" s="2"/>
      <c r="H31" s="6"/>
      <c r="I31" s="2"/>
      <c r="J31" s="7">
        <f t="shared" si="13"/>
        <v>0</v>
      </c>
      <c r="K31" s="2"/>
      <c r="L31" s="6">
        <f t="shared" si="14"/>
        <v>3401.59</v>
      </c>
      <c r="M31" s="2"/>
      <c r="N31" s="7">
        <f t="shared" si="15"/>
        <v>0</v>
      </c>
      <c r="O31" s="11"/>
      <c r="P31" s="6">
        <v>3401.59</v>
      </c>
      <c r="Q31" s="2"/>
      <c r="R31" s="7">
        <f t="shared" si="16"/>
        <v>0.33777833827185993</v>
      </c>
      <c r="S31" s="2"/>
      <c r="T31" s="6"/>
      <c r="U31" s="2"/>
      <c r="V31" s="7">
        <f t="shared" si="17"/>
        <v>0</v>
      </c>
      <c r="W31" s="2"/>
      <c r="X31" s="6">
        <f t="shared" si="18"/>
        <v>3401.59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"6007", " - ", "STUDENT HOURLY")</f>
        <v xml:space="preserve">          6007 - STUDENT HOURLY</v>
      </c>
      <c r="C32" s="11"/>
      <c r="D32" s="6">
        <v>5292.59</v>
      </c>
      <c r="E32" s="2"/>
      <c r="F32" s="7">
        <f t="shared" si="12"/>
        <v>0.52555488914133197</v>
      </c>
      <c r="G32" s="2"/>
      <c r="H32" s="6"/>
      <c r="I32" s="2"/>
      <c r="J32" s="7">
        <f t="shared" si="13"/>
        <v>0</v>
      </c>
      <c r="K32" s="2"/>
      <c r="L32" s="6">
        <f t="shared" si="14"/>
        <v>5292.59</v>
      </c>
      <c r="M32" s="2"/>
      <c r="N32" s="7">
        <f t="shared" si="15"/>
        <v>0</v>
      </c>
      <c r="O32" s="11"/>
      <c r="P32" s="6">
        <v>7563.59</v>
      </c>
      <c r="Q32" s="2"/>
      <c r="R32" s="7">
        <f t="shared" si="16"/>
        <v>0.75106549042349524</v>
      </c>
      <c r="S32" s="2"/>
      <c r="T32" s="6"/>
      <c r="U32" s="2"/>
      <c r="V32" s="7">
        <f t="shared" si="17"/>
        <v>0</v>
      </c>
      <c r="W32" s="2"/>
      <c r="X32" s="6">
        <f t="shared" si="18"/>
        <v>7563.59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"6008", " - ", "STUDENT HOURLY-FICA EXEMPT")</f>
        <v xml:space="preserve">          6008 - STUDENT HOURLY-FICA EXEMPT</v>
      </c>
      <c r="C33" s="11"/>
      <c r="D33" s="6">
        <v>1803.75</v>
      </c>
      <c r="E33" s="2"/>
      <c r="F33" s="7">
        <f t="shared" si="12"/>
        <v>0.17911261429445272</v>
      </c>
      <c r="G33" s="2"/>
      <c r="H33" s="6"/>
      <c r="I33" s="2"/>
      <c r="J33" s="7">
        <f t="shared" si="13"/>
        <v>0</v>
      </c>
      <c r="K33" s="2"/>
      <c r="L33" s="6">
        <f t="shared" si="14"/>
        <v>1803.75</v>
      </c>
      <c r="M33" s="2"/>
      <c r="N33" s="7">
        <f t="shared" si="15"/>
        <v>0</v>
      </c>
      <c r="O33" s="11"/>
      <c r="P33" s="6">
        <v>1803.75</v>
      </c>
      <c r="Q33" s="2"/>
      <c r="R33" s="7">
        <f t="shared" si="16"/>
        <v>0.17911261429445272</v>
      </c>
      <c r="S33" s="2"/>
      <c r="T33" s="6"/>
      <c r="U33" s="2"/>
      <c r="V33" s="7">
        <f t="shared" si="17"/>
        <v>0</v>
      </c>
      <c r="W33" s="2"/>
      <c r="X33" s="6">
        <f t="shared" si="18"/>
        <v>1803.75</v>
      </c>
      <c r="Y33" s="2"/>
      <c r="Z33" s="7">
        <f t="shared" si="19"/>
        <v>0</v>
      </c>
    </row>
    <row r="34" spans="1:26" s="26" customFormat="1" outlineLevel="1" collapsed="1" x14ac:dyDescent="0.25">
      <c r="A34" s="25"/>
      <c r="B34" s="13" t="str">
        <f>CONCATENATE("     ","Repair and Maintenance                            ")</f>
        <v xml:space="preserve">     Repair and Maintenance                            </v>
      </c>
      <c r="C34" s="13"/>
      <c r="D34" s="1">
        <f>SUM(OSRRefD22_2x_0)</f>
        <v>0</v>
      </c>
      <c r="E34" s="1"/>
      <c r="F34" s="5">
        <f t="shared" ref="F34:F37" si="20">IF(D$12=0,0,D34/D$12)</f>
        <v>0</v>
      </c>
      <c r="G34" s="1"/>
      <c r="H34" s="1">
        <f>SUM(OSRRefH22_2x_0)</f>
        <v>0</v>
      </c>
      <c r="I34" s="1"/>
      <c r="J34" s="5">
        <f t="shared" ref="J34:J37" si="21">IF(H$12=0,0,H34/H$12)</f>
        <v>0</v>
      </c>
      <c r="K34" s="1"/>
      <c r="L34" s="1">
        <f t="shared" ref="L34:L37" si="22">+D34-H34</f>
        <v>0</v>
      </c>
      <c r="M34" s="1"/>
      <c r="N34" s="5">
        <f t="shared" ref="N34:N37" si="23">IF(H34=0,0,L34/H34)</f>
        <v>0</v>
      </c>
      <c r="O34" s="13"/>
      <c r="P34" s="1">
        <f>SUM(OSRRefP22_2x_0)</f>
        <v>1151.21</v>
      </c>
      <c r="Q34" s="1"/>
      <c r="R34" s="5">
        <f t="shared" ref="R34:R37" si="24">IF(P$12=0,0,P34/P$12)</f>
        <v>0.11431530572524845</v>
      </c>
      <c r="S34" s="1"/>
      <c r="T34" s="1">
        <f>SUM(OSRRefT22_2x_0)</f>
        <v>0</v>
      </c>
      <c r="U34" s="1"/>
      <c r="V34" s="5">
        <f t="shared" ref="V34:V37" si="25">IF(T$12=0,0,T34/T$12)</f>
        <v>0</v>
      </c>
      <c r="W34" s="1"/>
      <c r="X34" s="1">
        <f t="shared" ref="X34:X37" si="26">+P34-T34</f>
        <v>1151.21</v>
      </c>
      <c r="Y34" s="1"/>
      <c r="Z34" s="5">
        <f t="shared" ref="Z34:Z37" si="27">IF(T34=0,0,X34/T34)</f>
        <v>0</v>
      </c>
    </row>
    <row r="35" spans="1:26" s="24" customFormat="1" hidden="1" outlineLevel="2" x14ac:dyDescent="0.25">
      <c r="A35" s="27"/>
      <c r="B35" s="11" t="str">
        <f>CONCATENATE("          ", "6375", " - ", "OUTSIDE REPAIRS &amp; MAINTENANCE")</f>
        <v xml:space="preserve">          6375 - OUTSIDE REPAIRS &amp; MAINTENANCE</v>
      </c>
      <c r="C35" s="11"/>
      <c r="D35" s="6"/>
      <c r="E35" s="2"/>
      <c r="F35" s="7">
        <f t="shared" si="20"/>
        <v>0</v>
      </c>
      <c r="G35" s="2"/>
      <c r="H35" s="6"/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>
        <v>1151.21</v>
      </c>
      <c r="Q35" s="2"/>
      <c r="R35" s="7">
        <f t="shared" si="24"/>
        <v>0.11431530572524845</v>
      </c>
      <c r="S35" s="2"/>
      <c r="T35" s="6"/>
      <c r="U35" s="2"/>
      <c r="V35" s="7">
        <f t="shared" si="25"/>
        <v>0</v>
      </c>
      <c r="W35" s="2"/>
      <c r="X35" s="6">
        <f t="shared" si="26"/>
        <v>1151.21</v>
      </c>
      <c r="Y35" s="2"/>
      <c r="Z35" s="7">
        <f t="shared" si="27"/>
        <v>0</v>
      </c>
    </row>
    <row r="36" spans="1:26" s="26" customFormat="1" outlineLevel="1" collapsed="1" x14ac:dyDescent="0.25">
      <c r="A36" s="25"/>
      <c r="B36" s="13" t="str">
        <f>CONCATENATE("     ","Supplies                                          ")</f>
        <v xml:space="preserve">     Supplies                                          </v>
      </c>
      <c r="C36" s="13"/>
      <c r="D36" s="1">
        <f>SUM(OSRRefD22_3x_0)</f>
        <v>579.98</v>
      </c>
      <c r="E36" s="1"/>
      <c r="F36" s="5">
        <f t="shared" si="20"/>
        <v>5.7592090943033504E-2</v>
      </c>
      <c r="G36" s="1"/>
      <c r="H36" s="1">
        <f>SUM(OSRRefH22_3x_0)</f>
        <v>0</v>
      </c>
      <c r="I36" s="1"/>
      <c r="J36" s="5">
        <f t="shared" si="21"/>
        <v>0</v>
      </c>
      <c r="K36" s="1"/>
      <c r="L36" s="1">
        <f t="shared" si="22"/>
        <v>579.98</v>
      </c>
      <c r="M36" s="1"/>
      <c r="N36" s="5">
        <f t="shared" si="23"/>
        <v>0</v>
      </c>
      <c r="O36" s="13"/>
      <c r="P36" s="1">
        <f>SUM(OSRRefP22_3x_0)</f>
        <v>579.98</v>
      </c>
      <c r="Q36" s="1"/>
      <c r="R36" s="5">
        <f t="shared" si="24"/>
        <v>5.7592090943033504E-2</v>
      </c>
      <c r="S36" s="1"/>
      <c r="T36" s="1">
        <f>SUM(OSRRefT22_3x_0)</f>
        <v>0</v>
      </c>
      <c r="U36" s="1"/>
      <c r="V36" s="5">
        <f t="shared" si="25"/>
        <v>0</v>
      </c>
      <c r="W36" s="1"/>
      <c r="X36" s="1">
        <f t="shared" si="26"/>
        <v>579.98</v>
      </c>
      <c r="Y36" s="1"/>
      <c r="Z36" s="5">
        <f t="shared" si="27"/>
        <v>0</v>
      </c>
    </row>
    <row r="37" spans="1:26" s="24" customFormat="1" hidden="1" outlineLevel="2" x14ac:dyDescent="0.25">
      <c r="A37" s="27"/>
      <c r="B37" s="11" t="str">
        <f>CONCATENATE("          ", "6241", " - ", "OFFICE EXPENSE")</f>
        <v xml:space="preserve">          6241 - OFFICE EXPENSE</v>
      </c>
      <c r="C37" s="11"/>
      <c r="D37" s="6">
        <v>579.98</v>
      </c>
      <c r="E37" s="2"/>
      <c r="F37" s="7">
        <f t="shared" si="20"/>
        <v>5.7592090943033504E-2</v>
      </c>
      <c r="G37" s="2"/>
      <c r="H37" s="6"/>
      <c r="I37" s="2"/>
      <c r="J37" s="7">
        <f t="shared" si="21"/>
        <v>0</v>
      </c>
      <c r="K37" s="2"/>
      <c r="L37" s="6">
        <f t="shared" si="22"/>
        <v>579.98</v>
      </c>
      <c r="M37" s="2"/>
      <c r="N37" s="7">
        <f t="shared" si="23"/>
        <v>0</v>
      </c>
      <c r="O37" s="11"/>
      <c r="P37" s="6">
        <v>579.98</v>
      </c>
      <c r="Q37" s="2"/>
      <c r="R37" s="7">
        <f t="shared" si="24"/>
        <v>5.7592090943033504E-2</v>
      </c>
      <c r="S37" s="2"/>
      <c r="T37" s="6"/>
      <c r="U37" s="2"/>
      <c r="V37" s="7">
        <f t="shared" si="25"/>
        <v>0</v>
      </c>
      <c r="W37" s="2"/>
      <c r="X37" s="6">
        <f t="shared" si="26"/>
        <v>579.98</v>
      </c>
      <c r="Y37" s="2"/>
      <c r="Z37" s="7">
        <f t="shared" si="27"/>
        <v>0</v>
      </c>
    </row>
    <row r="38" spans="1:26" s="61" customFormat="1" x14ac:dyDescent="0.25">
      <c r="A38" s="36"/>
      <c r="B38" s="36"/>
      <c r="C38" s="36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0</v>
      </c>
      <c r="C39" s="10"/>
      <c r="D39" s="4">
        <f>SUM(0)</f>
        <v>0</v>
      </c>
      <c r="E39" s="4"/>
      <c r="F39" s="12">
        <f>IF(D$12=0,0,D39/D$12)</f>
        <v>0</v>
      </c>
      <c r="G39" s="4"/>
      <c r="H39" s="4">
        <f>SUM(0)</f>
        <v>0</v>
      </c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>
        <f>SUM(0)</f>
        <v>0</v>
      </c>
      <c r="Q39" s="4"/>
      <c r="R39" s="12">
        <f>IF(P$12=0,0,P39/P$12)</f>
        <v>0</v>
      </c>
      <c r="S39" s="4"/>
      <c r="T39" s="4">
        <f>SUM(0)</f>
        <v>0</v>
      </c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8" t="s">
        <v>3</v>
      </c>
      <c r="C41" s="28"/>
      <c r="D41" s="22">
        <f>+D18-D20+D39</f>
        <v>-31485.030000000002</v>
      </c>
      <c r="E41" s="14"/>
      <c r="F41" s="20">
        <f>IF(D$12=0,0,D41/D$12)</f>
        <v>-3.1264676559607887</v>
      </c>
      <c r="G41" s="14"/>
      <c r="H41" s="22">
        <f>+H18-H20+H39</f>
        <v>0</v>
      </c>
      <c r="I41" s="14"/>
      <c r="J41" s="20">
        <f>IF(H$12=0,0,H41/H$12)</f>
        <v>0</v>
      </c>
      <c r="K41" s="16"/>
      <c r="L41" s="22">
        <f>+D41-H41</f>
        <v>-31485.030000000002</v>
      </c>
      <c r="M41" s="16"/>
      <c r="N41" s="20">
        <f>IF(H41=0,0,L41/H41)</f>
        <v>0</v>
      </c>
      <c r="O41" s="29"/>
      <c r="P41" s="22">
        <f>+P18-P20+P39</f>
        <v>-39532.240000000005</v>
      </c>
      <c r="Q41" s="14"/>
      <c r="R41" s="20">
        <f>IF(P$12=0,0,P41/P$12)</f>
        <v>-3.9255566765437204</v>
      </c>
      <c r="S41" s="14"/>
      <c r="T41" s="22">
        <f>+T18-T20+T39</f>
        <v>0</v>
      </c>
      <c r="U41" s="14"/>
      <c r="V41" s="20">
        <f>IF(T$12=0,0,T41/T$12)</f>
        <v>0</v>
      </c>
      <c r="W41" s="16"/>
      <c r="X41" s="22">
        <f>+P41-T41</f>
        <v>-39532.240000000005</v>
      </c>
      <c r="Y41" s="16"/>
      <c r="Z41" s="20">
        <f>IF(T41=0,0,X41/T41)</f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52"/>
      <c r="B43" s="10" t="s">
        <v>14</v>
      </c>
      <c r="C43" s="10"/>
      <c r="D43" s="4">
        <v>1013.72</v>
      </c>
      <c r="E43" s="4"/>
      <c r="F43" s="12">
        <f>IF(D$12=0,0,D43/D$12)</f>
        <v>0.10066253048514073</v>
      </c>
      <c r="G43" s="4"/>
      <c r="H43" s="4"/>
      <c r="I43" s="4"/>
      <c r="J43" s="12">
        <f>IF(H$12=0,0,H43/H$12)</f>
        <v>0</v>
      </c>
      <c r="K43" s="4"/>
      <c r="L43" s="4">
        <f>+D43-H43</f>
        <v>1013.72</v>
      </c>
      <c r="M43" s="4"/>
      <c r="N43" s="12">
        <f>IF(H43=0,0,L43/H43)</f>
        <v>0</v>
      </c>
      <c r="O43" s="10"/>
      <c r="P43" s="4">
        <v>1013.72</v>
      </c>
      <c r="Q43" s="4"/>
      <c r="R43" s="12">
        <f>IF(P$12=0,0,P43/P$12)</f>
        <v>0.10066253048514073</v>
      </c>
      <c r="S43" s="4"/>
      <c r="T43" s="4"/>
      <c r="U43" s="4"/>
      <c r="V43" s="12">
        <f>IF(T$12=0,0,T43/T$12)</f>
        <v>0</v>
      </c>
      <c r="W43" s="4"/>
      <c r="X43" s="4">
        <f>+P43-T43</f>
        <v>1013.72</v>
      </c>
      <c r="Y43" s="4"/>
      <c r="Z43" s="12">
        <f>IF(T43=0,0,X43/T43)</f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.75" thickBot="1" x14ac:dyDescent="0.3">
      <c r="A45" s="10"/>
      <c r="B45" s="28" t="s">
        <v>4</v>
      </c>
      <c r="C45" s="28"/>
      <c r="D45" s="31">
        <f>+D41-D43</f>
        <v>-32498.750000000004</v>
      </c>
      <c r="E45" s="14"/>
      <c r="F45" s="33">
        <f>IF(D$12=0,0,D45/D$12)</f>
        <v>-3.2271301864459296</v>
      </c>
      <c r="G45" s="14"/>
      <c r="H45" s="31">
        <f>+H41-H43</f>
        <v>0</v>
      </c>
      <c r="I45" s="14"/>
      <c r="J45" s="33">
        <f>IF(H$12=0,0,H45/H$12)</f>
        <v>0</v>
      </c>
      <c r="K45" s="16"/>
      <c r="L45" s="31">
        <f>D45-H45</f>
        <v>-32498.750000000004</v>
      </c>
      <c r="M45" s="16"/>
      <c r="N45" s="33">
        <f>IF(H45=0,0,L45/H45)</f>
        <v>0</v>
      </c>
      <c r="O45" s="29"/>
      <c r="P45" s="31">
        <f>+P41-P43</f>
        <v>-40545.960000000006</v>
      </c>
      <c r="Q45" s="14"/>
      <c r="R45" s="33">
        <f>IF(P$12=0,0,P45/P$12)</f>
        <v>-4.0262192070288618</v>
      </c>
      <c r="S45" s="14"/>
      <c r="T45" s="31">
        <f>+T41-T43</f>
        <v>0</v>
      </c>
      <c r="U45" s="14"/>
      <c r="V45" s="33">
        <f>IF(T$12=0,0,T45/T$12)</f>
        <v>0</v>
      </c>
      <c r="W45" s="16"/>
      <c r="X45" s="31">
        <f>P45-T45</f>
        <v>-40545.960000000006</v>
      </c>
      <c r="Y45" s="16"/>
      <c r="Z45" s="33">
        <f>IF(T45=0,0,X45/T45)</f>
        <v>0</v>
      </c>
    </row>
    <row r="46" spans="1:26" ht="15.75" thickTop="1" x14ac:dyDescent="0.25">
      <c r="A46" s="9"/>
      <c r="B46" s="9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x14ac:dyDescent="0.25">
      <c r="A47" s="9"/>
      <c r="B47" s="9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8" t="s">
        <v>5</v>
      </c>
      <c r="C48" s="28"/>
      <c r="D48" s="32">
        <f>SUM(D45:D47)</f>
        <v>-32498.750000000004</v>
      </c>
      <c r="E48" s="14"/>
      <c r="F48" s="34">
        <f>IF(D$12=0,0,D48/D$12)</f>
        <v>-3.2271301864459296</v>
      </c>
      <c r="G48" s="14"/>
      <c r="H48" s="32">
        <f>SUM(H45:H47)</f>
        <v>0</v>
      </c>
      <c r="I48" s="14"/>
      <c r="J48" s="34">
        <f>IF(H$12=0,0,H48/H$12)</f>
        <v>0</v>
      </c>
      <c r="K48" s="16"/>
      <c r="L48" s="32">
        <f>+D48-H48</f>
        <v>-32498.750000000004</v>
      </c>
      <c r="M48" s="16"/>
      <c r="N48" s="34">
        <f>IF(H48=0,0,L48/H48)</f>
        <v>0</v>
      </c>
      <c r="O48" s="29"/>
      <c r="P48" s="32">
        <f>SUM(P45:P47)</f>
        <v>-40545.960000000006</v>
      </c>
      <c r="Q48" s="14"/>
      <c r="R48" s="34">
        <f>IF(P$12=0,0,P48/P$12)</f>
        <v>-4.0262192070288618</v>
      </c>
      <c r="S48" s="14"/>
      <c r="T48" s="32">
        <f>SUM(T45:T47)</f>
        <v>0</v>
      </c>
      <c r="U48" s="14"/>
      <c r="V48" s="34">
        <f>IF(T$12=0,0,T48/T$12)</f>
        <v>0</v>
      </c>
      <c r="W48" s="16"/>
      <c r="X48" s="32">
        <f>+P48-T48</f>
        <v>-40545.960000000006</v>
      </c>
      <c r="Y48" s="16"/>
      <c r="Z48" s="34">
        <f>IF(T48=0,0,X48/T48)</f>
        <v>0</v>
      </c>
    </row>
    <row r="49" spans="1:24" ht="15.75" thickTop="1" x14ac:dyDescent="0.25">
      <c r="A49" s="9"/>
      <c r="C49" s="9"/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  <row r="50" spans="1:24" x14ac:dyDescent="0.25">
      <c r="A50" s="9"/>
      <c r="B50" s="60">
        <v>43791.348601238424</v>
      </c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4" x14ac:dyDescent="0.25">
      <c r="A51" s="9"/>
      <c r="B51" s="54" t="s">
        <v>314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4" x14ac:dyDescent="0.25">
      <c r="A52" s="9"/>
      <c r="B52" s="55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4" x14ac:dyDescent="0.25"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","423", " - ", "Contract Revenue")</f>
        <v>Department 423 - Contract Revenue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9"/>
      <c r="P17" s="22">
        <f>P12-P14</f>
        <v>805.48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6"/>
      <c r="X17" s="22">
        <f>+P17-T17</f>
        <v>805.48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14525.01</v>
      </c>
      <c r="E19" s="21"/>
      <c r="F19" s="35">
        <f t="shared" ref="F19:F29" si="8">IF(D$12=0,0,D19/D$12)</f>
        <v>0</v>
      </c>
      <c r="G19" s="21"/>
      <c r="H19" s="21">
        <f>SUM(OSRRefH22x_0)</f>
        <v>7835.8691635480764</v>
      </c>
      <c r="I19" s="21"/>
      <c r="J19" s="35">
        <f t="shared" ref="J19:J29" si="9">IF(H$12=0,0,H19/H$12)</f>
        <v>0</v>
      </c>
      <c r="K19" s="4"/>
      <c r="L19" s="21">
        <f t="shared" ref="L19:L29" si="10">+D19-H19</f>
        <v>6689.1408364519239</v>
      </c>
      <c r="M19" s="4"/>
      <c r="N19" s="35">
        <f t="shared" ref="N19:N29" si="11">IF(H19=0,0,L19/H19)</f>
        <v>0.85365652448222928</v>
      </c>
      <c r="O19" s="10"/>
      <c r="P19" s="21">
        <f>SUM(OSRRefP22x_0)</f>
        <v>54447.63</v>
      </c>
      <c r="Q19" s="21"/>
      <c r="R19" s="35">
        <f t="shared" ref="R19:R29" si="12">IF(P$12=0,0,P19/P$12)</f>
        <v>0</v>
      </c>
      <c r="S19" s="21"/>
      <c r="T19" s="21">
        <f>SUM(OSRRefT22x_0)</f>
        <v>31952.328988773064</v>
      </c>
      <c r="U19" s="21"/>
      <c r="V19" s="35">
        <f t="shared" ref="V19:V29" si="13">IF(T$12=0,0,T19/T$12)</f>
        <v>0</v>
      </c>
      <c r="W19" s="4"/>
      <c r="X19" s="21">
        <f t="shared" ref="X19:X29" si="14">+P19-T19</f>
        <v>22495.301011226933</v>
      </c>
      <c r="Y19" s="4"/>
      <c r="Z19" s="35">
        <f t="shared" ref="Z19:Z29" si="15">IF(T19=0,0,X19/T19)</f>
        <v>0.70402695900918522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5573.4299999999994</v>
      </c>
      <c r="E20" s="1"/>
      <c r="F20" s="5">
        <f t="shared" si="8"/>
        <v>0</v>
      </c>
      <c r="G20" s="1"/>
      <c r="H20" s="1">
        <f>SUM(OSRRefH22_0x_0)</f>
        <v>2465.0386827788461</v>
      </c>
      <c r="I20" s="1"/>
      <c r="J20" s="5">
        <f t="shared" si="9"/>
        <v>0</v>
      </c>
      <c r="K20" s="1"/>
      <c r="L20" s="1">
        <f t="shared" si="10"/>
        <v>3108.3913172211533</v>
      </c>
      <c r="M20" s="1"/>
      <c r="N20" s="5">
        <f t="shared" si="11"/>
        <v>1.2609908878659273</v>
      </c>
      <c r="O20" s="13"/>
      <c r="P20" s="1">
        <f>SUM(OSRRefP22_0x_0)</f>
        <v>22046.57</v>
      </c>
      <c r="Q20" s="1"/>
      <c r="R20" s="5">
        <f t="shared" si="12"/>
        <v>0</v>
      </c>
      <c r="S20" s="1"/>
      <c r="T20" s="1">
        <f>SUM(OSRRefT22_0x_0)</f>
        <v>9210.3392580038453</v>
      </c>
      <c r="U20" s="1"/>
      <c r="V20" s="5">
        <f t="shared" si="13"/>
        <v>0</v>
      </c>
      <c r="W20" s="1"/>
      <c r="X20" s="1">
        <f t="shared" si="14"/>
        <v>12836.230741996154</v>
      </c>
      <c r="Y20" s="1"/>
      <c r="Z20" s="5">
        <f t="shared" si="15"/>
        <v>1.3936762134838176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2078.52</v>
      </c>
      <c r="E21" s="2"/>
      <c r="F21" s="7">
        <f t="shared" si="8"/>
        <v>0</v>
      </c>
      <c r="G21" s="2"/>
      <c r="H21" s="6">
        <v>437.56711854807702</v>
      </c>
      <c r="I21" s="2"/>
      <c r="J21" s="7">
        <f t="shared" si="9"/>
        <v>0</v>
      </c>
      <c r="K21" s="2"/>
      <c r="L21" s="6">
        <f t="shared" si="10"/>
        <v>1640.9528814519231</v>
      </c>
      <c r="M21" s="2"/>
      <c r="N21" s="7">
        <f t="shared" si="11"/>
        <v>3.7501741147664092</v>
      </c>
      <c r="O21" s="11"/>
      <c r="P21" s="6">
        <v>3163.28</v>
      </c>
      <c r="Q21" s="2"/>
      <c r="R21" s="7">
        <f t="shared" si="12"/>
        <v>0</v>
      </c>
      <c r="S21" s="2"/>
      <c r="T21" s="6">
        <v>1575.241626773078</v>
      </c>
      <c r="U21" s="2"/>
      <c r="V21" s="7">
        <f t="shared" si="13"/>
        <v>0</v>
      </c>
      <c r="W21" s="2"/>
      <c r="X21" s="6">
        <f t="shared" si="14"/>
        <v>1588.0383732269222</v>
      </c>
      <c r="Y21" s="2"/>
      <c r="Z21" s="7">
        <f t="shared" si="15"/>
        <v>1.0081236720997899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-289.72000000000003</v>
      </c>
      <c r="E22" s="2"/>
      <c r="F22" s="7">
        <f t="shared" si="8"/>
        <v>0</v>
      </c>
      <c r="G22" s="2"/>
      <c r="H22" s="6">
        <v>108.634199038462</v>
      </c>
      <c r="I22" s="2"/>
      <c r="J22" s="7">
        <f t="shared" si="9"/>
        <v>0</v>
      </c>
      <c r="K22" s="2"/>
      <c r="L22" s="6">
        <f t="shared" si="10"/>
        <v>-398.35419903846201</v>
      </c>
      <c r="M22" s="2"/>
      <c r="N22" s="7">
        <f t="shared" si="11"/>
        <v>-3.6669318001546132</v>
      </c>
      <c r="O22" s="11"/>
      <c r="P22" s="6">
        <v>82.33</v>
      </c>
      <c r="Q22" s="2"/>
      <c r="R22" s="7">
        <f t="shared" si="12"/>
        <v>0</v>
      </c>
      <c r="S22" s="2"/>
      <c r="T22" s="6">
        <v>391.08311653846243</v>
      </c>
      <c r="U22" s="2"/>
      <c r="V22" s="7">
        <f t="shared" si="13"/>
        <v>0</v>
      </c>
      <c r="W22" s="2"/>
      <c r="X22" s="6">
        <f t="shared" si="14"/>
        <v>-308.75311653846245</v>
      </c>
      <c r="Y22" s="2"/>
      <c r="Z22" s="7">
        <f t="shared" si="15"/>
        <v>-0.78948209084371723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320.92999999999995</v>
      </c>
      <c r="M23" s="2"/>
      <c r="N23" s="7">
        <f t="shared" si="11"/>
        <v>0.46477914554670524</v>
      </c>
      <c r="O23" s="11"/>
      <c r="P23" s="6">
        <v>4045.72</v>
      </c>
      <c r="Q23" s="2"/>
      <c r="R23" s="7">
        <f t="shared" si="12"/>
        <v>0</v>
      </c>
      <c r="S23" s="2"/>
      <c r="T23" s="6">
        <v>2762</v>
      </c>
      <c r="U23" s="2"/>
      <c r="V23" s="7">
        <f t="shared" si="13"/>
        <v>0</v>
      </c>
      <c r="W23" s="2"/>
      <c r="X23" s="6">
        <f t="shared" si="14"/>
        <v>1283.7199999999998</v>
      </c>
      <c r="Y23" s="2"/>
      <c r="Z23" s="7">
        <f t="shared" si="15"/>
        <v>0.46477914554670524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38.590000000000003</v>
      </c>
      <c r="E24" s="2"/>
      <c r="F24" s="7">
        <f t="shared" si="8"/>
        <v>0</v>
      </c>
      <c r="G24" s="2"/>
      <c r="H24" s="6">
        <v>14.8657325</v>
      </c>
      <c r="I24" s="2"/>
      <c r="J24" s="7">
        <f t="shared" si="9"/>
        <v>0</v>
      </c>
      <c r="K24" s="2"/>
      <c r="L24" s="6">
        <f t="shared" si="10"/>
        <v>23.724267500000003</v>
      </c>
      <c r="M24" s="2"/>
      <c r="N24" s="7">
        <f t="shared" si="11"/>
        <v>1.595903027314665</v>
      </c>
      <c r="O24" s="11"/>
      <c r="P24" s="6">
        <v>75.45</v>
      </c>
      <c r="Q24" s="2"/>
      <c r="R24" s="7">
        <f t="shared" si="12"/>
        <v>0</v>
      </c>
      <c r="S24" s="2"/>
      <c r="T24" s="6">
        <v>53.516637000000003</v>
      </c>
      <c r="U24" s="2"/>
      <c r="V24" s="7">
        <f t="shared" si="13"/>
        <v>0</v>
      </c>
      <c r="W24" s="2"/>
      <c r="X24" s="6">
        <f t="shared" si="14"/>
        <v>21.933363</v>
      </c>
      <c r="Y24" s="2"/>
      <c r="Z24" s="7">
        <f t="shared" si="15"/>
        <v>0.40984195251282324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1517.09</v>
      </c>
      <c r="E25" s="2"/>
      <c r="F25" s="7">
        <f t="shared" si="8"/>
        <v>0</v>
      </c>
      <c r="G25" s="2"/>
      <c r="H25" s="6">
        <v>491.71269038461503</v>
      </c>
      <c r="I25" s="2"/>
      <c r="J25" s="7">
        <f t="shared" si="9"/>
        <v>0</v>
      </c>
      <c r="K25" s="2"/>
      <c r="L25" s="6">
        <f t="shared" si="10"/>
        <v>1025.377309615385</v>
      </c>
      <c r="M25" s="2"/>
      <c r="N25" s="7">
        <f t="shared" si="11"/>
        <v>2.0853179705680169</v>
      </c>
      <c r="O25" s="11"/>
      <c r="P25" s="6">
        <v>2966.4</v>
      </c>
      <c r="Q25" s="2"/>
      <c r="R25" s="7">
        <f t="shared" si="12"/>
        <v>0</v>
      </c>
      <c r="S25" s="2"/>
      <c r="T25" s="6">
        <v>1770.1656853846141</v>
      </c>
      <c r="U25" s="2"/>
      <c r="V25" s="7">
        <f t="shared" si="13"/>
        <v>0</v>
      </c>
      <c r="W25" s="2"/>
      <c r="X25" s="6">
        <f t="shared" si="14"/>
        <v>1196.234314615386</v>
      </c>
      <c r="Y25" s="2"/>
      <c r="Z25" s="7">
        <f t="shared" si="15"/>
        <v>0.67577533814608615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697.17</v>
      </c>
      <c r="E27" s="2"/>
      <c r="F27" s="7">
        <f t="shared" si="8"/>
        <v>0</v>
      </c>
      <c r="G27" s="2"/>
      <c r="H27" s="6">
        <v>571.758942307692</v>
      </c>
      <c r="I27" s="2"/>
      <c r="J27" s="7">
        <f t="shared" si="9"/>
        <v>0</v>
      </c>
      <c r="K27" s="2"/>
      <c r="L27" s="6">
        <f t="shared" si="10"/>
        <v>125.41105769230796</v>
      </c>
      <c r="M27" s="2"/>
      <c r="N27" s="7">
        <f t="shared" si="11"/>
        <v>0.21934253828393649</v>
      </c>
      <c r="O27" s="11"/>
      <c r="P27" s="6">
        <v>3454.25</v>
      </c>
      <c r="Q27" s="2"/>
      <c r="R27" s="7">
        <f t="shared" si="12"/>
        <v>0</v>
      </c>
      <c r="S27" s="2"/>
      <c r="T27" s="6">
        <v>2058.3321923076919</v>
      </c>
      <c r="U27" s="2"/>
      <c r="V27" s="7">
        <f t="shared" si="13"/>
        <v>0</v>
      </c>
      <c r="W27" s="2"/>
      <c r="X27" s="6">
        <f t="shared" si="14"/>
        <v>1395.9178076923081</v>
      </c>
      <c r="Y27" s="2"/>
      <c r="Z27" s="7">
        <f t="shared" si="15"/>
        <v>0.67817906794105942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348.12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348.12</v>
      </c>
      <c r="M28" s="2"/>
      <c r="N28" s="7">
        <f t="shared" si="11"/>
        <v>0</v>
      </c>
      <c r="O28" s="11"/>
      <c r="P28" s="6">
        <v>7655.8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7655.8</v>
      </c>
      <c r="Y28" s="2"/>
      <c r="Z28" s="7">
        <f t="shared" si="15"/>
        <v>0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172.23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22.22999999999999</v>
      </c>
      <c r="M29" s="2"/>
      <c r="N29" s="7">
        <f t="shared" si="11"/>
        <v>0.14819999999999994</v>
      </c>
      <c r="O29" s="11"/>
      <c r="P29" s="6">
        <v>603.34</v>
      </c>
      <c r="Q29" s="2"/>
      <c r="R29" s="7">
        <f t="shared" si="12"/>
        <v>0</v>
      </c>
      <c r="S29" s="2"/>
      <c r="T29" s="6">
        <v>600</v>
      </c>
      <c r="U29" s="2"/>
      <c r="V29" s="7">
        <f t="shared" si="13"/>
        <v>0</v>
      </c>
      <c r="W29" s="2"/>
      <c r="X29" s="6">
        <f t="shared" si="14"/>
        <v>3.3400000000000318</v>
      </c>
      <c r="Y29" s="2"/>
      <c r="Z29" s="7">
        <f t="shared" si="15"/>
        <v>5.5666666666667197E-3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5534.52</v>
      </c>
      <c r="E30" s="1"/>
      <c r="F30" s="5">
        <f t="shared" ref="F30:F40" si="16">IF(D$12=0,0,D30/D$12)</f>
        <v>0</v>
      </c>
      <c r="G30" s="1"/>
      <c r="H30" s="1">
        <f>SUM(OSRRefH22_1x_0)</f>
        <v>5145.8304807692302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388.6895192307702</v>
      </c>
      <c r="M30" s="1"/>
      <c r="N30" s="5">
        <f t="shared" ref="N30:N40" si="19">IF(H30=0,0,L30/H30)</f>
        <v>7.5534847228909588E-2</v>
      </c>
      <c r="O30" s="13"/>
      <c r="P30" s="1">
        <f>SUM(OSRRefP22_1x_0)</f>
        <v>18822.400000000001</v>
      </c>
      <c r="Q30" s="1"/>
      <c r="R30" s="5">
        <f t="shared" ref="R30:R40" si="20">IF(P$12=0,0,P30/P$12)</f>
        <v>0</v>
      </c>
      <c r="S30" s="1"/>
      <c r="T30" s="1">
        <f>SUM(OSRRefT22_1x_0)</f>
        <v>18524.989730769219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297.41026923078243</v>
      </c>
      <c r="Y30" s="1"/>
      <c r="Z30" s="5">
        <f t="shared" ref="Z30:Z40" si="23">IF(T30=0,0,X30/T30)</f>
        <v>1.6054544350801805E-2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5534.52</v>
      </c>
      <c r="E31" s="2"/>
      <c r="F31" s="7">
        <f t="shared" si="16"/>
        <v>0</v>
      </c>
      <c r="G31" s="2"/>
      <c r="H31" s="6">
        <v>5145.8304807692302</v>
      </c>
      <c r="I31" s="2"/>
      <c r="J31" s="7">
        <f t="shared" si="17"/>
        <v>0</v>
      </c>
      <c r="K31" s="2"/>
      <c r="L31" s="6">
        <f t="shared" si="18"/>
        <v>388.6895192307702</v>
      </c>
      <c r="M31" s="2"/>
      <c r="N31" s="7">
        <f t="shared" si="19"/>
        <v>7.5534847228909588E-2</v>
      </c>
      <c r="O31" s="11"/>
      <c r="P31" s="6">
        <v>18822.400000000001</v>
      </c>
      <c r="Q31" s="2"/>
      <c r="R31" s="7">
        <f t="shared" si="20"/>
        <v>0</v>
      </c>
      <c r="S31" s="2"/>
      <c r="T31" s="6">
        <v>18524.989730769219</v>
      </c>
      <c r="U31" s="2"/>
      <c r="V31" s="7">
        <f t="shared" si="21"/>
        <v>0</v>
      </c>
      <c r="W31" s="2"/>
      <c r="X31" s="6">
        <f t="shared" si="22"/>
        <v>297.41026923078243</v>
      </c>
      <c r="Y31" s="2"/>
      <c r="Z31" s="7">
        <f t="shared" si="23"/>
        <v>1.6054544350801805E-2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6" customFormat="1" outlineLevel="1" collapsed="1" x14ac:dyDescent="0.25">
      <c r="A41" s="25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6" customFormat="1" outlineLevel="1" collapsed="1" x14ac:dyDescent="0.25">
      <c r="A43" s="25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3048.41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3048.41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7"/>
      <c r="B44" s="11" t="str">
        <f>CONCATENATE("          ", "6254", " - ", "ROYALTY &amp; COMMISSIONS")</f>
        <v xml:space="preserve">          6254 - ROYALTY &amp; COMMISSIONS</v>
      </c>
      <c r="C44" s="11"/>
      <c r="D44" s="6">
        <v>3048.41</v>
      </c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3048.41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6" customFormat="1" outlineLevel="1" collapsed="1" x14ac:dyDescent="0.25">
      <c r="A45" s="25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0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SUM(OSRRefP22_4x_0)</f>
        <v>31.75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31.75</v>
      </c>
      <c r="Y45" s="1"/>
      <c r="Z45" s="5">
        <f t="shared" si="31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31.75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31.75</v>
      </c>
      <c r="Y46" s="2"/>
      <c r="Z46" s="7">
        <f t="shared" si="31"/>
        <v>0</v>
      </c>
    </row>
    <row r="47" spans="1:26" s="26" customFormat="1" outlineLevel="1" collapsed="1" x14ac:dyDescent="0.25">
      <c r="A47" s="25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368.65</v>
      </c>
      <c r="E47" s="1"/>
      <c r="F47" s="5">
        <f t="shared" si="24"/>
        <v>0</v>
      </c>
      <c r="G47" s="1"/>
      <c r="H47" s="1">
        <f>SUM(OSRRefH22_5x_0)</f>
        <v>225</v>
      </c>
      <c r="I47" s="1"/>
      <c r="J47" s="5">
        <f t="shared" si="25"/>
        <v>0</v>
      </c>
      <c r="K47" s="1"/>
      <c r="L47" s="1">
        <f t="shared" si="26"/>
        <v>143.64999999999998</v>
      </c>
      <c r="M47" s="1"/>
      <c r="N47" s="5">
        <f t="shared" si="27"/>
        <v>0.63844444444444437</v>
      </c>
      <c r="O47" s="13"/>
      <c r="P47" s="1">
        <f>SUM(OSRRefP22_5x_0)</f>
        <v>709.95</v>
      </c>
      <c r="Q47" s="1"/>
      <c r="R47" s="5">
        <f t="shared" si="28"/>
        <v>0</v>
      </c>
      <c r="S47" s="1"/>
      <c r="T47" s="1">
        <f>SUM(OSRRefT22_5x_0)</f>
        <v>600</v>
      </c>
      <c r="U47" s="1"/>
      <c r="V47" s="5">
        <f t="shared" si="29"/>
        <v>0</v>
      </c>
      <c r="W47" s="1"/>
      <c r="X47" s="1">
        <f t="shared" si="30"/>
        <v>109.95000000000005</v>
      </c>
      <c r="Y47" s="1"/>
      <c r="Z47" s="5">
        <f t="shared" si="31"/>
        <v>0.18325000000000008</v>
      </c>
    </row>
    <row r="48" spans="1:26" s="24" customFormat="1" hidden="1" outlineLevel="2" x14ac:dyDescent="0.25">
      <c r="A48" s="27"/>
      <c r="B48" s="11" t="str">
        <f>CONCATENATE("          ", "6309", " - ", "TELEPHONE")</f>
        <v xml:space="preserve">          6309 - TELEPHONE</v>
      </c>
      <c r="C48" s="11"/>
      <c r="D48" s="6">
        <v>368.65</v>
      </c>
      <c r="E48" s="2"/>
      <c r="F48" s="7">
        <f t="shared" si="24"/>
        <v>0</v>
      </c>
      <c r="G48" s="2"/>
      <c r="H48" s="6">
        <v>225</v>
      </c>
      <c r="I48" s="2"/>
      <c r="J48" s="7">
        <f t="shared" si="25"/>
        <v>0</v>
      </c>
      <c r="K48" s="2"/>
      <c r="L48" s="6">
        <f t="shared" si="26"/>
        <v>143.64999999999998</v>
      </c>
      <c r="M48" s="2"/>
      <c r="N48" s="7">
        <f t="shared" si="27"/>
        <v>0.63844444444444437</v>
      </c>
      <c r="O48" s="11"/>
      <c r="P48" s="6">
        <v>709.95</v>
      </c>
      <c r="Q48" s="2"/>
      <c r="R48" s="7">
        <f t="shared" si="28"/>
        <v>0</v>
      </c>
      <c r="S48" s="2"/>
      <c r="T48" s="6">
        <v>600</v>
      </c>
      <c r="U48" s="2"/>
      <c r="V48" s="7">
        <f t="shared" si="29"/>
        <v>0</v>
      </c>
      <c r="W48" s="2"/>
      <c r="X48" s="6">
        <f t="shared" si="30"/>
        <v>109.95000000000005</v>
      </c>
      <c r="Y48" s="2"/>
      <c r="Z48" s="7">
        <f t="shared" si="31"/>
        <v>0.18325000000000008</v>
      </c>
    </row>
    <row r="49" spans="1:26" s="61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9" t="s">
        <v>0</v>
      </c>
      <c r="C50" s="10"/>
      <c r="D50" s="4">
        <f>SUM(OSRRefD25x_0)</f>
        <v>34219.26</v>
      </c>
      <c r="E50" s="4"/>
      <c r="F50" s="12">
        <f t="shared" ref="F50:F51" si="32">IF(D$12=0,0,D50/D$12)</f>
        <v>0</v>
      </c>
      <c r="G50" s="4"/>
      <c r="H50" s="4">
        <f>SUM(OSRRefH25x_0)</f>
        <v>23134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11085.260000000002</v>
      </c>
      <c r="M50" s="4"/>
      <c r="N50" s="12">
        <f t="shared" ref="N50:N51" si="35">IF(H50=0,0,L50/H50)</f>
        <v>0.47917610443503078</v>
      </c>
      <c r="O50" s="10"/>
      <c r="P50" s="4">
        <f>SUM(OSRRefP25x_0)</f>
        <v>58429.43</v>
      </c>
      <c r="Q50" s="4"/>
      <c r="R50" s="12">
        <f t="shared" ref="R50:R51" si="36">IF(P$12=0,0,P50/P$12)</f>
        <v>0</v>
      </c>
      <c r="S50" s="4"/>
      <c r="T50" s="4">
        <f>SUM(OSRRefT25x_0)</f>
        <v>41649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16780.43</v>
      </c>
      <c r="Y50" s="4"/>
      <c r="Z50" s="12">
        <f t="shared" ref="Z50:Z51" si="39">IF(T50=0,0,X50/T50)</f>
        <v>0.40290115008763716</v>
      </c>
    </row>
    <row r="51" spans="1:26" s="24" customFormat="1" hidden="1" outlineLevel="1" x14ac:dyDescent="0.25">
      <c r="A51" s="44"/>
      <c r="B51" s="11" t="str">
        <f>CONCATENATE("          ", "9150", " - ", "MISC. INCOME")</f>
        <v xml:space="preserve">          9150 - MISC. INCOME</v>
      </c>
      <c r="C51" s="11"/>
      <c r="D51" s="2">
        <f>--34219.26</f>
        <v>34219.26</v>
      </c>
      <c r="E51" s="2"/>
      <c r="F51" s="19">
        <f t="shared" si="32"/>
        <v>0</v>
      </c>
      <c r="G51" s="2"/>
      <c r="H51" s="2">
        <v>23134</v>
      </c>
      <c r="I51" s="2"/>
      <c r="J51" s="19">
        <f t="shared" si="33"/>
        <v>0</v>
      </c>
      <c r="K51" s="2"/>
      <c r="L51" s="2">
        <f t="shared" si="34"/>
        <v>11085.260000000002</v>
      </c>
      <c r="M51" s="2"/>
      <c r="N51" s="19">
        <f t="shared" si="35"/>
        <v>0.47917610443503078</v>
      </c>
      <c r="O51" s="11"/>
      <c r="P51" s="2">
        <f>--58429.43</f>
        <v>58429.43</v>
      </c>
      <c r="Q51" s="2"/>
      <c r="R51" s="19">
        <f t="shared" si="36"/>
        <v>0</v>
      </c>
      <c r="S51" s="2"/>
      <c r="T51" s="2">
        <v>41649</v>
      </c>
      <c r="U51" s="2"/>
      <c r="V51" s="19">
        <f t="shared" si="37"/>
        <v>0</v>
      </c>
      <c r="W51" s="2"/>
      <c r="X51" s="2">
        <f t="shared" si="38"/>
        <v>16780.43</v>
      </c>
      <c r="Y51" s="2"/>
      <c r="Z51" s="19">
        <f t="shared" si="39"/>
        <v>0.40290115008763716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2">
        <f>+D17-D19+D50</f>
        <v>19694.25</v>
      </c>
      <c r="E53" s="14"/>
      <c r="F53" s="20">
        <f>IF(D$12=0,0,D53/D$12)</f>
        <v>0</v>
      </c>
      <c r="G53" s="14"/>
      <c r="H53" s="22">
        <f>+H17-H19+H50</f>
        <v>15298.130836451925</v>
      </c>
      <c r="I53" s="14"/>
      <c r="J53" s="20">
        <f>IF(H$12=0,0,H53/H$12)</f>
        <v>0</v>
      </c>
      <c r="K53" s="16"/>
      <c r="L53" s="22">
        <f>+D53-H53</f>
        <v>4396.1191635480754</v>
      </c>
      <c r="M53" s="16"/>
      <c r="N53" s="20">
        <f>IF(H53=0,0,L53/H53)</f>
        <v>0.2873631563584968</v>
      </c>
      <c r="O53" s="29"/>
      <c r="P53" s="22">
        <f>+P17-P19+P50</f>
        <v>4787.2800000000061</v>
      </c>
      <c r="Q53" s="14"/>
      <c r="R53" s="20">
        <f>IF(P$12=0,0,P53/P$12)</f>
        <v>0</v>
      </c>
      <c r="S53" s="14"/>
      <c r="T53" s="22">
        <f>+T17-T19+T50</f>
        <v>9696.6710112269357</v>
      </c>
      <c r="U53" s="14"/>
      <c r="V53" s="20">
        <f>IF(T$12=0,0,T53/T$12)</f>
        <v>0</v>
      </c>
      <c r="W53" s="16"/>
      <c r="X53" s="22">
        <f>+P53-T53</f>
        <v>-4909.3910112269295</v>
      </c>
      <c r="Y53" s="16"/>
      <c r="Z53" s="20">
        <f>IF(T53=0,0,X53/T53)</f>
        <v>-0.5062965429622982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1">
        <f>+D53-D55</f>
        <v>19694.25</v>
      </c>
      <c r="E57" s="14"/>
      <c r="F57" s="33">
        <f>IF(D$12=0,0,D57/D$12)</f>
        <v>0</v>
      </c>
      <c r="G57" s="14"/>
      <c r="H57" s="31">
        <f>+H53-H55</f>
        <v>15298.130836451925</v>
      </c>
      <c r="I57" s="14"/>
      <c r="J57" s="33">
        <f>IF(H$12=0,0,H57/H$12)</f>
        <v>0</v>
      </c>
      <c r="K57" s="16"/>
      <c r="L57" s="31">
        <f>D57-H57</f>
        <v>4396.1191635480754</v>
      </c>
      <c r="M57" s="16"/>
      <c r="N57" s="33">
        <f>IF(H57=0,0,L57/H57)</f>
        <v>0.2873631563584968</v>
      </c>
      <c r="O57" s="29"/>
      <c r="P57" s="31">
        <f>+P53-P55</f>
        <v>4787.2800000000061</v>
      </c>
      <c r="Q57" s="14"/>
      <c r="R57" s="33">
        <f>IF(P$12=0,0,P57/P$12)</f>
        <v>0</v>
      </c>
      <c r="S57" s="14"/>
      <c r="T57" s="31">
        <f>+T53-T55</f>
        <v>9696.6710112269357</v>
      </c>
      <c r="U57" s="14"/>
      <c r="V57" s="33">
        <f>IF(T$12=0,0,T57/T$12)</f>
        <v>0</v>
      </c>
      <c r="W57" s="16"/>
      <c r="X57" s="31">
        <f>P57-T57</f>
        <v>-4909.3910112269295</v>
      </c>
      <c r="Y57" s="16"/>
      <c r="Z57" s="33">
        <f>IF(T57=0,0,X57/T57)</f>
        <v>-0.5062965429622982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2">
        <f>SUM(D57:D59)</f>
        <v>19694.25</v>
      </c>
      <c r="E60" s="14"/>
      <c r="F60" s="34">
        <f>IF(D$12=0,0,D60/D$12)</f>
        <v>0</v>
      </c>
      <c r="G60" s="14"/>
      <c r="H60" s="32">
        <f>SUM(H57:H59)</f>
        <v>15298.130836451925</v>
      </c>
      <c r="I60" s="14"/>
      <c r="J60" s="34">
        <f>IF(H$12=0,0,H60/H$12)</f>
        <v>0</v>
      </c>
      <c r="K60" s="16"/>
      <c r="L60" s="32">
        <f>+D60-H60</f>
        <v>4396.1191635480754</v>
      </c>
      <c r="M60" s="16"/>
      <c r="N60" s="34">
        <f>IF(H60=0,0,L60/H60)</f>
        <v>0.2873631563584968</v>
      </c>
      <c r="O60" s="29"/>
      <c r="P60" s="32">
        <f>SUM(P57:P59)</f>
        <v>4787.2800000000061</v>
      </c>
      <c r="Q60" s="14"/>
      <c r="R60" s="34">
        <f>IF(P$12=0,0,P60/P$12)</f>
        <v>0</v>
      </c>
      <c r="S60" s="14"/>
      <c r="T60" s="32">
        <f>SUM(T57:T59)</f>
        <v>9696.6710112269357</v>
      </c>
      <c r="U60" s="14"/>
      <c r="V60" s="34">
        <f>IF(T$12=0,0,T60/T$12)</f>
        <v>0</v>
      </c>
      <c r="W60" s="16"/>
      <c r="X60" s="32">
        <f>+P60-T60</f>
        <v>-4909.3910112269295</v>
      </c>
      <c r="Y60" s="16"/>
      <c r="Z60" s="34">
        <f>IF(T60=0,0,X60/T60)</f>
        <v>-0.5062965429622982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60">
        <v>43791.3486190162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54" t="s">
        <v>314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5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5000</v>
      </c>
      <c r="U13" s="2"/>
      <c r="V13" s="19"/>
      <c r="W13" s="2"/>
      <c r="X13" s="2">
        <f t="shared" si="2"/>
        <v>-5000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--19851.87</f>
        <v>19851.87</v>
      </c>
      <c r="Q14" s="2"/>
      <c r="R14" s="19"/>
      <c r="S14" s="2"/>
      <c r="T14" s="2"/>
      <c r="U14" s="2"/>
      <c r="V14" s="19"/>
      <c r="W14" s="2"/>
      <c r="X14" s="2">
        <f t="shared" si="2"/>
        <v>19851.87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15000</v>
      </c>
      <c r="U15" s="2"/>
      <c r="V15" s="19"/>
      <c r="W15" s="2"/>
      <c r="X15" s="2">
        <f t="shared" si="2"/>
        <v>-15000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0</v>
      </c>
      <c r="M17" s="4"/>
      <c r="N17" s="12">
        <f t="shared" ref="N17:N20" si="8">IF(H17=0,0,L17/H17)</f>
        <v>0</v>
      </c>
      <c r="O17" s="10"/>
      <c r="P17" s="4">
        <f>SUM(OSRRefP16x_0)</f>
        <v>4810.79</v>
      </c>
      <c r="Q17" s="4"/>
      <c r="R17" s="12">
        <f t="shared" ref="R17:R20" si="9">IF(P$12=0,0,P17/P$12)</f>
        <v>0.24233434935852391</v>
      </c>
      <c r="S17" s="4"/>
      <c r="T17" s="4">
        <f>SUM(OSRRefT16x_0)</f>
        <v>5000</v>
      </c>
      <c r="U17" s="4"/>
      <c r="V17" s="12">
        <f t="shared" ref="V17:V20" si="10">IF(T$12=0,0,T17/T$12)</f>
        <v>0.25</v>
      </c>
      <c r="W17" s="4"/>
      <c r="X17" s="4">
        <f t="shared" ref="X17:X20" si="11">+P17-T17</f>
        <v>-189.21000000000004</v>
      </c>
      <c r="Y17" s="4"/>
      <c r="Z17" s="12">
        <f t="shared" ref="Z17:Z20" si="12">IF(T17=0,0,X17/T17)</f>
        <v>-3.7842000000000008E-2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5000</v>
      </c>
      <c r="U18" s="2"/>
      <c r="V18" s="19">
        <f t="shared" si="10"/>
        <v>0.25</v>
      </c>
      <c r="W18" s="2"/>
      <c r="X18" s="2">
        <f t="shared" si="11"/>
        <v>-5000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6367.79</v>
      </c>
      <c r="Q19" s="2"/>
      <c r="R19" s="19">
        <f t="shared" si="9"/>
        <v>0.32076524780788912</v>
      </c>
      <c r="S19" s="2"/>
      <c r="T19" s="2"/>
      <c r="U19" s="2"/>
      <c r="V19" s="19">
        <f t="shared" si="10"/>
        <v>0</v>
      </c>
      <c r="W19" s="2"/>
      <c r="X19" s="2">
        <f t="shared" si="11"/>
        <v>6367.79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-1557</v>
      </c>
      <c r="Q20" s="2"/>
      <c r="R20" s="19">
        <f t="shared" si="9"/>
        <v>-7.8430898449365224E-2</v>
      </c>
      <c r="S20" s="2"/>
      <c r="T20" s="2"/>
      <c r="U20" s="2"/>
      <c r="V20" s="19">
        <f t="shared" si="10"/>
        <v>0</v>
      </c>
      <c r="W20" s="2"/>
      <c r="X20" s="2">
        <f t="shared" si="11"/>
        <v>-1557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2">
        <f>D12-D17</f>
        <v>0</v>
      </c>
      <c r="E22" s="14"/>
      <c r="F22" s="20">
        <f>IF(D$12=0,0,D22/D$12)</f>
        <v>0</v>
      </c>
      <c r="G22" s="14"/>
      <c r="H22" s="22">
        <f>H12-H17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9"/>
      <c r="P22" s="22">
        <f>P12-P17</f>
        <v>15041.079999999998</v>
      </c>
      <c r="Q22" s="14"/>
      <c r="R22" s="20">
        <f>IF(P$12=0,0,P22/P$12)</f>
        <v>0.75766565064147606</v>
      </c>
      <c r="S22" s="14"/>
      <c r="T22" s="22">
        <f>T12-T17</f>
        <v>15000</v>
      </c>
      <c r="U22" s="14"/>
      <c r="V22" s="20">
        <f>IF(T$12=0,0,T22/T$12)</f>
        <v>0.75</v>
      </c>
      <c r="W22" s="16"/>
      <c r="X22" s="22">
        <f>+P22-T22</f>
        <v>41.079999999998108</v>
      </c>
      <c r="Y22" s="16"/>
      <c r="Z22" s="20">
        <f>IF(T22=0,0,X22/T22)</f>
        <v>2.7386666666665404E-3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2393.87</v>
      </c>
      <c r="E24" s="21"/>
      <c r="F24" s="35">
        <f t="shared" ref="F24:F33" si="13">IF(D$12=0,0,D24/D$12)</f>
        <v>0</v>
      </c>
      <c r="G24" s="21"/>
      <c r="H24" s="21">
        <f>SUM(OSRRefH22x_0)</f>
        <v>2156.6800000000003</v>
      </c>
      <c r="I24" s="21"/>
      <c r="J24" s="35">
        <f t="shared" ref="J24:J33" si="14">IF(H$12=0,0,H24/H$12)</f>
        <v>0</v>
      </c>
      <c r="K24" s="4"/>
      <c r="L24" s="21">
        <f t="shared" ref="L24:L33" si="15">+D24-H24</f>
        <v>237.1899999999996</v>
      </c>
      <c r="M24" s="4"/>
      <c r="N24" s="35">
        <f t="shared" ref="N24:N33" si="16">IF(H24=0,0,L24/H24)</f>
        <v>0.10997922733089729</v>
      </c>
      <c r="O24" s="10"/>
      <c r="P24" s="21">
        <f>SUM(OSRRefP22x_0)</f>
        <v>18036.760000000002</v>
      </c>
      <c r="Q24" s="21"/>
      <c r="R24" s="35">
        <f t="shared" ref="R24:R33" si="17">IF(P$12=0,0,P24/P$12)</f>
        <v>0.9085673037351143</v>
      </c>
      <c r="S24" s="21"/>
      <c r="T24" s="21">
        <f>SUM(OSRRefT22x_0)</f>
        <v>19091.033599999999</v>
      </c>
      <c r="U24" s="21"/>
      <c r="V24" s="35">
        <f t="shared" ref="V24:V33" si="18">IF(T$12=0,0,T24/T$12)</f>
        <v>0.9545516799999999</v>
      </c>
      <c r="W24" s="4"/>
      <c r="X24" s="21">
        <f t="shared" ref="X24:X33" si="19">+P24-T24</f>
        <v>-1054.2735999999968</v>
      </c>
      <c r="Y24" s="4"/>
      <c r="Z24" s="35">
        <f t="shared" ref="Z24:Z33" si="20">IF(T24=0,0,X24/T24)</f>
        <v>-5.5223495075719574E-2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32.230000000000004</v>
      </c>
      <c r="E25" s="1"/>
      <c r="F25" s="5">
        <f t="shared" si="13"/>
        <v>0</v>
      </c>
      <c r="G25" s="1"/>
      <c r="H25" s="1">
        <f>SUM(OSRRefH22_0x_0)</f>
        <v>58.68</v>
      </c>
      <c r="I25" s="1"/>
      <c r="J25" s="5">
        <f t="shared" si="14"/>
        <v>0</v>
      </c>
      <c r="K25" s="1"/>
      <c r="L25" s="1">
        <f t="shared" si="15"/>
        <v>-26.449999999999996</v>
      </c>
      <c r="M25" s="1"/>
      <c r="N25" s="5">
        <f t="shared" si="16"/>
        <v>-0.45074982958418536</v>
      </c>
      <c r="O25" s="13"/>
      <c r="P25" s="1">
        <f>SUM(OSRRefP22_0x_0)</f>
        <v>355.92</v>
      </c>
      <c r="Q25" s="1"/>
      <c r="R25" s="5">
        <f t="shared" si="17"/>
        <v>1.7928789580024453E-2</v>
      </c>
      <c r="S25" s="1"/>
      <c r="T25" s="1">
        <f>SUM(OSRRefT22_0x_0)</f>
        <v>363.03359999999998</v>
      </c>
      <c r="U25" s="1"/>
      <c r="V25" s="5">
        <f t="shared" si="18"/>
        <v>1.815168E-2</v>
      </c>
      <c r="W25" s="1"/>
      <c r="X25" s="1">
        <f t="shared" si="19"/>
        <v>-7.1135999999999626</v>
      </c>
      <c r="Y25" s="1"/>
      <c r="Z25" s="5">
        <f t="shared" si="20"/>
        <v>-1.959488047387339E-2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42.63</v>
      </c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42.63</v>
      </c>
      <c r="M26" s="2"/>
      <c r="N26" s="7">
        <f t="shared" si="16"/>
        <v>0</v>
      </c>
      <c r="O26" s="11"/>
      <c r="P26" s="6">
        <v>366.32</v>
      </c>
      <c r="Q26" s="2"/>
      <c r="R26" s="7">
        <f t="shared" si="17"/>
        <v>1.8452669698119119E-2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366.32</v>
      </c>
      <c r="Y26" s="2"/>
      <c r="Z26" s="7">
        <f t="shared" si="20"/>
        <v>0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-10.4</v>
      </c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-10.4</v>
      </c>
      <c r="M27" s="2"/>
      <c r="N27" s="7">
        <f t="shared" si="16"/>
        <v>0</v>
      </c>
      <c r="O27" s="11"/>
      <c r="P27" s="6">
        <v>-10.4</v>
      </c>
      <c r="Q27" s="2"/>
      <c r="R27" s="7">
        <f t="shared" si="17"/>
        <v>-5.2388011809466816E-4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-10.4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4.68</v>
      </c>
      <c r="I29" s="2"/>
      <c r="J29" s="7">
        <f t="shared" si="14"/>
        <v>0</v>
      </c>
      <c r="K29" s="2"/>
      <c r="L29" s="6">
        <f t="shared" si="15"/>
        <v>-4.68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28.953600000000002</v>
      </c>
      <c r="U29" s="2"/>
      <c r="V29" s="7">
        <f t="shared" si="18"/>
        <v>1.44768E-3</v>
      </c>
      <c r="W29" s="2"/>
      <c r="X29" s="6">
        <f t="shared" si="19"/>
        <v>-28.953600000000002</v>
      </c>
      <c r="Y29" s="2"/>
      <c r="Z29" s="7">
        <f t="shared" si="20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54</v>
      </c>
      <c r="I33" s="2"/>
      <c r="J33" s="7">
        <f t="shared" si="14"/>
        <v>0</v>
      </c>
      <c r="K33" s="2"/>
      <c r="L33" s="6">
        <f t="shared" si="15"/>
        <v>-54</v>
      </c>
      <c r="M33" s="2"/>
      <c r="N33" s="7">
        <f t="shared" si="16"/>
        <v>-1</v>
      </c>
      <c r="O33" s="11"/>
      <c r="P33" s="6"/>
      <c r="Q33" s="2"/>
      <c r="R33" s="7">
        <f t="shared" si="17"/>
        <v>0</v>
      </c>
      <c r="S33" s="2"/>
      <c r="T33" s="6">
        <v>334.08</v>
      </c>
      <c r="U33" s="2"/>
      <c r="V33" s="7">
        <f t="shared" si="18"/>
        <v>1.6704E-2</v>
      </c>
      <c r="W33" s="2"/>
      <c r="X33" s="6">
        <f t="shared" si="19"/>
        <v>-334.08</v>
      </c>
      <c r="Y33" s="2"/>
      <c r="Z33" s="7">
        <f t="shared" si="20"/>
        <v>-1</v>
      </c>
    </row>
    <row r="34" spans="1:26" s="26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662.35</v>
      </c>
      <c r="E34" s="1"/>
      <c r="F34" s="5">
        <f t="shared" ref="F34:F44" si="21">IF(D$12=0,0,D34/D$12)</f>
        <v>0</v>
      </c>
      <c r="G34" s="1"/>
      <c r="H34" s="1">
        <f>SUM(OSRRefH22_1x_0)</f>
        <v>1800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-1137.6500000000001</v>
      </c>
      <c r="M34" s="1"/>
      <c r="N34" s="5">
        <f t="shared" ref="N34:N44" si="24">IF(H34=0,0,L34/H34)</f>
        <v>-0.63202777777777785</v>
      </c>
      <c r="O34" s="13"/>
      <c r="P34" s="1">
        <f>SUM(OSRRefP22_1x_0)</f>
        <v>5526.5300000000007</v>
      </c>
      <c r="Q34" s="1"/>
      <c r="R34" s="5">
        <f t="shared" ref="R34:R44" si="25">IF(P$12=0,0,P34/P$12)</f>
        <v>0.27838838356285833</v>
      </c>
      <c r="S34" s="1"/>
      <c r="T34" s="1">
        <f>SUM(OSRRefT22_1x_0)</f>
        <v>11136</v>
      </c>
      <c r="U34" s="1"/>
      <c r="V34" s="5">
        <f t="shared" ref="V34:V44" si="26">IF(T$12=0,0,T34/T$12)</f>
        <v>0.55679999999999996</v>
      </c>
      <c r="W34" s="1"/>
      <c r="X34" s="1">
        <f t="shared" ref="X34:X44" si="27">+P34-T34</f>
        <v>-5609.4699999999993</v>
      </c>
      <c r="Y34" s="1"/>
      <c r="Z34" s="5">
        <f t="shared" ref="Z34:Z44" si="28">IF(T34=0,0,X34/T34)</f>
        <v>-0.50372395833333328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592.35</v>
      </c>
      <c r="E39" s="2"/>
      <c r="F39" s="7">
        <f t="shared" si="21"/>
        <v>0</v>
      </c>
      <c r="G39" s="2"/>
      <c r="H39" s="6">
        <v>1800</v>
      </c>
      <c r="I39" s="2"/>
      <c r="J39" s="7">
        <f t="shared" si="22"/>
        <v>0</v>
      </c>
      <c r="K39" s="2"/>
      <c r="L39" s="6">
        <f t="shared" si="23"/>
        <v>-1207.6500000000001</v>
      </c>
      <c r="M39" s="2"/>
      <c r="N39" s="7">
        <f t="shared" si="24"/>
        <v>-0.67091666666666672</v>
      </c>
      <c r="O39" s="11"/>
      <c r="P39" s="6">
        <v>2489.34</v>
      </c>
      <c r="Q39" s="2"/>
      <c r="R39" s="7">
        <f t="shared" si="25"/>
        <v>0.12539574357478667</v>
      </c>
      <c r="S39" s="2"/>
      <c r="T39" s="6">
        <v>7296</v>
      </c>
      <c r="U39" s="2"/>
      <c r="V39" s="7">
        <f t="shared" si="26"/>
        <v>0.36480000000000001</v>
      </c>
      <c r="W39" s="2"/>
      <c r="X39" s="6">
        <f t="shared" si="27"/>
        <v>-4806.66</v>
      </c>
      <c r="Y39" s="2"/>
      <c r="Z39" s="7">
        <f t="shared" si="28"/>
        <v>-0.65880756578947364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247.5</v>
      </c>
      <c r="Q40" s="2"/>
      <c r="R40" s="7">
        <f t="shared" si="25"/>
        <v>1.2467339348887536E-2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247.5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70</v>
      </c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70</v>
      </c>
      <c r="M41" s="2"/>
      <c r="N41" s="7">
        <f t="shared" si="24"/>
        <v>0</v>
      </c>
      <c r="O41" s="11"/>
      <c r="P41" s="6">
        <v>2156.69</v>
      </c>
      <c r="Q41" s="2"/>
      <c r="R41" s="7">
        <f t="shared" si="25"/>
        <v>0.10863913575899903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2156.69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633</v>
      </c>
      <c r="Q42" s="2"/>
      <c r="R42" s="7">
        <f t="shared" si="25"/>
        <v>3.1886164880185093E-2</v>
      </c>
      <c r="S42" s="2"/>
      <c r="T42" s="6">
        <v>3840</v>
      </c>
      <c r="U42" s="2"/>
      <c r="V42" s="7">
        <f t="shared" si="26"/>
        <v>0.192</v>
      </c>
      <c r="W42" s="2"/>
      <c r="X42" s="6">
        <f t="shared" si="27"/>
        <v>-3207</v>
      </c>
      <c r="Y42" s="2"/>
      <c r="Z42" s="7">
        <f t="shared" si="28"/>
        <v>-0.83515625000000004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6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404.43</v>
      </c>
      <c r="E45" s="1"/>
      <c r="F45" s="5">
        <f t="shared" ref="F45:F57" si="29">IF(D$12=0,0,D45/D$12)</f>
        <v>0</v>
      </c>
      <c r="G45" s="1"/>
      <c r="H45" s="1">
        <f>SUM(OSRRefH22_2x_0)</f>
        <v>0</v>
      </c>
      <c r="I45" s="1"/>
      <c r="J45" s="5">
        <f t="shared" ref="J45:J57" si="30">IF(H$12=0,0,H45/H$12)</f>
        <v>0</v>
      </c>
      <c r="K45" s="1"/>
      <c r="L45" s="1">
        <f t="shared" ref="L45:L57" si="31">+D45-H45</f>
        <v>404.43</v>
      </c>
      <c r="M45" s="1"/>
      <c r="N45" s="5">
        <f t="shared" ref="N45:N57" si="32">IF(H45=0,0,L45/H45)</f>
        <v>0</v>
      </c>
      <c r="O45" s="13"/>
      <c r="P45" s="1">
        <f>SUM(OSRRefP22_2x_0)</f>
        <v>508.38</v>
      </c>
      <c r="Q45" s="1"/>
      <c r="R45" s="5">
        <f t="shared" ref="R45:R57" si="33">IF(P$12=0,0,P45/P$12)</f>
        <v>2.5608670618939174E-2</v>
      </c>
      <c r="S45" s="1"/>
      <c r="T45" s="1">
        <f>SUM(OSRRefT22_2x_0)</f>
        <v>100</v>
      </c>
      <c r="U45" s="1"/>
      <c r="V45" s="5">
        <f t="shared" ref="V45:V57" si="34">IF(T$12=0,0,T45/T$12)</f>
        <v>5.0000000000000001E-3</v>
      </c>
      <c r="W45" s="1"/>
      <c r="X45" s="1">
        <f t="shared" ref="X45:X57" si="35">+P45-T45</f>
        <v>408.38</v>
      </c>
      <c r="Y45" s="1"/>
      <c r="Z45" s="5">
        <f t="shared" ref="Z45:Z57" si="36">IF(T45=0,0,X45/T45)</f>
        <v>4.0838000000000001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>
        <v>404.43</v>
      </c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404.43</v>
      </c>
      <c r="M46" s="2"/>
      <c r="N46" s="7">
        <f t="shared" si="32"/>
        <v>0</v>
      </c>
      <c r="O46" s="11"/>
      <c r="P46" s="6">
        <v>508.38</v>
      </c>
      <c r="Q46" s="2"/>
      <c r="R46" s="7">
        <f t="shared" si="33"/>
        <v>2.5608670618939174E-2</v>
      </c>
      <c r="S46" s="2"/>
      <c r="T46" s="6">
        <v>100</v>
      </c>
      <c r="U46" s="2"/>
      <c r="V46" s="7">
        <f t="shared" si="34"/>
        <v>5.0000000000000001E-3</v>
      </c>
      <c r="W46" s="2"/>
      <c r="X46" s="6">
        <f t="shared" si="35"/>
        <v>408.38</v>
      </c>
      <c r="Y46" s="2"/>
      <c r="Z46" s="7">
        <f t="shared" si="36"/>
        <v>4.0838000000000001</v>
      </c>
    </row>
    <row r="47" spans="1:26" s="26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1.85</v>
      </c>
      <c r="Q47" s="1"/>
      <c r="R47" s="5">
        <f t="shared" si="33"/>
        <v>9.3190213314916939E-5</v>
      </c>
      <c r="S47" s="1"/>
      <c r="T47" s="1">
        <f>SUM(OSRRefT22_3x_0)</f>
        <v>25</v>
      </c>
      <c r="U47" s="1"/>
      <c r="V47" s="5">
        <f t="shared" si="34"/>
        <v>1.25E-3</v>
      </c>
      <c r="W47" s="1"/>
      <c r="X47" s="1">
        <f t="shared" si="35"/>
        <v>-23.15</v>
      </c>
      <c r="Y47" s="1"/>
      <c r="Z47" s="5">
        <f t="shared" si="36"/>
        <v>-0.92599999999999993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1.85</v>
      </c>
      <c r="Q48" s="2"/>
      <c r="R48" s="7">
        <f t="shared" si="33"/>
        <v>9.3190213314916939E-5</v>
      </c>
      <c r="S48" s="2"/>
      <c r="T48" s="6">
        <v>25</v>
      </c>
      <c r="U48" s="2"/>
      <c r="V48" s="7">
        <f t="shared" si="34"/>
        <v>1.25E-3</v>
      </c>
      <c r="W48" s="2"/>
      <c r="X48" s="6">
        <f t="shared" si="35"/>
        <v>-23.15</v>
      </c>
      <c r="Y48" s="2"/>
      <c r="Z48" s="7">
        <f t="shared" si="36"/>
        <v>-0.92599999999999993</v>
      </c>
    </row>
    <row r="49" spans="1:26" s="26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15.08</v>
      </c>
      <c r="E49" s="1"/>
      <c r="F49" s="5">
        <f t="shared" si="29"/>
        <v>0</v>
      </c>
      <c r="G49" s="1"/>
      <c r="H49" s="1">
        <f>SUM(OSRRefH22_4x_0)</f>
        <v>0</v>
      </c>
      <c r="I49" s="1"/>
      <c r="J49" s="5">
        <f t="shared" si="30"/>
        <v>0</v>
      </c>
      <c r="K49" s="1"/>
      <c r="L49" s="1">
        <f t="shared" si="31"/>
        <v>15.08</v>
      </c>
      <c r="M49" s="1"/>
      <c r="N49" s="5">
        <f t="shared" si="32"/>
        <v>0</v>
      </c>
      <c r="O49" s="13"/>
      <c r="P49" s="1">
        <f>SUM(OSRRefP22_4x_0)</f>
        <v>348.55</v>
      </c>
      <c r="Q49" s="1"/>
      <c r="R49" s="5">
        <f t="shared" si="33"/>
        <v>1.7557539919413136E-2</v>
      </c>
      <c r="S49" s="1"/>
      <c r="T49" s="1">
        <f>SUM(OSRRefT22_4x_0)</f>
        <v>150</v>
      </c>
      <c r="U49" s="1"/>
      <c r="V49" s="5">
        <f t="shared" si="34"/>
        <v>7.4999999999999997E-3</v>
      </c>
      <c r="W49" s="1"/>
      <c r="X49" s="1">
        <f t="shared" si="35"/>
        <v>198.55</v>
      </c>
      <c r="Y49" s="1"/>
      <c r="Z49" s="5">
        <f t="shared" si="36"/>
        <v>1.3236666666666668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15.08</v>
      </c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15.08</v>
      </c>
      <c r="M50" s="2"/>
      <c r="N50" s="7">
        <f t="shared" si="32"/>
        <v>0</v>
      </c>
      <c r="O50" s="11"/>
      <c r="P50" s="6">
        <v>348.55</v>
      </c>
      <c r="Q50" s="2"/>
      <c r="R50" s="7">
        <f t="shared" si="33"/>
        <v>1.7557539919413136E-2</v>
      </c>
      <c r="S50" s="2"/>
      <c r="T50" s="6">
        <v>150</v>
      </c>
      <c r="U50" s="2"/>
      <c r="V50" s="7">
        <f t="shared" si="34"/>
        <v>7.4999999999999997E-3</v>
      </c>
      <c r="W50" s="2"/>
      <c r="X50" s="6">
        <f t="shared" si="35"/>
        <v>198.55</v>
      </c>
      <c r="Y50" s="2"/>
      <c r="Z50" s="7">
        <f t="shared" si="36"/>
        <v>1.3236666666666668</v>
      </c>
    </row>
    <row r="51" spans="1:26" s="26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114.64</v>
      </c>
      <c r="Q51" s="1"/>
      <c r="R51" s="5">
        <f t="shared" si="33"/>
        <v>5.7747708402281503E-3</v>
      </c>
      <c r="S51" s="1"/>
      <c r="T51" s="1">
        <f>SUM(OSRRefT22_5x_0)</f>
        <v>100</v>
      </c>
      <c r="U51" s="1"/>
      <c r="V51" s="5">
        <f t="shared" si="34"/>
        <v>5.0000000000000001E-3</v>
      </c>
      <c r="W51" s="1"/>
      <c r="X51" s="1">
        <f t="shared" si="35"/>
        <v>14.64</v>
      </c>
      <c r="Y51" s="1"/>
      <c r="Z51" s="5">
        <f t="shared" si="36"/>
        <v>0.1464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114.64</v>
      </c>
      <c r="Q52" s="2"/>
      <c r="R52" s="7">
        <f t="shared" si="33"/>
        <v>5.7747708402281503E-3</v>
      </c>
      <c r="S52" s="2"/>
      <c r="T52" s="6">
        <v>100</v>
      </c>
      <c r="U52" s="2"/>
      <c r="V52" s="7">
        <f t="shared" si="34"/>
        <v>5.0000000000000001E-3</v>
      </c>
      <c r="W52" s="2"/>
      <c r="X52" s="6">
        <f t="shared" si="35"/>
        <v>14.64</v>
      </c>
      <c r="Y52" s="2"/>
      <c r="Z52" s="7">
        <f t="shared" si="36"/>
        <v>0.1464</v>
      </c>
    </row>
    <row r="53" spans="1:26" s="26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553.65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553.65</v>
      </c>
      <c r="M53" s="1"/>
      <c r="N53" s="5">
        <f t="shared" si="32"/>
        <v>0</v>
      </c>
      <c r="O53" s="13"/>
      <c r="P53" s="1">
        <f>SUM(OSRRefP22_6x_0)</f>
        <v>3267.75</v>
      </c>
      <c r="Q53" s="1"/>
      <c r="R53" s="5">
        <f t="shared" si="33"/>
        <v>0.16460665922152423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3267.75</v>
      </c>
      <c r="Y53" s="1"/>
      <c r="Z53" s="5">
        <f t="shared" si="36"/>
        <v>0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>
        <v>553.65</v>
      </c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553.65</v>
      </c>
      <c r="M54" s="2"/>
      <c r="N54" s="7">
        <f t="shared" si="32"/>
        <v>0</v>
      </c>
      <c r="O54" s="11"/>
      <c r="P54" s="6">
        <v>3267.75</v>
      </c>
      <c r="Q54" s="2"/>
      <c r="R54" s="7">
        <f t="shared" si="33"/>
        <v>0.16460665922152423</v>
      </c>
      <c r="S54" s="2"/>
      <c r="T54" s="6"/>
      <c r="U54" s="2"/>
      <c r="V54" s="7">
        <f t="shared" si="34"/>
        <v>0</v>
      </c>
      <c r="W54" s="2"/>
      <c r="X54" s="6">
        <f t="shared" si="35"/>
        <v>3267.75</v>
      </c>
      <c r="Y54" s="2"/>
      <c r="Z54" s="7">
        <f t="shared" si="36"/>
        <v>0</v>
      </c>
    </row>
    <row r="55" spans="1:26" s="26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434.72</v>
      </c>
      <c r="Q55" s="1"/>
      <c r="R55" s="5">
        <f t="shared" si="33"/>
        <v>2.1898188936357133E-2</v>
      </c>
      <c r="S55" s="1"/>
      <c r="T55" s="1">
        <f>SUM(OSRRefT22_7x_0)</f>
        <v>1500</v>
      </c>
      <c r="U55" s="1"/>
      <c r="V55" s="5">
        <f t="shared" si="34"/>
        <v>7.4999999999999997E-2</v>
      </c>
      <c r="W55" s="1"/>
      <c r="X55" s="1">
        <f t="shared" si="35"/>
        <v>-1065.28</v>
      </c>
      <c r="Y55" s="1"/>
      <c r="Z55" s="5">
        <f t="shared" si="36"/>
        <v>-0.71018666666666663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296.64</v>
      </c>
      <c r="Q56" s="2"/>
      <c r="R56" s="7">
        <f t="shared" si="33"/>
        <v>1.4942672906884842E-2</v>
      </c>
      <c r="S56" s="2"/>
      <c r="T56" s="6"/>
      <c r="U56" s="2"/>
      <c r="V56" s="7">
        <f t="shared" si="34"/>
        <v>0</v>
      </c>
      <c r="W56" s="2"/>
      <c r="X56" s="6">
        <f t="shared" si="35"/>
        <v>296.64</v>
      </c>
      <c r="Y56" s="2"/>
      <c r="Z56" s="7">
        <f t="shared" si="36"/>
        <v>0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138.08000000000001</v>
      </c>
      <c r="Q57" s="2"/>
      <c r="R57" s="7">
        <f t="shared" si="33"/>
        <v>6.9555160294722876E-3</v>
      </c>
      <c r="S57" s="2"/>
      <c r="T57" s="6">
        <v>1500</v>
      </c>
      <c r="U57" s="2"/>
      <c r="V57" s="7">
        <f t="shared" si="34"/>
        <v>7.4999999999999997E-2</v>
      </c>
      <c r="W57" s="2"/>
      <c r="X57" s="6">
        <f t="shared" si="35"/>
        <v>-1361.92</v>
      </c>
      <c r="Y57" s="2"/>
      <c r="Z57" s="7">
        <f t="shared" si="36"/>
        <v>-0.90794666666666668</v>
      </c>
    </row>
    <row r="58" spans="1:26" s="26" customFormat="1" outlineLevel="1" collapsed="1" x14ac:dyDescent="0.25">
      <c r="A58" s="25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0</v>
      </c>
      <c r="I58" s="1"/>
      <c r="J58" s="5">
        <f t="shared" ref="J58:J60" si="38">IF(H$12=0,0,H58/H$12)</f>
        <v>0</v>
      </c>
      <c r="K58" s="1"/>
      <c r="L58" s="1">
        <f t="shared" ref="L58:L60" si="39">+D58-H58</f>
        <v>0</v>
      </c>
      <c r="M58" s="1"/>
      <c r="N58" s="5">
        <f t="shared" ref="N58:N60" si="40">IF(H58=0,0,L58/H58)</f>
        <v>0</v>
      </c>
      <c r="O58" s="13"/>
      <c r="P58" s="1">
        <f>SUM(OSRRefP22_8x_0)</f>
        <v>5576.51</v>
      </c>
      <c r="Q58" s="1"/>
      <c r="R58" s="5">
        <f t="shared" ref="R58:R60" si="41">IF(P$12=0,0,P58/P$12)</f>
        <v>0.28090603051500945</v>
      </c>
      <c r="S58" s="1"/>
      <c r="T58" s="1">
        <f>SUM(OSRRefT22_8x_0)</f>
        <v>4000</v>
      </c>
      <c r="U58" s="1"/>
      <c r="V58" s="5">
        <f t="shared" ref="V58:V60" si="42">IF(T$12=0,0,T58/T$12)</f>
        <v>0.2</v>
      </c>
      <c r="W58" s="1"/>
      <c r="X58" s="1">
        <f t="shared" ref="X58:X60" si="43">+P58-T58</f>
        <v>1576.5100000000002</v>
      </c>
      <c r="Y58" s="1"/>
      <c r="Z58" s="5">
        <f t="shared" ref="Z58:Z60" si="44">IF(T58=0,0,X58/T58)</f>
        <v>0.39412750000000007</v>
      </c>
    </row>
    <row r="59" spans="1:26" s="24" customFormat="1" hidden="1" outlineLevel="2" x14ac:dyDescent="0.25">
      <c r="A59" s="27"/>
      <c r="B59" s="11" t="str">
        <f>CONCATENATE("          ", "6253", " - ", "ROYALTY DUE ATHLETICS-LRG")</f>
        <v xml:space="preserve">          6253 - ROYALTY DUE ATHLETICS-LRG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4000</v>
      </c>
      <c r="U59" s="2"/>
      <c r="V59" s="7">
        <f t="shared" si="42"/>
        <v>0.2</v>
      </c>
      <c r="W59" s="2"/>
      <c r="X59" s="6">
        <f t="shared" si="43"/>
        <v>-4000</v>
      </c>
      <c r="Y59" s="2"/>
      <c r="Z59" s="7">
        <f t="shared" si="44"/>
        <v>-1</v>
      </c>
    </row>
    <row r="60" spans="1:26" s="24" customFormat="1" hidden="1" outlineLevel="2" x14ac:dyDescent="0.25">
      <c r="A60" s="27"/>
      <c r="B60" s="11" t="str">
        <f>CONCATENATE("          ", "6254", " - ", "ROYALTY &amp; COMMISSIONS")</f>
        <v xml:space="preserve">          6254 - ROYALTY &amp; COMMISSIONS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5576.51</v>
      </c>
      <c r="Q60" s="2"/>
      <c r="R60" s="7">
        <f t="shared" si="41"/>
        <v>0.28090603051500945</v>
      </c>
      <c r="S60" s="2"/>
      <c r="T60" s="6"/>
      <c r="U60" s="2"/>
      <c r="V60" s="7">
        <f t="shared" si="42"/>
        <v>0</v>
      </c>
      <c r="W60" s="2"/>
      <c r="X60" s="6">
        <f t="shared" si="43"/>
        <v>5576.51</v>
      </c>
      <c r="Y60" s="2"/>
      <c r="Z60" s="7">
        <f t="shared" si="44"/>
        <v>0</v>
      </c>
    </row>
    <row r="61" spans="1:26" s="26" customFormat="1" outlineLevel="1" collapsed="1" x14ac:dyDescent="0.25">
      <c r="A61" s="25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SUM(OSRRefD22_9x_0)</f>
        <v>32.5</v>
      </c>
      <c r="E61" s="1"/>
      <c r="F61" s="5">
        <f t="shared" ref="F61:F67" si="45">IF(D$12=0,0,D61/D$12)</f>
        <v>0</v>
      </c>
      <c r="G61" s="1"/>
      <c r="H61" s="1">
        <f>SUM(OSRRefH22_9x_0)</f>
        <v>0</v>
      </c>
      <c r="I61" s="1"/>
      <c r="J61" s="5">
        <f t="shared" ref="J61:J67" si="46">IF(H$12=0,0,H61/H$12)</f>
        <v>0</v>
      </c>
      <c r="K61" s="1"/>
      <c r="L61" s="1">
        <f t="shared" ref="L61:L67" si="47">+D61-H61</f>
        <v>32.5</v>
      </c>
      <c r="M61" s="1"/>
      <c r="N61" s="5">
        <f t="shared" ref="N61:N67" si="48">IF(H61=0,0,L61/H61)</f>
        <v>0</v>
      </c>
      <c r="O61" s="13"/>
      <c r="P61" s="1">
        <f>SUM(OSRRefP22_9x_0)</f>
        <v>32.5</v>
      </c>
      <c r="Q61" s="1"/>
      <c r="R61" s="5">
        <f t="shared" ref="R61:R67" si="49">IF(P$12=0,0,P61/P$12)</f>
        <v>1.6371253690458381E-3</v>
      </c>
      <c r="S61" s="1"/>
      <c r="T61" s="1">
        <f>SUM(OSRRefT22_9x_0)</f>
        <v>25</v>
      </c>
      <c r="U61" s="1"/>
      <c r="V61" s="5">
        <f t="shared" ref="V61:V67" si="50">IF(T$12=0,0,T61/T$12)</f>
        <v>1.25E-3</v>
      </c>
      <c r="W61" s="1"/>
      <c r="X61" s="1">
        <f t="shared" ref="X61:X67" si="51">+P61-T61</f>
        <v>7.5</v>
      </c>
      <c r="Y61" s="1"/>
      <c r="Z61" s="5">
        <f t="shared" ref="Z61:Z67" si="52">IF(T61=0,0,X61/T61)</f>
        <v>0.3</v>
      </c>
    </row>
    <row r="62" spans="1:26" s="24" customFormat="1" hidden="1" outlineLevel="2" x14ac:dyDescent="0.25">
      <c r="A62" s="27"/>
      <c r="B62" s="11" t="str">
        <f>CONCATENATE("          ", "6286", " - ", "LAUNDRY EXPENSE")</f>
        <v xml:space="preserve">          6286 - LAUNDRY EXPENSE</v>
      </c>
      <c r="C62" s="11"/>
      <c r="D62" s="6">
        <v>32.5</v>
      </c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32.5</v>
      </c>
      <c r="M62" s="2"/>
      <c r="N62" s="7">
        <f t="shared" si="48"/>
        <v>0</v>
      </c>
      <c r="O62" s="11"/>
      <c r="P62" s="6">
        <v>32.5</v>
      </c>
      <c r="Q62" s="2"/>
      <c r="R62" s="7">
        <f t="shared" si="49"/>
        <v>1.6371253690458381E-3</v>
      </c>
      <c r="S62" s="2"/>
      <c r="T62" s="6">
        <v>25</v>
      </c>
      <c r="U62" s="2"/>
      <c r="V62" s="7">
        <f t="shared" si="50"/>
        <v>1.25E-3</v>
      </c>
      <c r="W62" s="2"/>
      <c r="X62" s="6">
        <f t="shared" si="51"/>
        <v>7.5</v>
      </c>
      <c r="Y62" s="2"/>
      <c r="Z62" s="7">
        <f t="shared" si="52"/>
        <v>0.3</v>
      </c>
    </row>
    <row r="63" spans="1:26" s="26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479.62</v>
      </c>
      <c r="E63" s="1"/>
      <c r="F63" s="5">
        <f t="shared" si="45"/>
        <v>0</v>
      </c>
      <c r="G63" s="1"/>
      <c r="H63" s="1">
        <f>SUM(OSRRefH22_10x_0)</f>
        <v>0</v>
      </c>
      <c r="I63" s="1"/>
      <c r="J63" s="5">
        <f t="shared" si="46"/>
        <v>0</v>
      </c>
      <c r="K63" s="1"/>
      <c r="L63" s="1">
        <f t="shared" si="47"/>
        <v>479.62</v>
      </c>
      <c r="M63" s="1"/>
      <c r="N63" s="5">
        <f t="shared" si="48"/>
        <v>0</v>
      </c>
      <c r="O63" s="13"/>
      <c r="P63" s="1">
        <f>SUM(OSRRefP22_10x_0)</f>
        <v>1013.37</v>
      </c>
      <c r="Q63" s="1"/>
      <c r="R63" s="5">
        <f t="shared" si="49"/>
        <v>5.1046576468614796E-2</v>
      </c>
      <c r="S63" s="1"/>
      <c r="T63" s="1">
        <f>SUM(OSRRefT22_10x_0)</f>
        <v>500</v>
      </c>
      <c r="U63" s="1"/>
      <c r="V63" s="5">
        <f t="shared" si="50"/>
        <v>2.5000000000000001E-2</v>
      </c>
      <c r="W63" s="1"/>
      <c r="X63" s="1">
        <f t="shared" si="51"/>
        <v>513.37</v>
      </c>
      <c r="Y63" s="1"/>
      <c r="Z63" s="5">
        <f t="shared" si="52"/>
        <v>1.02674</v>
      </c>
    </row>
    <row r="64" spans="1:26" s="24" customFormat="1" hidden="1" outlineLevel="2" x14ac:dyDescent="0.25">
      <c r="A64" s="27"/>
      <c r="B64" s="11" t="str">
        <f>CONCATENATE("          ", "6239", " - ", "KITCHEN SUPPLIES")</f>
        <v xml:space="preserve">          6239 - KITCHEN SUPPLIES</v>
      </c>
      <c r="C64" s="11"/>
      <c r="D64" s="6">
        <v>446.56</v>
      </c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446.56</v>
      </c>
      <c r="M64" s="2"/>
      <c r="N64" s="7">
        <f t="shared" si="48"/>
        <v>0</v>
      </c>
      <c r="O64" s="11"/>
      <c r="P64" s="6">
        <v>875.42</v>
      </c>
      <c r="Q64" s="2"/>
      <c r="R64" s="7">
        <f t="shared" si="49"/>
        <v>4.4097608940618691E-2</v>
      </c>
      <c r="S64" s="2"/>
      <c r="T64" s="6"/>
      <c r="U64" s="2"/>
      <c r="V64" s="7">
        <f t="shared" si="50"/>
        <v>0</v>
      </c>
      <c r="W64" s="2"/>
      <c r="X64" s="6">
        <f t="shared" si="51"/>
        <v>875.42</v>
      </c>
      <c r="Y64" s="2"/>
      <c r="Z64" s="7">
        <f t="shared" si="52"/>
        <v>0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6">
        <v>33.06</v>
      </c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33.06</v>
      </c>
      <c r="M65" s="2"/>
      <c r="N65" s="7">
        <f t="shared" si="48"/>
        <v>0</v>
      </c>
      <c r="O65" s="11"/>
      <c r="P65" s="6">
        <v>33.06</v>
      </c>
      <c r="Q65" s="2"/>
      <c r="R65" s="7">
        <f t="shared" si="49"/>
        <v>1.6653342984817049E-3</v>
      </c>
      <c r="S65" s="2"/>
      <c r="T65" s="6"/>
      <c r="U65" s="2"/>
      <c r="V65" s="7">
        <f t="shared" si="50"/>
        <v>0</v>
      </c>
      <c r="W65" s="2"/>
      <c r="X65" s="6">
        <f t="shared" si="51"/>
        <v>33.06</v>
      </c>
      <c r="Y65" s="2"/>
      <c r="Z65" s="7">
        <f t="shared" si="52"/>
        <v>0</v>
      </c>
    </row>
    <row r="66" spans="1:26" s="24" customFormat="1" hidden="1" outlineLevel="2" x14ac:dyDescent="0.25">
      <c r="A66" s="27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500</v>
      </c>
      <c r="U66" s="2"/>
      <c r="V66" s="7">
        <f t="shared" si="50"/>
        <v>2.5000000000000001E-2</v>
      </c>
      <c r="W66" s="2"/>
      <c r="X66" s="6">
        <f t="shared" si="51"/>
        <v>-500</v>
      </c>
      <c r="Y66" s="2"/>
      <c r="Z66" s="7">
        <f t="shared" si="52"/>
        <v>-1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104.89</v>
      </c>
      <c r="Q67" s="2"/>
      <c r="R67" s="7">
        <f t="shared" si="49"/>
        <v>5.2836332295143991E-3</v>
      </c>
      <c r="S67" s="2"/>
      <c r="T67" s="6"/>
      <c r="U67" s="2"/>
      <c r="V67" s="7">
        <f t="shared" si="50"/>
        <v>0</v>
      </c>
      <c r="W67" s="2"/>
      <c r="X67" s="6">
        <f t="shared" si="51"/>
        <v>104.89</v>
      </c>
      <c r="Y67" s="2"/>
      <c r="Z67" s="7">
        <f t="shared" si="52"/>
        <v>0</v>
      </c>
    </row>
    <row r="68" spans="1:26" s="26" customFormat="1" outlineLevel="1" collapsed="1" x14ac:dyDescent="0.25">
      <c r="A68" s="25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SUM(OSRRefD22_11x_0)</f>
        <v>214.01</v>
      </c>
      <c r="E68" s="1"/>
      <c r="F68" s="5">
        <f t="shared" ref="F68:F70" si="53">IF(D$12=0,0,D68/D$12)</f>
        <v>0</v>
      </c>
      <c r="G68" s="1"/>
      <c r="H68" s="1">
        <f>SUM(OSRRefH22_11x_0)</f>
        <v>298</v>
      </c>
      <c r="I68" s="1"/>
      <c r="J68" s="5">
        <f t="shared" ref="J68:J70" si="54">IF(H$12=0,0,H68/H$12)</f>
        <v>0</v>
      </c>
      <c r="K68" s="1"/>
      <c r="L68" s="1">
        <f t="shared" ref="L68:L70" si="55">+D68-H68</f>
        <v>-83.990000000000009</v>
      </c>
      <c r="M68" s="1"/>
      <c r="N68" s="5">
        <f t="shared" ref="N68:N70" si="56">IF(H68=0,0,L68/H68)</f>
        <v>-0.28184563758389264</v>
      </c>
      <c r="O68" s="13"/>
      <c r="P68" s="1">
        <f>SUM(OSRRefP22_11x_0)</f>
        <v>856.04</v>
      </c>
      <c r="Q68" s="1"/>
      <c r="R68" s="5">
        <f t="shared" ref="R68:R70" si="57">IF(P$12=0,0,P68/P$12)</f>
        <v>4.312137848978459E-2</v>
      </c>
      <c r="S68" s="1"/>
      <c r="T68" s="1">
        <f>SUM(OSRRefT22_11x_0)</f>
        <v>1192</v>
      </c>
      <c r="U68" s="1"/>
      <c r="V68" s="5">
        <f t="shared" ref="V68:V70" si="58">IF(T$12=0,0,T68/T$12)</f>
        <v>5.96E-2</v>
      </c>
      <c r="W68" s="1"/>
      <c r="X68" s="1">
        <f t="shared" ref="X68:X70" si="59">+P68-T68</f>
        <v>-335.96000000000004</v>
      </c>
      <c r="Y68" s="1"/>
      <c r="Z68" s="5">
        <f t="shared" ref="Z68:Z70" si="60">IF(T68=0,0,X68/T68)</f>
        <v>-0.28184563758389264</v>
      </c>
    </row>
    <row r="69" spans="1:26" s="24" customFormat="1" hidden="1" outlineLevel="2" x14ac:dyDescent="0.25">
      <c r="A69" s="27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53"/>
        <v>0</v>
      </c>
      <c r="G69" s="2"/>
      <c r="H69" s="6">
        <v>298</v>
      </c>
      <c r="I69" s="2"/>
      <c r="J69" s="7">
        <f t="shared" si="54"/>
        <v>0</v>
      </c>
      <c r="K69" s="2"/>
      <c r="L69" s="6">
        <f t="shared" si="55"/>
        <v>-298</v>
      </c>
      <c r="M69" s="2"/>
      <c r="N69" s="7">
        <f t="shared" si="56"/>
        <v>-1</v>
      </c>
      <c r="O69" s="11"/>
      <c r="P69" s="6"/>
      <c r="Q69" s="2"/>
      <c r="R69" s="7">
        <f t="shared" si="57"/>
        <v>0</v>
      </c>
      <c r="S69" s="2"/>
      <c r="T69" s="6">
        <v>1192</v>
      </c>
      <c r="U69" s="2"/>
      <c r="V69" s="7">
        <f t="shared" si="58"/>
        <v>5.96E-2</v>
      </c>
      <c r="W69" s="2"/>
      <c r="X69" s="6">
        <f t="shared" si="59"/>
        <v>-1192</v>
      </c>
      <c r="Y69" s="2"/>
      <c r="Z69" s="7">
        <f t="shared" si="60"/>
        <v>-1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214.01</v>
      </c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214.01</v>
      </c>
      <c r="M70" s="2"/>
      <c r="N70" s="7">
        <f t="shared" si="56"/>
        <v>0</v>
      </c>
      <c r="O70" s="11"/>
      <c r="P70" s="6">
        <v>856.04</v>
      </c>
      <c r="Q70" s="2"/>
      <c r="R70" s="7">
        <f t="shared" si="57"/>
        <v>4.312137848978459E-2</v>
      </c>
      <c r="S70" s="2"/>
      <c r="T70" s="6"/>
      <c r="U70" s="2"/>
      <c r="V70" s="7">
        <f t="shared" si="58"/>
        <v>0</v>
      </c>
      <c r="W70" s="2"/>
      <c r="X70" s="6">
        <f t="shared" si="59"/>
        <v>856.04</v>
      </c>
      <c r="Y70" s="2"/>
      <c r="Z70" s="7">
        <f t="shared" si="60"/>
        <v>0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0</v>
      </c>
      <c r="C72" s="10"/>
      <c r="D72" s="4">
        <f>SUM(OSRRefD25x_0)</f>
        <v>0</v>
      </c>
      <c r="E72" s="4"/>
      <c r="F72" s="12">
        <f t="shared" ref="F72:F73" si="61">IF(D$12=0,0,D72/D$12)</f>
        <v>0</v>
      </c>
      <c r="G72" s="4"/>
      <c r="H72" s="4">
        <f>SUM(OSRRefH25x_0)</f>
        <v>0</v>
      </c>
      <c r="I72" s="4"/>
      <c r="J72" s="12">
        <f t="shared" ref="J72:J73" si="62">IF(H$12=0,0,H72/H$12)</f>
        <v>0</v>
      </c>
      <c r="K72" s="4"/>
      <c r="L72" s="4">
        <f t="shared" ref="L72:L73" si="63">+D72-H72</f>
        <v>0</v>
      </c>
      <c r="M72" s="4"/>
      <c r="N72" s="12">
        <f t="shared" ref="N72:N73" si="64">IF(H72=0,0,L72/H72)</f>
        <v>0</v>
      </c>
      <c r="O72" s="10"/>
      <c r="P72" s="4">
        <f>SUM(OSRRefP25x_0)</f>
        <v>3455.9</v>
      </c>
      <c r="Q72" s="4"/>
      <c r="R72" s="12">
        <f t="shared" ref="R72:R73" si="65">IF(P$12=0,0,P72/P$12)</f>
        <v>0.17408435578109269</v>
      </c>
      <c r="S72" s="4"/>
      <c r="T72" s="4">
        <f>SUM(OSRRefT25x_0)</f>
        <v>0</v>
      </c>
      <c r="U72" s="4"/>
      <c r="V72" s="12">
        <f t="shared" ref="V72:V73" si="66">IF(T$12=0,0,T72/T$12)</f>
        <v>0</v>
      </c>
      <c r="W72" s="4"/>
      <c r="X72" s="4">
        <f t="shared" ref="X72:X73" si="67">+P72-T72</f>
        <v>3455.9</v>
      </c>
      <c r="Y72" s="4"/>
      <c r="Z72" s="12">
        <f t="shared" ref="Z72:Z73" si="68">IF(T72=0,0,X72/T72)</f>
        <v>0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1"/>
        <v>0</v>
      </c>
      <c r="G73" s="2"/>
      <c r="H73" s="2"/>
      <c r="I73" s="2"/>
      <c r="J73" s="19">
        <f t="shared" si="62"/>
        <v>0</v>
      </c>
      <c r="K73" s="2"/>
      <c r="L73" s="2">
        <f t="shared" si="63"/>
        <v>0</v>
      </c>
      <c r="M73" s="2"/>
      <c r="N73" s="19">
        <f t="shared" si="64"/>
        <v>0</v>
      </c>
      <c r="O73" s="11"/>
      <c r="P73" s="2">
        <f>--3455.9</f>
        <v>3455.9</v>
      </c>
      <c r="Q73" s="2"/>
      <c r="R73" s="19">
        <f t="shared" si="65"/>
        <v>0.17408435578109269</v>
      </c>
      <c r="S73" s="2"/>
      <c r="T73" s="2"/>
      <c r="U73" s="2"/>
      <c r="V73" s="19">
        <f t="shared" si="66"/>
        <v>0</v>
      </c>
      <c r="W73" s="2"/>
      <c r="X73" s="2">
        <f t="shared" si="67"/>
        <v>3455.9</v>
      </c>
      <c r="Y73" s="2"/>
      <c r="Z73" s="19">
        <f t="shared" si="68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3</v>
      </c>
      <c r="C75" s="28"/>
      <c r="D75" s="22">
        <f>+D22-D24+D72</f>
        <v>-2393.87</v>
      </c>
      <c r="E75" s="14"/>
      <c r="F75" s="20">
        <f>IF(D$12=0,0,D75/D$12)</f>
        <v>0</v>
      </c>
      <c r="G75" s="14"/>
      <c r="H75" s="22">
        <f>+H22-H24+H72</f>
        <v>-2156.6800000000003</v>
      </c>
      <c r="I75" s="14"/>
      <c r="J75" s="20">
        <f>IF(H$12=0,0,H75/H$12)</f>
        <v>0</v>
      </c>
      <c r="K75" s="16"/>
      <c r="L75" s="22">
        <f>+D75-H75</f>
        <v>-237.1899999999996</v>
      </c>
      <c r="M75" s="16"/>
      <c r="N75" s="20">
        <f>IF(H75=0,0,L75/H75)</f>
        <v>0.10997922733089729</v>
      </c>
      <c r="O75" s="29"/>
      <c r="P75" s="22">
        <f>+P22-P24+P72</f>
        <v>460.21999999999616</v>
      </c>
      <c r="Q75" s="14"/>
      <c r="R75" s="20">
        <f>IF(P$12=0,0,P75/P$12)</f>
        <v>2.318270268745444E-2</v>
      </c>
      <c r="S75" s="14"/>
      <c r="T75" s="22">
        <f>+T22-T24+T72</f>
        <v>-4091.0335999999988</v>
      </c>
      <c r="U75" s="14"/>
      <c r="V75" s="20">
        <f>IF(T$12=0,0,T75/T$12)</f>
        <v>-0.20455167999999993</v>
      </c>
      <c r="W75" s="16"/>
      <c r="X75" s="22">
        <f>+P75-T75</f>
        <v>4551.2535999999945</v>
      </c>
      <c r="Y75" s="16"/>
      <c r="Z75" s="20">
        <f>IF(T75=0,0,X75/T75)</f>
        <v>-1.1124947983805353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-134.01</v>
      </c>
      <c r="E77" s="4"/>
      <c r="F77" s="12">
        <f>IF(D$12=0,0,D77/D$12)</f>
        <v>0</v>
      </c>
      <c r="G77" s="4"/>
      <c r="H77" s="4">
        <v>-121</v>
      </c>
      <c r="I77" s="4"/>
      <c r="J77" s="12">
        <f>IF(H$12=0,0,H77/H$12)</f>
        <v>0</v>
      </c>
      <c r="K77" s="4"/>
      <c r="L77" s="4">
        <f>+D77-H77</f>
        <v>-13.009999999999991</v>
      </c>
      <c r="M77" s="4"/>
      <c r="N77" s="12">
        <f>IF(H77=0,0,L77/H77)</f>
        <v>0.10752066115702472</v>
      </c>
      <c r="O77" s="10"/>
      <c r="P77" s="4">
        <v>1998.34</v>
      </c>
      <c r="Q77" s="4"/>
      <c r="R77" s="12">
        <f>IF(P$12=0,0,P77/P$12)</f>
        <v>0.10066255723012492</v>
      </c>
      <c r="S77" s="4"/>
      <c r="T77" s="4">
        <v>2409</v>
      </c>
      <c r="U77" s="4"/>
      <c r="V77" s="12">
        <f>IF(T$12=0,0,T77/T$12)</f>
        <v>0.12045</v>
      </c>
      <c r="W77" s="4"/>
      <c r="X77" s="4">
        <f>+P77-T77</f>
        <v>-410.66000000000008</v>
      </c>
      <c r="Y77" s="4"/>
      <c r="Z77" s="12">
        <f>IF(T77=0,0,X77/T77)</f>
        <v>-0.17046907430469077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4</v>
      </c>
      <c r="C79" s="28"/>
      <c r="D79" s="31">
        <f>+D75-D77</f>
        <v>-2259.8599999999997</v>
      </c>
      <c r="E79" s="14"/>
      <c r="F79" s="33">
        <f>IF(D$12=0,0,D79/D$12)</f>
        <v>0</v>
      </c>
      <c r="G79" s="14"/>
      <c r="H79" s="31">
        <f>+H75-H77</f>
        <v>-2035.6800000000003</v>
      </c>
      <c r="I79" s="14"/>
      <c r="J79" s="33">
        <f>IF(H$12=0,0,H79/H$12)</f>
        <v>0</v>
      </c>
      <c r="K79" s="16"/>
      <c r="L79" s="31">
        <f>D79-H79</f>
        <v>-224.17999999999938</v>
      </c>
      <c r="M79" s="16"/>
      <c r="N79" s="33">
        <f>IF(H79=0,0,L79/H79)</f>
        <v>0.11012536351489396</v>
      </c>
      <c r="O79" s="29"/>
      <c r="P79" s="31">
        <f>+P75-P77</f>
        <v>-1538.1200000000038</v>
      </c>
      <c r="Q79" s="14"/>
      <c r="R79" s="33">
        <f>IF(P$12=0,0,P79/P$12)</f>
        <v>-7.7479854542670479E-2</v>
      </c>
      <c r="S79" s="14"/>
      <c r="T79" s="31">
        <f>+T75-T77</f>
        <v>-6500.0335999999988</v>
      </c>
      <c r="U79" s="14"/>
      <c r="V79" s="33">
        <f>IF(T$12=0,0,T79/T$12)</f>
        <v>-0.32500167999999996</v>
      </c>
      <c r="W79" s="16"/>
      <c r="X79" s="31">
        <f>P79-T79</f>
        <v>4961.9135999999953</v>
      </c>
      <c r="Y79" s="16"/>
      <c r="Z79" s="33">
        <f>IF(T79=0,0,X79/T79)</f>
        <v>-0.76336737705478874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5</v>
      </c>
      <c r="C82" s="28"/>
      <c r="D82" s="32">
        <f>SUM(D79:D81)</f>
        <v>-2259.8599999999997</v>
      </c>
      <c r="E82" s="14"/>
      <c r="F82" s="34">
        <f>IF(D$12=0,0,D82/D$12)</f>
        <v>0</v>
      </c>
      <c r="G82" s="14"/>
      <c r="H82" s="32">
        <f>SUM(H79:H81)</f>
        <v>-2035.6800000000003</v>
      </c>
      <c r="I82" s="14"/>
      <c r="J82" s="34">
        <f>IF(H$12=0,0,H82/H$12)</f>
        <v>0</v>
      </c>
      <c r="K82" s="16"/>
      <c r="L82" s="32">
        <f>+D82-H82</f>
        <v>-224.17999999999938</v>
      </c>
      <c r="M82" s="16"/>
      <c r="N82" s="34">
        <f>IF(H82=0,0,L82/H82)</f>
        <v>0.11012536351489396</v>
      </c>
      <c r="O82" s="29"/>
      <c r="P82" s="32">
        <f>SUM(P79:P81)</f>
        <v>-1538.1200000000038</v>
      </c>
      <c r="Q82" s="14"/>
      <c r="R82" s="34">
        <f>IF(P$12=0,0,P82/P$12)</f>
        <v>-7.7479854542670479E-2</v>
      </c>
      <c r="S82" s="14"/>
      <c r="T82" s="32">
        <f>SUM(T79:T81)</f>
        <v>-6500.0335999999988</v>
      </c>
      <c r="U82" s="14"/>
      <c r="V82" s="34">
        <f>IF(T$12=0,0,T82/T$12)</f>
        <v>-0.32500167999999996</v>
      </c>
      <c r="W82" s="16"/>
      <c r="X82" s="32">
        <f>+P82-T82</f>
        <v>4961.9135999999953</v>
      </c>
      <c r="Y82" s="16"/>
      <c r="Z82" s="34">
        <f>IF(T82=0,0,X82/T82)</f>
        <v>-0.76336737705478874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60">
        <v>43791.348633680558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4" t="s">
        <v>314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5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32950.629999999997</v>
      </c>
      <c r="E12" s="4"/>
      <c r="F12" s="12"/>
      <c r="G12" s="4"/>
      <c r="H12" s="4">
        <f>SUM(OSRRefH13x_0)</f>
        <v>50000</v>
      </c>
      <c r="I12" s="4"/>
      <c r="J12" s="12"/>
      <c r="K12" s="4"/>
      <c r="L12" s="4">
        <f t="shared" ref="L12:L16" si="0">+D12-H12</f>
        <v>-17049.370000000003</v>
      </c>
      <c r="M12" s="4"/>
      <c r="N12" s="12">
        <f t="shared" ref="N12:N16" si="1">IF(H12=0,0,L12/H12)</f>
        <v>-0.34098740000000005</v>
      </c>
      <c r="O12" s="10"/>
      <c r="P12" s="4">
        <f>SUM(OSRRefP13x_0)</f>
        <v>133751.99</v>
      </c>
      <c r="Q12" s="4"/>
      <c r="R12" s="12"/>
      <c r="S12" s="4"/>
      <c r="T12" s="4">
        <f>SUM(OSRRefT13x_0)</f>
        <v>115000</v>
      </c>
      <c r="U12" s="4"/>
      <c r="V12" s="12"/>
      <c r="W12" s="4"/>
      <c r="X12" s="4">
        <f t="shared" ref="X12:X16" si="2">+P12-T12</f>
        <v>18751.989999999991</v>
      </c>
      <c r="Y12" s="4"/>
      <c r="Z12" s="12">
        <f t="shared" ref="Z12:Z16" si="3">IF(T12=0,0,X12/T12)</f>
        <v>0.16306078260869558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12500</v>
      </c>
      <c r="I13" s="2"/>
      <c r="J13" s="19"/>
      <c r="K13" s="2"/>
      <c r="L13" s="2">
        <f t="shared" si="0"/>
        <v>-12500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28750</v>
      </c>
      <c r="U13" s="2"/>
      <c r="V13" s="19"/>
      <c r="W13" s="2"/>
      <c r="X13" s="2">
        <f t="shared" si="2"/>
        <v>-28750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--19282.44</f>
        <v>19282.439999999999</v>
      </c>
      <c r="E14" s="2"/>
      <c r="F14" s="19"/>
      <c r="G14" s="2"/>
      <c r="H14" s="2"/>
      <c r="I14" s="2"/>
      <c r="J14" s="19"/>
      <c r="K14" s="2"/>
      <c r="L14" s="2">
        <f t="shared" si="0"/>
        <v>19282.439999999999</v>
      </c>
      <c r="M14" s="2"/>
      <c r="N14" s="19">
        <f t="shared" si="1"/>
        <v>0</v>
      </c>
      <c r="O14" s="11"/>
      <c r="P14" s="2">
        <f>--93103.25</f>
        <v>93103.25</v>
      </c>
      <c r="Q14" s="2"/>
      <c r="R14" s="19"/>
      <c r="S14" s="2"/>
      <c r="T14" s="2"/>
      <c r="U14" s="2"/>
      <c r="V14" s="19"/>
      <c r="W14" s="2"/>
      <c r="X14" s="2">
        <f t="shared" si="2"/>
        <v>93103.25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--13668.19</f>
        <v>13668.19</v>
      </c>
      <c r="E15" s="2"/>
      <c r="F15" s="19"/>
      <c r="G15" s="2"/>
      <c r="H15" s="2"/>
      <c r="I15" s="2"/>
      <c r="J15" s="19"/>
      <c r="K15" s="2"/>
      <c r="L15" s="2">
        <f t="shared" si="0"/>
        <v>13668.19</v>
      </c>
      <c r="M15" s="2"/>
      <c r="N15" s="19">
        <f t="shared" si="1"/>
        <v>0</v>
      </c>
      <c r="O15" s="11"/>
      <c r="P15" s="2">
        <f>--40648.74</f>
        <v>40648.74</v>
      </c>
      <c r="Q15" s="2"/>
      <c r="R15" s="19"/>
      <c r="S15" s="2"/>
      <c r="T15" s="2"/>
      <c r="U15" s="2"/>
      <c r="V15" s="19"/>
      <c r="W15" s="2"/>
      <c r="X15" s="2">
        <f t="shared" si="2"/>
        <v>40648.74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37500</v>
      </c>
      <c r="I16" s="2"/>
      <c r="J16" s="19"/>
      <c r="K16" s="2"/>
      <c r="L16" s="2">
        <f t="shared" si="0"/>
        <v>-37500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86250</v>
      </c>
      <c r="U16" s="2"/>
      <c r="V16" s="19"/>
      <c r="W16" s="2"/>
      <c r="X16" s="2">
        <f t="shared" si="2"/>
        <v>-86250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7151.2199999999993</v>
      </c>
      <c r="E18" s="4"/>
      <c r="F18" s="12">
        <f t="shared" ref="F18:F21" si="4">IF(D$12=0,0,D18/D$12)</f>
        <v>0.21702832388940665</v>
      </c>
      <c r="G18" s="4"/>
      <c r="H18" s="4">
        <f>SUM(OSRRefH16x_0)</f>
        <v>11500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-4348.7800000000007</v>
      </c>
      <c r="M18" s="4"/>
      <c r="N18" s="12">
        <f t="shared" ref="N18:N21" si="7">IF(H18=0,0,L18/H18)</f>
        <v>-0.37815478260869573</v>
      </c>
      <c r="O18" s="10"/>
      <c r="P18" s="4">
        <f>SUM(OSRRefP16x_0)</f>
        <v>31234.689999999995</v>
      </c>
      <c r="Q18" s="4"/>
      <c r="R18" s="12">
        <f t="shared" ref="R18:R21" si="8">IF(P$12=0,0,P18/P$12)</f>
        <v>0.23352691799202388</v>
      </c>
      <c r="S18" s="4"/>
      <c r="T18" s="4">
        <f>SUM(OSRRefT16x_0)</f>
        <v>26450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4784.6899999999951</v>
      </c>
      <c r="Y18" s="4"/>
      <c r="Z18" s="12">
        <f t="shared" ref="Z18:Z21" si="11">IF(T18=0,0,X18/T18)</f>
        <v>0.18089565217391285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11500</v>
      </c>
      <c r="I19" s="2"/>
      <c r="J19" s="19">
        <f t="shared" si="5"/>
        <v>0.23</v>
      </c>
      <c r="K19" s="2"/>
      <c r="L19" s="2">
        <f t="shared" si="6"/>
        <v>-11500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26450</v>
      </c>
      <c r="U19" s="2"/>
      <c r="V19" s="19">
        <f t="shared" si="9"/>
        <v>0.23</v>
      </c>
      <c r="W19" s="2"/>
      <c r="X19" s="2">
        <f t="shared" si="10"/>
        <v>-26450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8769.2199999999993</v>
      </c>
      <c r="E20" s="2"/>
      <c r="F20" s="19">
        <f t="shared" si="4"/>
        <v>0.26613208912849312</v>
      </c>
      <c r="G20" s="2"/>
      <c r="H20" s="2"/>
      <c r="I20" s="2"/>
      <c r="J20" s="19">
        <f t="shared" si="5"/>
        <v>0</v>
      </c>
      <c r="K20" s="2"/>
      <c r="L20" s="2">
        <f t="shared" si="6"/>
        <v>8769.2199999999993</v>
      </c>
      <c r="M20" s="2"/>
      <c r="N20" s="19">
        <f t="shared" si="7"/>
        <v>0</v>
      </c>
      <c r="O20" s="11"/>
      <c r="P20" s="2">
        <v>40654.689999999995</v>
      </c>
      <c r="Q20" s="2"/>
      <c r="R20" s="19">
        <f t="shared" si="8"/>
        <v>0.30395577665797718</v>
      </c>
      <c r="S20" s="2"/>
      <c r="T20" s="2"/>
      <c r="U20" s="2"/>
      <c r="V20" s="19">
        <f t="shared" si="9"/>
        <v>0</v>
      </c>
      <c r="W20" s="2"/>
      <c r="X20" s="2">
        <f t="shared" si="10"/>
        <v>40654.689999999995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-1618</v>
      </c>
      <c r="E21" s="2"/>
      <c r="F21" s="19">
        <f t="shared" si="4"/>
        <v>-4.910376523908648E-2</v>
      </c>
      <c r="G21" s="2"/>
      <c r="H21" s="2"/>
      <c r="I21" s="2"/>
      <c r="J21" s="19">
        <f t="shared" si="5"/>
        <v>0</v>
      </c>
      <c r="K21" s="2"/>
      <c r="L21" s="2">
        <f t="shared" si="6"/>
        <v>-1618</v>
      </c>
      <c r="M21" s="2"/>
      <c r="N21" s="19">
        <f t="shared" si="7"/>
        <v>0</v>
      </c>
      <c r="O21" s="11"/>
      <c r="P21" s="2">
        <v>-9420</v>
      </c>
      <c r="Q21" s="2"/>
      <c r="R21" s="19">
        <f t="shared" si="8"/>
        <v>-7.0428858665953317E-2</v>
      </c>
      <c r="S21" s="2"/>
      <c r="T21" s="2"/>
      <c r="U21" s="2"/>
      <c r="V21" s="19">
        <f t="shared" si="9"/>
        <v>0</v>
      </c>
      <c r="W21" s="2"/>
      <c r="X21" s="2">
        <f t="shared" si="10"/>
        <v>-9420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25799.409999999996</v>
      </c>
      <c r="E23" s="14"/>
      <c r="F23" s="20">
        <f>IF(D$12=0,0,D23/D$12)</f>
        <v>0.78297167611059326</v>
      </c>
      <c r="G23" s="14"/>
      <c r="H23" s="22">
        <f>H12-H18</f>
        <v>38500</v>
      </c>
      <c r="I23" s="14"/>
      <c r="J23" s="20">
        <f>IF(H$12=0,0,H23/H$12)</f>
        <v>0.77</v>
      </c>
      <c r="K23" s="16"/>
      <c r="L23" s="22">
        <f>+D23-H23</f>
        <v>-12700.590000000004</v>
      </c>
      <c r="M23" s="16"/>
      <c r="N23" s="20">
        <f>IF(H23=0,0,L23/H23)</f>
        <v>-0.32988545454545465</v>
      </c>
      <c r="O23" s="29"/>
      <c r="P23" s="22">
        <f>P12-P18</f>
        <v>102517.29999999999</v>
      </c>
      <c r="Q23" s="14"/>
      <c r="R23" s="20">
        <f>IF(P$12=0,0,P23/P$12)</f>
        <v>0.76647308200797604</v>
      </c>
      <c r="S23" s="14"/>
      <c r="T23" s="22">
        <f>T12-T18</f>
        <v>88550</v>
      </c>
      <c r="U23" s="14"/>
      <c r="V23" s="20">
        <f>IF(T$12=0,0,T23/T$12)</f>
        <v>0.77</v>
      </c>
      <c r="W23" s="16"/>
      <c r="X23" s="22">
        <f>+P23-T23</f>
        <v>13967.299999999988</v>
      </c>
      <c r="Y23" s="16"/>
      <c r="Z23" s="20">
        <f>IF(T23=0,0,X23/T23)</f>
        <v>0.15773348390739683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35753.01</v>
      </c>
      <c r="E25" s="21"/>
      <c r="F25" s="35">
        <f t="shared" ref="F25:F35" si="12">IF(D$12=0,0,D25/D$12)</f>
        <v>1.0850478427878316</v>
      </c>
      <c r="G25" s="21"/>
      <c r="H25" s="21">
        <f>SUM(OSRRefH22x_0)</f>
        <v>23606.756275</v>
      </c>
      <c r="I25" s="21"/>
      <c r="J25" s="35">
        <f t="shared" ref="J25:J35" si="13">IF(H$12=0,0,H25/H$12)</f>
        <v>0.47213512549999997</v>
      </c>
      <c r="K25" s="4"/>
      <c r="L25" s="21">
        <f t="shared" ref="L25:L35" si="14">+D25-H25</f>
        <v>12146.253725000002</v>
      </c>
      <c r="M25" s="4"/>
      <c r="N25" s="35">
        <f t="shared" ref="N25:N35" si="15">IF(H25=0,0,L25/H25)</f>
        <v>0.51452446848291111</v>
      </c>
      <c r="O25" s="10"/>
      <c r="P25" s="21">
        <f>SUM(OSRRefP22x_0)</f>
        <v>119619.37000000001</v>
      </c>
      <c r="Q25" s="21"/>
      <c r="R25" s="35">
        <f t="shared" ref="R25:R35" si="16">IF(P$12=0,0,P25/P$12)</f>
        <v>0.89433712350747097</v>
      </c>
      <c r="S25" s="21"/>
      <c r="T25" s="21">
        <f>SUM(OSRRefT22x_0)</f>
        <v>73088.04789999999</v>
      </c>
      <c r="U25" s="21"/>
      <c r="V25" s="35">
        <f t="shared" ref="V25:V35" si="17">IF(T$12=0,0,T25/T$12)</f>
        <v>0.63554824260869558</v>
      </c>
      <c r="W25" s="4"/>
      <c r="X25" s="21">
        <f t="shared" ref="X25:X35" si="18">+P25-T25</f>
        <v>46531.322100000019</v>
      </c>
      <c r="Y25" s="4"/>
      <c r="Z25" s="35">
        <f t="shared" ref="Z25:Z35" si="19">IF(T25=0,0,X25/T25)</f>
        <v>0.63664748802245719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2478.2400000000007</v>
      </c>
      <c r="E26" s="1"/>
      <c r="F26" s="5">
        <f t="shared" si="12"/>
        <v>7.5210701585978812E-2</v>
      </c>
      <c r="G26" s="1"/>
      <c r="H26" s="1">
        <f>SUM(OSRRefH22_0x_0)</f>
        <v>3110.4485826923083</v>
      </c>
      <c r="I26" s="1"/>
      <c r="J26" s="5">
        <f t="shared" si="13"/>
        <v>6.2208971653846167E-2</v>
      </c>
      <c r="K26" s="1"/>
      <c r="L26" s="1">
        <f t="shared" si="14"/>
        <v>-632.20858269230757</v>
      </c>
      <c r="M26" s="1"/>
      <c r="N26" s="5">
        <f t="shared" si="15"/>
        <v>-0.20325318547625287</v>
      </c>
      <c r="O26" s="13"/>
      <c r="P26" s="1">
        <f>SUM(OSRRefP22_0x_0)</f>
        <v>10989.310000000001</v>
      </c>
      <c r="Q26" s="1"/>
      <c r="R26" s="5">
        <f t="shared" si="16"/>
        <v>8.2161842975196117E-2</v>
      </c>
      <c r="S26" s="1"/>
      <c r="T26" s="1">
        <f>SUM(OSRRefT22_0x_0)</f>
        <v>11868.240207692312</v>
      </c>
      <c r="U26" s="1"/>
      <c r="V26" s="5">
        <f t="shared" si="17"/>
        <v>0.10320208876254185</v>
      </c>
      <c r="W26" s="1"/>
      <c r="X26" s="1">
        <f t="shared" si="18"/>
        <v>-878.93020769231043</v>
      </c>
      <c r="Y26" s="1"/>
      <c r="Z26" s="5">
        <f t="shared" si="19"/>
        <v>-7.4057332200155368E-2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1127.8800000000001</v>
      </c>
      <c r="E27" s="2"/>
      <c r="F27" s="7">
        <f t="shared" si="12"/>
        <v>3.4229391061718704E-2</v>
      </c>
      <c r="G27" s="2"/>
      <c r="H27" s="6">
        <v>576.786005769231</v>
      </c>
      <c r="I27" s="2"/>
      <c r="J27" s="7">
        <f t="shared" si="13"/>
        <v>1.153572011538462E-2</v>
      </c>
      <c r="K27" s="2"/>
      <c r="L27" s="6">
        <f t="shared" si="14"/>
        <v>551.09399423076911</v>
      </c>
      <c r="M27" s="2"/>
      <c r="N27" s="7">
        <f t="shared" si="15"/>
        <v>0.95545659693286467</v>
      </c>
      <c r="O27" s="11"/>
      <c r="P27" s="6">
        <v>3037.41</v>
      </c>
      <c r="Q27" s="2"/>
      <c r="R27" s="7">
        <f t="shared" si="16"/>
        <v>2.2709269596661703E-2</v>
      </c>
      <c r="S27" s="2"/>
      <c r="T27" s="6">
        <v>2292.0146307692321</v>
      </c>
      <c r="U27" s="2"/>
      <c r="V27" s="7">
        <f t="shared" si="17"/>
        <v>1.9930562006688975E-2</v>
      </c>
      <c r="W27" s="2"/>
      <c r="X27" s="6">
        <f t="shared" si="18"/>
        <v>745.39536923076776</v>
      </c>
      <c r="Y27" s="2"/>
      <c r="Z27" s="7">
        <f t="shared" si="19"/>
        <v>0.32521405370811385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-466.83</v>
      </c>
      <c r="E28" s="2"/>
      <c r="F28" s="7">
        <f t="shared" si="12"/>
        <v>-1.41675591635122E-2</v>
      </c>
      <c r="G28" s="2"/>
      <c r="H28" s="6">
        <v>350.62515384615398</v>
      </c>
      <c r="I28" s="2"/>
      <c r="J28" s="7">
        <f t="shared" si="13"/>
        <v>7.0125030769230797E-3</v>
      </c>
      <c r="K28" s="2"/>
      <c r="L28" s="6">
        <f t="shared" si="14"/>
        <v>-817.45515384615396</v>
      </c>
      <c r="M28" s="2"/>
      <c r="N28" s="7">
        <f t="shared" si="15"/>
        <v>-2.331421875695872</v>
      </c>
      <c r="O28" s="11"/>
      <c r="P28" s="6">
        <v>1208.94</v>
      </c>
      <c r="Q28" s="2"/>
      <c r="R28" s="7">
        <f t="shared" si="16"/>
        <v>9.0386692564349887E-3</v>
      </c>
      <c r="S28" s="2"/>
      <c r="T28" s="6">
        <v>1264.462153846154</v>
      </c>
      <c r="U28" s="2"/>
      <c r="V28" s="7">
        <f t="shared" si="17"/>
        <v>1.0995323076923079E-2</v>
      </c>
      <c r="W28" s="2"/>
      <c r="X28" s="6">
        <f t="shared" si="18"/>
        <v>-55.522153846153969</v>
      </c>
      <c r="Y28" s="2"/>
      <c r="Z28" s="7">
        <f t="shared" si="19"/>
        <v>-4.3909700007446248E-2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2"/>
        <v>2.1189276198967974E-2</v>
      </c>
      <c r="G29" s="2"/>
      <c r="H29" s="6">
        <v>663</v>
      </c>
      <c r="I29" s="2"/>
      <c r="J29" s="7">
        <f t="shared" si="13"/>
        <v>1.3259999999999999E-2</v>
      </c>
      <c r="K29" s="2"/>
      <c r="L29" s="6">
        <f t="shared" si="14"/>
        <v>35.200000000000045</v>
      </c>
      <c r="M29" s="2"/>
      <c r="N29" s="7">
        <f t="shared" si="15"/>
        <v>5.3092006033182572E-2</v>
      </c>
      <c r="O29" s="11"/>
      <c r="P29" s="6">
        <v>2792.8</v>
      </c>
      <c r="Q29" s="2"/>
      <c r="R29" s="7">
        <f t="shared" si="16"/>
        <v>2.0880436993872018E-2</v>
      </c>
      <c r="S29" s="2"/>
      <c r="T29" s="6">
        <v>2652</v>
      </c>
      <c r="U29" s="2"/>
      <c r="V29" s="7">
        <f t="shared" si="17"/>
        <v>2.3060869565217391E-2</v>
      </c>
      <c r="W29" s="2"/>
      <c r="X29" s="6">
        <f t="shared" si="18"/>
        <v>140.80000000000018</v>
      </c>
      <c r="Y29" s="2"/>
      <c r="Z29" s="7">
        <f t="shared" si="19"/>
        <v>5.3092006033182572E-2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42.17</v>
      </c>
      <c r="E30" s="2"/>
      <c r="F30" s="7">
        <f t="shared" si="12"/>
        <v>1.2797934364229154E-3</v>
      </c>
      <c r="G30" s="2"/>
      <c r="H30" s="6">
        <v>25.8355</v>
      </c>
      <c r="I30" s="2"/>
      <c r="J30" s="7">
        <f t="shared" si="13"/>
        <v>5.1670999999999998E-4</v>
      </c>
      <c r="K30" s="2"/>
      <c r="L30" s="6">
        <f t="shared" si="14"/>
        <v>16.334500000000002</v>
      </c>
      <c r="M30" s="2"/>
      <c r="N30" s="7">
        <f t="shared" si="15"/>
        <v>0.63225019837045937</v>
      </c>
      <c r="O30" s="11"/>
      <c r="P30" s="6">
        <v>154.47</v>
      </c>
      <c r="Q30" s="2"/>
      <c r="R30" s="7">
        <f t="shared" si="16"/>
        <v>1.1548987046846929E-3</v>
      </c>
      <c r="S30" s="2"/>
      <c r="T30" s="6">
        <v>98.401499999999999</v>
      </c>
      <c r="U30" s="2"/>
      <c r="V30" s="7">
        <f t="shared" si="17"/>
        <v>8.5566521739130431E-4</v>
      </c>
      <c r="W30" s="2"/>
      <c r="X30" s="6">
        <f t="shared" si="18"/>
        <v>56.0685</v>
      </c>
      <c r="Y30" s="2"/>
      <c r="Z30" s="7">
        <f t="shared" si="19"/>
        <v>0.56979314339720433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2"/>
        <v>9.7415436366467059E-3</v>
      </c>
      <c r="G31" s="2"/>
      <c r="H31" s="6">
        <v>494.00384615384598</v>
      </c>
      <c r="I31" s="2"/>
      <c r="J31" s="7">
        <f t="shared" si="13"/>
        <v>9.8800769230769202E-3</v>
      </c>
      <c r="K31" s="2"/>
      <c r="L31" s="6">
        <f t="shared" si="14"/>
        <v>-173.01384615384598</v>
      </c>
      <c r="M31" s="2"/>
      <c r="N31" s="7">
        <f t="shared" si="15"/>
        <v>-0.35022773102046828</v>
      </c>
      <c r="O31" s="11"/>
      <c r="P31" s="6">
        <v>1283.96</v>
      </c>
      <c r="Q31" s="2"/>
      <c r="R31" s="7">
        <f t="shared" si="16"/>
        <v>9.5995581075092803E-3</v>
      </c>
      <c r="S31" s="2"/>
      <c r="T31" s="6">
        <v>1778.413846153846</v>
      </c>
      <c r="U31" s="2"/>
      <c r="V31" s="7">
        <f t="shared" si="17"/>
        <v>1.5464468227424748E-2</v>
      </c>
      <c r="W31" s="2"/>
      <c r="X31" s="6">
        <f t="shared" si="18"/>
        <v>-494.45384615384592</v>
      </c>
      <c r="Y31" s="2"/>
      <c r="Z31" s="7">
        <f t="shared" si="19"/>
        <v>-0.27803081224496495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265.38</v>
      </c>
      <c r="E33" s="2"/>
      <c r="F33" s="7">
        <f t="shared" si="12"/>
        <v>8.0538672553453466E-3</v>
      </c>
      <c r="G33" s="2"/>
      <c r="H33" s="6">
        <v>287.21153846153902</v>
      </c>
      <c r="I33" s="2"/>
      <c r="J33" s="7">
        <f t="shared" si="13"/>
        <v>5.7442307692307801E-3</v>
      </c>
      <c r="K33" s="2"/>
      <c r="L33" s="6">
        <f t="shared" si="14"/>
        <v>-21.831538461539026</v>
      </c>
      <c r="M33" s="2"/>
      <c r="N33" s="7">
        <f t="shared" si="15"/>
        <v>-7.6012052226315838E-2</v>
      </c>
      <c r="O33" s="11"/>
      <c r="P33" s="6">
        <v>822.44</v>
      </c>
      <c r="Q33" s="2"/>
      <c r="R33" s="7">
        <f t="shared" si="16"/>
        <v>6.1489926243340392E-3</v>
      </c>
      <c r="S33" s="2"/>
      <c r="T33" s="6">
        <v>1033.9615384615399</v>
      </c>
      <c r="U33" s="2"/>
      <c r="V33" s="7">
        <f t="shared" si="17"/>
        <v>8.990969899665564E-3</v>
      </c>
      <c r="W33" s="2"/>
      <c r="X33" s="6">
        <f t="shared" si="18"/>
        <v>-211.52153846153988</v>
      </c>
      <c r="Y33" s="2"/>
      <c r="Z33" s="7">
        <f t="shared" si="19"/>
        <v>-0.20457389428263323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317.94</v>
      </c>
      <c r="E34" s="2"/>
      <c r="F34" s="7">
        <f t="shared" si="12"/>
        <v>9.6489809147806884E-3</v>
      </c>
      <c r="G34" s="2"/>
      <c r="H34" s="6">
        <v>412.98653846153798</v>
      </c>
      <c r="I34" s="2"/>
      <c r="J34" s="7">
        <f t="shared" si="13"/>
        <v>8.2597307692307588E-3</v>
      </c>
      <c r="K34" s="2"/>
      <c r="L34" s="6">
        <f t="shared" si="14"/>
        <v>-95.046538461537978</v>
      </c>
      <c r="M34" s="2"/>
      <c r="N34" s="7">
        <f t="shared" si="15"/>
        <v>-0.23014439844844917</v>
      </c>
      <c r="O34" s="11"/>
      <c r="P34" s="6">
        <v>1047.6600000000001</v>
      </c>
      <c r="Q34" s="2"/>
      <c r="R34" s="7">
        <f t="shared" si="16"/>
        <v>7.8328554214408333E-3</v>
      </c>
      <c r="S34" s="2"/>
      <c r="T34" s="6">
        <v>1548.9865384615391</v>
      </c>
      <c r="U34" s="2"/>
      <c r="V34" s="7">
        <f t="shared" si="17"/>
        <v>1.3469448160535124E-2</v>
      </c>
      <c r="W34" s="2"/>
      <c r="X34" s="6">
        <f t="shared" si="18"/>
        <v>-501.32653846153903</v>
      </c>
      <c r="Y34" s="2"/>
      <c r="Z34" s="7">
        <f t="shared" si="19"/>
        <v>-0.32364809248727167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172.51</v>
      </c>
      <c r="E35" s="2"/>
      <c r="F35" s="7">
        <f t="shared" si="12"/>
        <v>5.235408245608658E-3</v>
      </c>
      <c r="G35" s="2"/>
      <c r="H35" s="6">
        <v>300</v>
      </c>
      <c r="I35" s="2"/>
      <c r="J35" s="7">
        <f t="shared" si="13"/>
        <v>6.0000000000000001E-3</v>
      </c>
      <c r="K35" s="2"/>
      <c r="L35" s="6">
        <f t="shared" si="14"/>
        <v>-127.49000000000001</v>
      </c>
      <c r="M35" s="2"/>
      <c r="N35" s="7">
        <f t="shared" si="15"/>
        <v>-0.42496666666666671</v>
      </c>
      <c r="O35" s="11"/>
      <c r="P35" s="6">
        <v>641.63</v>
      </c>
      <c r="Q35" s="2"/>
      <c r="R35" s="7">
        <f t="shared" si="16"/>
        <v>4.7971622702585584E-3</v>
      </c>
      <c r="S35" s="2"/>
      <c r="T35" s="6">
        <v>1200</v>
      </c>
      <c r="U35" s="2"/>
      <c r="V35" s="7">
        <f t="shared" si="17"/>
        <v>1.0434782608695653E-2</v>
      </c>
      <c r="W35" s="2"/>
      <c r="X35" s="6">
        <f t="shared" si="18"/>
        <v>-558.37</v>
      </c>
      <c r="Y35" s="2"/>
      <c r="Z35" s="7">
        <f t="shared" si="19"/>
        <v>-0.46530833333333332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13007.22</v>
      </c>
      <c r="E36" s="1"/>
      <c r="F36" s="5">
        <f t="shared" ref="F36:F46" si="20">IF(D$12=0,0,D36/D$12)</f>
        <v>0.39474874987215725</v>
      </c>
      <c r="G36" s="1"/>
      <c r="H36" s="1">
        <f>SUM(OSRRefH22_1x_0)</f>
        <v>9362.3076923076915</v>
      </c>
      <c r="I36" s="1"/>
      <c r="J36" s="5">
        <f t="shared" ref="J36:J46" si="21">IF(H$12=0,0,H36/H$12)</f>
        <v>0.18724615384615384</v>
      </c>
      <c r="K36" s="1"/>
      <c r="L36" s="1">
        <f t="shared" ref="L36:L46" si="22">+D36-H36</f>
        <v>3644.9123076923079</v>
      </c>
      <c r="M36" s="1"/>
      <c r="N36" s="5">
        <f t="shared" ref="N36:N46" si="23">IF(H36=0,0,L36/H36)</f>
        <v>0.38931772245501606</v>
      </c>
      <c r="O36" s="13"/>
      <c r="P36" s="1">
        <f>SUM(OSRRefP22_1x_0)</f>
        <v>45564.920000000006</v>
      </c>
      <c r="Q36" s="1"/>
      <c r="R36" s="5">
        <f t="shared" ref="R36:R46" si="24">IF(P$12=0,0,P36/P$12)</f>
        <v>0.34066723044644054</v>
      </c>
      <c r="S36" s="1"/>
      <c r="T36" s="1">
        <f>SUM(OSRRefT22_1x_0)</f>
        <v>35778.807692307681</v>
      </c>
      <c r="U36" s="1"/>
      <c r="V36" s="5">
        <f t="shared" ref="V36:V46" si="25">IF(T$12=0,0,T36/T$12)</f>
        <v>0.31112006688963201</v>
      </c>
      <c r="W36" s="1"/>
      <c r="X36" s="1">
        <f t="shared" ref="X36:X46" si="26">+P36-T36</f>
        <v>9786.112307692325</v>
      </c>
      <c r="Y36" s="1"/>
      <c r="Z36" s="5">
        <f t="shared" ref="Z36:Z46" si="27">IF(T36=0,0,X36/T36)</f>
        <v>0.2735170045869445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5744.07</v>
      </c>
      <c r="E38" s="2"/>
      <c r="F38" s="7">
        <f t="shared" si="20"/>
        <v>0.17432352583243477</v>
      </c>
      <c r="G38" s="2"/>
      <c r="H38" s="6">
        <v>5169.8076923076906</v>
      </c>
      <c r="I38" s="2"/>
      <c r="J38" s="7">
        <f t="shared" si="21"/>
        <v>0.1033961538461538</v>
      </c>
      <c r="K38" s="2"/>
      <c r="L38" s="6">
        <f t="shared" si="22"/>
        <v>574.26230769230915</v>
      </c>
      <c r="M38" s="2"/>
      <c r="N38" s="7">
        <f t="shared" si="23"/>
        <v>0.11108001339136289</v>
      </c>
      <c r="O38" s="11"/>
      <c r="P38" s="6">
        <v>19989.900000000001</v>
      </c>
      <c r="Q38" s="2"/>
      <c r="R38" s="7">
        <f t="shared" si="24"/>
        <v>0.14945497259517412</v>
      </c>
      <c r="S38" s="2"/>
      <c r="T38" s="6">
        <v>18611.307692307681</v>
      </c>
      <c r="U38" s="2"/>
      <c r="V38" s="7">
        <f t="shared" si="25"/>
        <v>0.16183745819397982</v>
      </c>
      <c r="W38" s="2"/>
      <c r="X38" s="6">
        <f t="shared" si="26"/>
        <v>1378.5923076923209</v>
      </c>
      <c r="Y38" s="2"/>
      <c r="Z38" s="7">
        <f t="shared" si="27"/>
        <v>7.4072834133096024E-2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900</v>
      </c>
      <c r="I40" s="2"/>
      <c r="J40" s="7">
        <f t="shared" si="21"/>
        <v>1.7999999999999999E-2</v>
      </c>
      <c r="K40" s="2"/>
      <c r="L40" s="6">
        <f t="shared" si="22"/>
        <v>-900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3600</v>
      </c>
      <c r="U40" s="2"/>
      <c r="V40" s="7">
        <f t="shared" si="25"/>
        <v>3.1304347826086959E-2</v>
      </c>
      <c r="W40" s="2"/>
      <c r="X40" s="6">
        <f t="shared" si="26"/>
        <v>-3600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2852.46</v>
      </c>
      <c r="E41" s="2"/>
      <c r="F41" s="7">
        <f t="shared" si="20"/>
        <v>8.6567692332437968E-2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2852.46</v>
      </c>
      <c r="M41" s="2"/>
      <c r="N41" s="7">
        <f t="shared" si="23"/>
        <v>0</v>
      </c>
      <c r="O41" s="11"/>
      <c r="P41" s="6">
        <v>9949.69</v>
      </c>
      <c r="Q41" s="2"/>
      <c r="R41" s="7">
        <f t="shared" si="24"/>
        <v>7.4389098808922402E-2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9949.69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303.38</v>
      </c>
      <c r="Q42" s="2"/>
      <c r="R42" s="7">
        <f t="shared" si="24"/>
        <v>2.2682279344030695E-3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303.38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3846.69</v>
      </c>
      <c r="E43" s="2"/>
      <c r="F43" s="7">
        <f t="shared" si="20"/>
        <v>0.11674101527042124</v>
      </c>
      <c r="G43" s="2"/>
      <c r="H43" s="6">
        <v>892.5</v>
      </c>
      <c r="I43" s="2"/>
      <c r="J43" s="7">
        <f t="shared" si="21"/>
        <v>1.7850000000000001E-2</v>
      </c>
      <c r="K43" s="2"/>
      <c r="L43" s="6">
        <f t="shared" si="22"/>
        <v>2954.19</v>
      </c>
      <c r="M43" s="2"/>
      <c r="N43" s="7">
        <f t="shared" si="23"/>
        <v>3.3100168067226892</v>
      </c>
      <c r="O43" s="11"/>
      <c r="P43" s="6">
        <v>13416.95</v>
      </c>
      <c r="Q43" s="2"/>
      <c r="R43" s="7">
        <f t="shared" si="24"/>
        <v>0.10031215236498539</v>
      </c>
      <c r="S43" s="2"/>
      <c r="T43" s="6">
        <v>5670</v>
      </c>
      <c r="U43" s="2"/>
      <c r="V43" s="7">
        <f t="shared" si="25"/>
        <v>4.9304347826086954E-2</v>
      </c>
      <c r="W43" s="2"/>
      <c r="X43" s="6">
        <f t="shared" si="26"/>
        <v>7746.9500000000007</v>
      </c>
      <c r="Y43" s="2"/>
      <c r="Z43" s="7">
        <f t="shared" si="27"/>
        <v>1.3663051146384482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564</v>
      </c>
      <c r="E44" s="2"/>
      <c r="F44" s="7">
        <f t="shared" si="20"/>
        <v>1.7116516436863273E-2</v>
      </c>
      <c r="G44" s="2"/>
      <c r="H44" s="6">
        <v>2400</v>
      </c>
      <c r="I44" s="2"/>
      <c r="J44" s="7">
        <f t="shared" si="21"/>
        <v>4.8000000000000001E-2</v>
      </c>
      <c r="K44" s="2"/>
      <c r="L44" s="6">
        <f t="shared" si="22"/>
        <v>-1836</v>
      </c>
      <c r="M44" s="2"/>
      <c r="N44" s="7">
        <f t="shared" si="23"/>
        <v>-0.76500000000000001</v>
      </c>
      <c r="O44" s="11"/>
      <c r="P44" s="6">
        <v>1905</v>
      </c>
      <c r="Q44" s="2"/>
      <c r="R44" s="7">
        <f t="shared" si="24"/>
        <v>1.4242778742955526E-2</v>
      </c>
      <c r="S44" s="2"/>
      <c r="T44" s="6">
        <v>7897.5</v>
      </c>
      <c r="U44" s="2"/>
      <c r="V44" s="7">
        <f t="shared" si="25"/>
        <v>6.8673913043478266E-2</v>
      </c>
      <c r="W44" s="2"/>
      <c r="X44" s="6">
        <f t="shared" si="26"/>
        <v>-5992.5</v>
      </c>
      <c r="Y44" s="2"/>
      <c r="Z44" s="7">
        <f t="shared" si="27"/>
        <v>-0.75878442545109215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932.63</v>
      </c>
      <c r="E47" s="1"/>
      <c r="F47" s="5">
        <f t="shared" ref="F47:F55" si="28">IF(D$12=0,0,D47/D$12)</f>
        <v>2.8303859440623746E-2</v>
      </c>
      <c r="G47" s="1"/>
      <c r="H47" s="1">
        <f>SUM(OSRRefH22_2x_0)</f>
        <v>500</v>
      </c>
      <c r="I47" s="1"/>
      <c r="J47" s="5">
        <f t="shared" ref="J47:J55" si="29">IF(H$12=0,0,H47/H$12)</f>
        <v>0.01</v>
      </c>
      <c r="K47" s="1"/>
      <c r="L47" s="1">
        <f t="shared" ref="L47:L55" si="30">+D47-H47</f>
        <v>432.63</v>
      </c>
      <c r="M47" s="1"/>
      <c r="N47" s="5">
        <f t="shared" ref="N47:N55" si="31">IF(H47=0,0,L47/H47)</f>
        <v>0.86526000000000003</v>
      </c>
      <c r="O47" s="13"/>
      <c r="P47" s="1">
        <f>SUM(OSRRefP22_2x_0)</f>
        <v>1069.96</v>
      </c>
      <c r="Q47" s="1"/>
      <c r="R47" s="5">
        <f t="shared" ref="R47:R55" si="32">IF(P$12=0,0,P47/P$12)</f>
        <v>7.9995819127625691E-3</v>
      </c>
      <c r="S47" s="1"/>
      <c r="T47" s="1">
        <f>SUM(OSRRefT22_2x_0)</f>
        <v>725</v>
      </c>
      <c r="U47" s="1"/>
      <c r="V47" s="5">
        <f t="shared" ref="V47:V55" si="33">IF(T$12=0,0,T47/T$12)</f>
        <v>6.3043478260869567E-3</v>
      </c>
      <c r="W47" s="1"/>
      <c r="X47" s="1">
        <f t="shared" ref="X47:X55" si="34">+P47-T47</f>
        <v>344.96000000000004</v>
      </c>
      <c r="Y47" s="1"/>
      <c r="Z47" s="5">
        <f t="shared" ref="Z47:Z55" si="35">IF(T47=0,0,X47/T47)</f>
        <v>0.4758068965517242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932.63</v>
      </c>
      <c r="E48" s="2"/>
      <c r="F48" s="7">
        <f t="shared" si="28"/>
        <v>2.8303859440623746E-2</v>
      </c>
      <c r="G48" s="2"/>
      <c r="H48" s="6">
        <v>500</v>
      </c>
      <c r="I48" s="2"/>
      <c r="J48" s="7">
        <f t="shared" si="29"/>
        <v>0.01</v>
      </c>
      <c r="K48" s="2"/>
      <c r="L48" s="6">
        <f t="shared" si="30"/>
        <v>432.63</v>
      </c>
      <c r="M48" s="2"/>
      <c r="N48" s="7">
        <f t="shared" si="31"/>
        <v>0.86526000000000003</v>
      </c>
      <c r="O48" s="11"/>
      <c r="P48" s="6">
        <v>1069.96</v>
      </c>
      <c r="Q48" s="2"/>
      <c r="R48" s="7">
        <f t="shared" si="32"/>
        <v>7.9995819127625691E-3</v>
      </c>
      <c r="S48" s="2"/>
      <c r="T48" s="6">
        <v>725</v>
      </c>
      <c r="U48" s="2"/>
      <c r="V48" s="7">
        <f t="shared" si="33"/>
        <v>6.3043478260869567E-3</v>
      </c>
      <c r="W48" s="2"/>
      <c r="X48" s="6">
        <f t="shared" si="34"/>
        <v>344.96000000000004</v>
      </c>
      <c r="Y48" s="2"/>
      <c r="Z48" s="7">
        <f t="shared" si="35"/>
        <v>0.4758068965517242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22.5</v>
      </c>
      <c r="E49" s="1"/>
      <c r="F49" s="5">
        <f t="shared" si="28"/>
        <v>6.8283975147060924E-4</v>
      </c>
      <c r="G49" s="1"/>
      <c r="H49" s="1">
        <f>SUM(OSRRefH22_3x_0)</f>
        <v>50</v>
      </c>
      <c r="I49" s="1"/>
      <c r="J49" s="5">
        <f t="shared" si="29"/>
        <v>1E-3</v>
      </c>
      <c r="K49" s="1"/>
      <c r="L49" s="1">
        <f t="shared" si="30"/>
        <v>-27.5</v>
      </c>
      <c r="M49" s="1"/>
      <c r="N49" s="5">
        <f t="shared" si="31"/>
        <v>-0.55000000000000004</v>
      </c>
      <c r="O49" s="13"/>
      <c r="P49" s="1">
        <f>SUM(OSRRefP22_3x_0)</f>
        <v>14.64</v>
      </c>
      <c r="Q49" s="1"/>
      <c r="R49" s="5">
        <f t="shared" si="32"/>
        <v>1.0945631537893381E-4</v>
      </c>
      <c r="S49" s="1"/>
      <c r="T49" s="1">
        <f>SUM(OSRRefT22_3x_0)</f>
        <v>200</v>
      </c>
      <c r="U49" s="1"/>
      <c r="V49" s="5">
        <f t="shared" si="33"/>
        <v>1.7391304347826088E-3</v>
      </c>
      <c r="W49" s="1"/>
      <c r="X49" s="1">
        <f t="shared" si="34"/>
        <v>-185.36</v>
      </c>
      <c r="Y49" s="1"/>
      <c r="Z49" s="5">
        <f t="shared" si="35"/>
        <v>-0.92680000000000007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22.5</v>
      </c>
      <c r="E50" s="2"/>
      <c r="F50" s="7">
        <f t="shared" si="28"/>
        <v>6.8283975147060924E-4</v>
      </c>
      <c r="G50" s="2"/>
      <c r="H50" s="6">
        <v>50</v>
      </c>
      <c r="I50" s="2"/>
      <c r="J50" s="7">
        <f t="shared" si="29"/>
        <v>1E-3</v>
      </c>
      <c r="K50" s="2"/>
      <c r="L50" s="6">
        <f t="shared" si="30"/>
        <v>-27.5</v>
      </c>
      <c r="M50" s="2"/>
      <c r="N50" s="7">
        <f t="shared" si="31"/>
        <v>-0.55000000000000004</v>
      </c>
      <c r="O50" s="11"/>
      <c r="P50" s="6">
        <v>14.64</v>
      </c>
      <c r="Q50" s="2"/>
      <c r="R50" s="7">
        <f t="shared" si="32"/>
        <v>1.0945631537893381E-4</v>
      </c>
      <c r="S50" s="2"/>
      <c r="T50" s="6">
        <v>200</v>
      </c>
      <c r="U50" s="2"/>
      <c r="V50" s="7">
        <f t="shared" si="33"/>
        <v>1.7391304347826088E-3</v>
      </c>
      <c r="W50" s="2"/>
      <c r="X50" s="6">
        <f t="shared" si="34"/>
        <v>-185.36</v>
      </c>
      <c r="Y50" s="2"/>
      <c r="Z50" s="7">
        <f t="shared" si="35"/>
        <v>-0.92680000000000007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595.94000000000005</v>
      </c>
      <c r="E51" s="1"/>
      <c r="F51" s="5">
        <f t="shared" si="28"/>
        <v>1.8085845399617551E-2</v>
      </c>
      <c r="G51" s="1"/>
      <c r="H51" s="1">
        <f>SUM(OSRRefH22_4x_0)</f>
        <v>500</v>
      </c>
      <c r="I51" s="1"/>
      <c r="J51" s="5">
        <f t="shared" si="29"/>
        <v>0.01</v>
      </c>
      <c r="K51" s="1"/>
      <c r="L51" s="1">
        <f t="shared" si="30"/>
        <v>95.940000000000055</v>
      </c>
      <c r="M51" s="1"/>
      <c r="N51" s="5">
        <f t="shared" si="31"/>
        <v>0.19188000000000011</v>
      </c>
      <c r="O51" s="13"/>
      <c r="P51" s="1">
        <f>SUM(OSRRefP22_4x_0)</f>
        <v>2938.75</v>
      </c>
      <c r="Q51" s="1"/>
      <c r="R51" s="5">
        <f t="shared" si="32"/>
        <v>2.1971635711737825E-2</v>
      </c>
      <c r="S51" s="1"/>
      <c r="T51" s="1">
        <f>SUM(OSRRefT22_4x_0)</f>
        <v>1300</v>
      </c>
      <c r="U51" s="1"/>
      <c r="V51" s="5">
        <f t="shared" si="33"/>
        <v>1.1304347826086957E-2</v>
      </c>
      <c r="W51" s="1"/>
      <c r="X51" s="1">
        <f t="shared" si="34"/>
        <v>1638.75</v>
      </c>
      <c r="Y51" s="1"/>
      <c r="Z51" s="5">
        <f t="shared" si="35"/>
        <v>1.260576923076923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595.94000000000005</v>
      </c>
      <c r="E52" s="2"/>
      <c r="F52" s="7">
        <f t="shared" si="28"/>
        <v>1.8085845399617551E-2</v>
      </c>
      <c r="G52" s="2"/>
      <c r="H52" s="6">
        <v>500</v>
      </c>
      <c r="I52" s="2"/>
      <c r="J52" s="7">
        <f t="shared" si="29"/>
        <v>0.01</v>
      </c>
      <c r="K52" s="2"/>
      <c r="L52" s="6">
        <f t="shared" si="30"/>
        <v>95.940000000000055</v>
      </c>
      <c r="M52" s="2"/>
      <c r="N52" s="7">
        <f t="shared" si="31"/>
        <v>0.19188000000000011</v>
      </c>
      <c r="O52" s="11"/>
      <c r="P52" s="6">
        <v>2938.75</v>
      </c>
      <c r="Q52" s="2"/>
      <c r="R52" s="7">
        <f t="shared" si="32"/>
        <v>2.1971635711737825E-2</v>
      </c>
      <c r="S52" s="2"/>
      <c r="T52" s="6">
        <v>1300</v>
      </c>
      <c r="U52" s="2"/>
      <c r="V52" s="7">
        <f t="shared" si="33"/>
        <v>1.1304347826086957E-2</v>
      </c>
      <c r="W52" s="2"/>
      <c r="X52" s="6">
        <f t="shared" si="34"/>
        <v>1638.75</v>
      </c>
      <c r="Y52" s="2"/>
      <c r="Z52" s="7">
        <f t="shared" si="35"/>
        <v>1.260576923076923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255.35</v>
      </c>
      <c r="E53" s="1"/>
      <c r="F53" s="5">
        <f t="shared" si="28"/>
        <v>7.7494724683564477E-3</v>
      </c>
      <c r="G53" s="1"/>
      <c r="H53" s="1">
        <f>SUM(OSRRefH22_5x_0)</f>
        <v>436</v>
      </c>
      <c r="I53" s="1"/>
      <c r="J53" s="5">
        <f t="shared" si="29"/>
        <v>8.7200000000000003E-3</v>
      </c>
      <c r="K53" s="1"/>
      <c r="L53" s="1">
        <f t="shared" si="30"/>
        <v>-180.65</v>
      </c>
      <c r="M53" s="1"/>
      <c r="N53" s="5">
        <f t="shared" si="31"/>
        <v>-0.41433486238532113</v>
      </c>
      <c r="O53" s="13"/>
      <c r="P53" s="1">
        <f>SUM(OSRRefP22_5x_0)</f>
        <v>1021.4</v>
      </c>
      <c r="Q53" s="1"/>
      <c r="R53" s="5">
        <f t="shared" si="32"/>
        <v>7.6365218939920074E-3</v>
      </c>
      <c r="S53" s="1"/>
      <c r="T53" s="1">
        <f>SUM(OSRRefT22_5x_0)</f>
        <v>1243</v>
      </c>
      <c r="U53" s="1"/>
      <c r="V53" s="5">
        <f t="shared" si="33"/>
        <v>1.0808695652173912E-2</v>
      </c>
      <c r="W53" s="1"/>
      <c r="X53" s="1">
        <f t="shared" si="34"/>
        <v>-221.60000000000002</v>
      </c>
      <c r="Y53" s="1"/>
      <c r="Z53" s="5">
        <f t="shared" si="35"/>
        <v>-0.17827835880933227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255.35</v>
      </c>
      <c r="E54" s="2"/>
      <c r="F54" s="7">
        <f t="shared" si="28"/>
        <v>7.7494724683564477E-3</v>
      </c>
      <c r="G54" s="2"/>
      <c r="H54" s="6">
        <v>269</v>
      </c>
      <c r="I54" s="2"/>
      <c r="J54" s="7">
        <f t="shared" si="29"/>
        <v>5.3800000000000002E-3</v>
      </c>
      <c r="K54" s="2"/>
      <c r="L54" s="6">
        <f t="shared" si="30"/>
        <v>-13.650000000000006</v>
      </c>
      <c r="M54" s="2"/>
      <c r="N54" s="7">
        <f t="shared" si="31"/>
        <v>-5.0743494423791842E-2</v>
      </c>
      <c r="O54" s="11"/>
      <c r="P54" s="6">
        <v>1021.4</v>
      </c>
      <c r="Q54" s="2"/>
      <c r="R54" s="7">
        <f t="shared" si="32"/>
        <v>7.6365218939920074E-3</v>
      </c>
      <c r="S54" s="2"/>
      <c r="T54" s="6">
        <v>1076</v>
      </c>
      <c r="U54" s="2"/>
      <c r="V54" s="7">
        <f t="shared" si="33"/>
        <v>9.3565217391304353E-3</v>
      </c>
      <c r="W54" s="2"/>
      <c r="X54" s="6">
        <f t="shared" si="34"/>
        <v>-54.600000000000023</v>
      </c>
      <c r="Y54" s="2"/>
      <c r="Z54" s="7">
        <f t="shared" si="35"/>
        <v>-5.0743494423791842E-2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167</v>
      </c>
      <c r="I55" s="2"/>
      <c r="J55" s="7">
        <f t="shared" si="29"/>
        <v>3.3400000000000001E-3</v>
      </c>
      <c r="K55" s="2"/>
      <c r="L55" s="6">
        <f t="shared" si="30"/>
        <v>-167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167</v>
      </c>
      <c r="U55" s="2"/>
      <c r="V55" s="7">
        <f t="shared" si="33"/>
        <v>1.4521739130434782E-3</v>
      </c>
      <c r="W55" s="2"/>
      <c r="X55" s="6">
        <f t="shared" si="34"/>
        <v>-167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6">IF(D$12=0,0,D56/D$12)</f>
        <v>0</v>
      </c>
      <c r="G56" s="1"/>
      <c r="H56" s="1">
        <f>SUM(OSRRefH22_6x_0)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0</v>
      </c>
      <c r="M56" s="1"/>
      <c r="N56" s="5">
        <f t="shared" ref="N56:N65" si="39">IF(H56=0,0,L56/H56)</f>
        <v>0</v>
      </c>
      <c r="O56" s="13"/>
      <c r="P56" s="1">
        <f>SUM(OSRRefP22_6x_0)</f>
        <v>88.6</v>
      </c>
      <c r="Q56" s="1"/>
      <c r="R56" s="5">
        <f t="shared" ref="R56:R65" si="40">IF(P$12=0,0,P56/P$12)</f>
        <v>6.6242005072223603E-4</v>
      </c>
      <c r="S56" s="1"/>
      <c r="T56" s="1">
        <f>SUM(OSRRefT22_6x_0)</f>
        <v>0</v>
      </c>
      <c r="U56" s="1"/>
      <c r="V56" s="5">
        <f t="shared" ref="V56:V65" si="41">IF(T$12=0,0,T56/T$12)</f>
        <v>0</v>
      </c>
      <c r="W56" s="1"/>
      <c r="X56" s="1">
        <f t="shared" ref="X56:X65" si="42">+P56-T56</f>
        <v>88.6</v>
      </c>
      <c r="Y56" s="1"/>
      <c r="Z56" s="5">
        <f t="shared" ref="Z56:Z65" si="43">IF(T56=0,0,X56/T56)</f>
        <v>0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88.6</v>
      </c>
      <c r="Q57" s="2"/>
      <c r="R57" s="7">
        <f t="shared" si="40"/>
        <v>6.6242005072223603E-4</v>
      </c>
      <c r="S57" s="2"/>
      <c r="T57" s="6"/>
      <c r="U57" s="2"/>
      <c r="V57" s="7">
        <f t="shared" si="41"/>
        <v>0</v>
      </c>
      <c r="W57" s="2"/>
      <c r="X57" s="6">
        <f t="shared" si="42"/>
        <v>88.6</v>
      </c>
      <c r="Y57" s="2"/>
      <c r="Z57" s="7">
        <f t="shared" si="43"/>
        <v>0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350</v>
      </c>
      <c r="Q58" s="1"/>
      <c r="R58" s="5">
        <f t="shared" si="40"/>
        <v>2.6167834960810678E-3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350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350</v>
      </c>
      <c r="Q59" s="2"/>
      <c r="R59" s="7">
        <f t="shared" si="40"/>
        <v>2.6167834960810678E-3</v>
      </c>
      <c r="S59" s="2"/>
      <c r="T59" s="6"/>
      <c r="U59" s="2"/>
      <c r="V59" s="7">
        <f t="shared" si="41"/>
        <v>0</v>
      </c>
      <c r="W59" s="2"/>
      <c r="X59" s="6">
        <f t="shared" si="42"/>
        <v>350</v>
      </c>
      <c r="Y59" s="2"/>
      <c r="Z59" s="7">
        <f t="shared" si="43"/>
        <v>0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2970</v>
      </c>
      <c r="E60" s="1"/>
      <c r="F60" s="5">
        <f t="shared" si="36"/>
        <v>9.0134847194120418E-2</v>
      </c>
      <c r="G60" s="1"/>
      <c r="H60" s="1">
        <f>SUM(OSRRefH22_8x_0)</f>
        <v>300</v>
      </c>
      <c r="I60" s="1"/>
      <c r="J60" s="5">
        <f t="shared" si="37"/>
        <v>6.0000000000000001E-3</v>
      </c>
      <c r="K60" s="1"/>
      <c r="L60" s="1">
        <f t="shared" si="38"/>
        <v>2670</v>
      </c>
      <c r="M60" s="1"/>
      <c r="N60" s="5">
        <f t="shared" si="39"/>
        <v>8.9</v>
      </c>
      <c r="O60" s="13"/>
      <c r="P60" s="1">
        <f>SUM(OSRRefP22_8x_0)</f>
        <v>11218.49</v>
      </c>
      <c r="Q60" s="1"/>
      <c r="R60" s="5">
        <f t="shared" si="40"/>
        <v>8.3875312808429997E-2</v>
      </c>
      <c r="S60" s="1"/>
      <c r="T60" s="1">
        <f>SUM(OSRRefT22_8x_0)</f>
        <v>1550</v>
      </c>
      <c r="U60" s="1"/>
      <c r="V60" s="5">
        <f t="shared" si="41"/>
        <v>1.3478260869565217E-2</v>
      </c>
      <c r="W60" s="1"/>
      <c r="X60" s="1">
        <f t="shared" si="42"/>
        <v>9668.49</v>
      </c>
      <c r="Y60" s="1"/>
      <c r="Z60" s="5">
        <f t="shared" si="43"/>
        <v>6.237735483870968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2970</v>
      </c>
      <c r="E61" s="2"/>
      <c r="F61" s="7">
        <f t="shared" si="36"/>
        <v>9.0134847194120418E-2</v>
      </c>
      <c r="G61" s="2"/>
      <c r="H61" s="6">
        <v>300</v>
      </c>
      <c r="I61" s="2"/>
      <c r="J61" s="7">
        <f t="shared" si="37"/>
        <v>6.0000000000000001E-3</v>
      </c>
      <c r="K61" s="2"/>
      <c r="L61" s="6">
        <f t="shared" si="38"/>
        <v>2670</v>
      </c>
      <c r="M61" s="2"/>
      <c r="N61" s="7">
        <f t="shared" si="39"/>
        <v>8.9</v>
      </c>
      <c r="O61" s="11"/>
      <c r="P61" s="6">
        <v>11218.49</v>
      </c>
      <c r="Q61" s="2"/>
      <c r="R61" s="7">
        <f t="shared" si="40"/>
        <v>8.3875312808429997E-2</v>
      </c>
      <c r="S61" s="2"/>
      <c r="T61" s="6">
        <v>1550</v>
      </c>
      <c r="U61" s="2"/>
      <c r="V61" s="7">
        <f t="shared" si="41"/>
        <v>1.3478260869565217E-2</v>
      </c>
      <c r="W61" s="2"/>
      <c r="X61" s="6">
        <f t="shared" si="42"/>
        <v>9668.49</v>
      </c>
      <c r="Y61" s="2"/>
      <c r="Z61" s="7">
        <f t="shared" si="43"/>
        <v>6.237735483870968</v>
      </c>
    </row>
    <row r="62" spans="1:26" s="26" customFormat="1" outlineLevel="1" collapsed="1" x14ac:dyDescent="0.25">
      <c r="A62" s="25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1285.72</v>
      </c>
      <c r="E62" s="1"/>
      <c r="F62" s="5">
        <f t="shared" si="36"/>
        <v>3.9019587789368523E-2</v>
      </c>
      <c r="G62" s="1"/>
      <c r="H62" s="1">
        <f>SUM(OSRRefH22_9x_0)</f>
        <v>500</v>
      </c>
      <c r="I62" s="1"/>
      <c r="J62" s="5">
        <f t="shared" si="37"/>
        <v>0.01</v>
      </c>
      <c r="K62" s="1"/>
      <c r="L62" s="1">
        <f t="shared" si="38"/>
        <v>785.72</v>
      </c>
      <c r="M62" s="1"/>
      <c r="N62" s="5">
        <f t="shared" si="39"/>
        <v>1.5714399999999999</v>
      </c>
      <c r="O62" s="13"/>
      <c r="P62" s="1">
        <f>SUM(OSRRefP22_9x_0)</f>
        <v>4808.05</v>
      </c>
      <c r="Q62" s="1"/>
      <c r="R62" s="5">
        <f t="shared" si="40"/>
        <v>3.5947502538093083E-2</v>
      </c>
      <c r="S62" s="1"/>
      <c r="T62" s="1">
        <f>SUM(OSRRefT22_9x_0)</f>
        <v>3325</v>
      </c>
      <c r="U62" s="1"/>
      <c r="V62" s="5">
        <f t="shared" si="41"/>
        <v>2.8913043478260871E-2</v>
      </c>
      <c r="W62" s="1"/>
      <c r="X62" s="1">
        <f t="shared" si="42"/>
        <v>1483.0500000000002</v>
      </c>
      <c r="Y62" s="1"/>
      <c r="Z62" s="5">
        <f t="shared" si="43"/>
        <v>0.44603007518797</v>
      </c>
    </row>
    <row r="63" spans="1:26" s="24" customFormat="1" hidden="1" outlineLevel="2" x14ac:dyDescent="0.25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2623.84</v>
      </c>
      <c r="Q63" s="2"/>
      <c r="R63" s="7">
        <f t="shared" si="40"/>
        <v>1.9617203452449571E-2</v>
      </c>
      <c r="S63" s="2"/>
      <c r="T63" s="6"/>
      <c r="U63" s="2"/>
      <c r="V63" s="7">
        <f t="shared" si="41"/>
        <v>0</v>
      </c>
      <c r="W63" s="2"/>
      <c r="X63" s="6">
        <f t="shared" si="42"/>
        <v>2623.84</v>
      </c>
      <c r="Y63" s="2"/>
      <c r="Z63" s="7">
        <f t="shared" si="43"/>
        <v>0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125</v>
      </c>
      <c r="U64" s="2"/>
      <c r="V64" s="7">
        <f t="shared" si="41"/>
        <v>1.0869565217391304E-3</v>
      </c>
      <c r="W64" s="2"/>
      <c r="X64" s="6">
        <f t="shared" si="42"/>
        <v>-125</v>
      </c>
      <c r="Y64" s="2"/>
      <c r="Z64" s="7">
        <f t="shared" si="43"/>
        <v>-1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1285.72</v>
      </c>
      <c r="E65" s="2"/>
      <c r="F65" s="7">
        <f t="shared" si="36"/>
        <v>3.9019587789368523E-2</v>
      </c>
      <c r="G65" s="2"/>
      <c r="H65" s="6">
        <v>500</v>
      </c>
      <c r="I65" s="2"/>
      <c r="J65" s="7">
        <f t="shared" si="37"/>
        <v>0.01</v>
      </c>
      <c r="K65" s="2"/>
      <c r="L65" s="6">
        <f t="shared" si="38"/>
        <v>785.72</v>
      </c>
      <c r="M65" s="2"/>
      <c r="N65" s="7">
        <f t="shared" si="39"/>
        <v>1.5714399999999999</v>
      </c>
      <c r="O65" s="11"/>
      <c r="P65" s="6">
        <v>2184.21</v>
      </c>
      <c r="Q65" s="2"/>
      <c r="R65" s="7">
        <f t="shared" si="40"/>
        <v>1.6330299085643513E-2</v>
      </c>
      <c r="S65" s="2"/>
      <c r="T65" s="6">
        <v>3200</v>
      </c>
      <c r="U65" s="2"/>
      <c r="V65" s="7">
        <f t="shared" si="41"/>
        <v>2.782608695652174E-2</v>
      </c>
      <c r="W65" s="2"/>
      <c r="X65" s="6">
        <f t="shared" si="42"/>
        <v>-1015.79</v>
      </c>
      <c r="Y65" s="2"/>
      <c r="Z65" s="7">
        <f t="shared" si="43"/>
        <v>-0.31743437499999999</v>
      </c>
    </row>
    <row r="66" spans="1:26" s="26" customFormat="1" outlineLevel="1" collapsed="1" x14ac:dyDescent="0.25">
      <c r="A66" s="25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SUM(OSRRefD22_10x_0)</f>
        <v>7273.49</v>
      </c>
      <c r="E66" s="1"/>
      <c r="F66" s="5">
        <f t="shared" ref="F66:F68" si="44">IF(D$12=0,0,D66/D$12)</f>
        <v>0.22073902684106497</v>
      </c>
      <c r="G66" s="1"/>
      <c r="H66" s="1">
        <f>SUM(OSRRefH22_10x_0)</f>
        <v>8000</v>
      </c>
      <c r="I66" s="1"/>
      <c r="J66" s="5">
        <f t="shared" ref="J66:J68" si="45">IF(H$12=0,0,H66/H$12)</f>
        <v>0.16</v>
      </c>
      <c r="K66" s="1"/>
      <c r="L66" s="1">
        <f t="shared" ref="L66:L68" si="46">+D66-H66</f>
        <v>-726.51000000000022</v>
      </c>
      <c r="M66" s="1"/>
      <c r="N66" s="5">
        <f t="shared" ref="N66:N68" si="47">IF(H66=0,0,L66/H66)</f>
        <v>-9.0813750000000026E-2</v>
      </c>
      <c r="O66" s="13"/>
      <c r="P66" s="1">
        <f>SUM(OSRRefP22_10x_0)</f>
        <v>29009.69</v>
      </c>
      <c r="Q66" s="1"/>
      <c r="R66" s="5">
        <f t="shared" ref="R66:R68" si="48">IF(P$12=0,0,P66/P$12)</f>
        <v>0.21689165148122283</v>
      </c>
      <c r="S66" s="1"/>
      <c r="T66" s="1">
        <f>SUM(OSRRefT22_10x_0)</f>
        <v>13000</v>
      </c>
      <c r="U66" s="1"/>
      <c r="V66" s="5">
        <f t="shared" ref="V66:V68" si="49">IF(T$12=0,0,T66/T$12)</f>
        <v>0.11304347826086956</v>
      </c>
      <c r="W66" s="1"/>
      <c r="X66" s="1">
        <f t="shared" ref="X66:X68" si="50">+P66-T66</f>
        <v>16009.689999999999</v>
      </c>
      <c r="Y66" s="1"/>
      <c r="Z66" s="5">
        <f t="shared" ref="Z66:Z68" si="51">IF(T66=0,0,X66/T66)</f>
        <v>1.2315146153846153</v>
      </c>
    </row>
    <row r="67" spans="1:26" s="24" customFormat="1" hidden="1" outlineLevel="2" x14ac:dyDescent="0.25">
      <c r="A67" s="27"/>
      <c r="B67" s="11" t="str">
        <f>CONCATENATE("          ", "6253", " - ", "ROYALTY DUE ATHLETICS-LRG")</f>
        <v xml:space="preserve">          6253 - ROYALTY DUE ATHLETICS-LRG</v>
      </c>
      <c r="C67" s="11"/>
      <c r="D67" s="6"/>
      <c r="E67" s="2"/>
      <c r="F67" s="7">
        <f t="shared" si="44"/>
        <v>0</v>
      </c>
      <c r="G67" s="2"/>
      <c r="H67" s="6">
        <v>8000</v>
      </c>
      <c r="I67" s="2"/>
      <c r="J67" s="7">
        <f t="shared" si="45"/>
        <v>0.16</v>
      </c>
      <c r="K67" s="2"/>
      <c r="L67" s="6">
        <f t="shared" si="46"/>
        <v>-8000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13000</v>
      </c>
      <c r="U67" s="2"/>
      <c r="V67" s="7">
        <f t="shared" si="49"/>
        <v>0.11304347826086956</v>
      </c>
      <c r="W67" s="2"/>
      <c r="X67" s="6">
        <f t="shared" si="50"/>
        <v>-13000</v>
      </c>
      <c r="Y67" s="2"/>
      <c r="Z67" s="7">
        <f t="shared" si="51"/>
        <v>-1</v>
      </c>
    </row>
    <row r="68" spans="1:26" s="24" customFormat="1" hidden="1" outlineLevel="2" x14ac:dyDescent="0.25">
      <c r="A68" s="27"/>
      <c r="B68" s="11" t="str">
        <f>CONCATENATE("          ", "6254", " - ", "ROYALTY &amp; COMMISSIONS")</f>
        <v xml:space="preserve">          6254 - ROYALTY &amp; COMMISSIONS</v>
      </c>
      <c r="C68" s="11"/>
      <c r="D68" s="6">
        <v>7273.49</v>
      </c>
      <c r="E68" s="2"/>
      <c r="F68" s="7">
        <f t="shared" si="44"/>
        <v>0.22073902684106497</v>
      </c>
      <c r="G68" s="2"/>
      <c r="H68" s="6"/>
      <c r="I68" s="2"/>
      <c r="J68" s="7">
        <f t="shared" si="45"/>
        <v>0</v>
      </c>
      <c r="K68" s="2"/>
      <c r="L68" s="6">
        <f t="shared" si="46"/>
        <v>7273.49</v>
      </c>
      <c r="M68" s="2"/>
      <c r="N68" s="7">
        <f t="shared" si="47"/>
        <v>0</v>
      </c>
      <c r="O68" s="11"/>
      <c r="P68" s="6">
        <v>29009.69</v>
      </c>
      <c r="Q68" s="2"/>
      <c r="R68" s="7">
        <f t="shared" si="48"/>
        <v>0.21689165148122283</v>
      </c>
      <c r="S68" s="2"/>
      <c r="T68" s="6"/>
      <c r="U68" s="2"/>
      <c r="V68" s="7">
        <f t="shared" si="49"/>
        <v>0</v>
      </c>
      <c r="W68" s="2"/>
      <c r="X68" s="6">
        <f t="shared" si="50"/>
        <v>29009.69</v>
      </c>
      <c r="Y68" s="2"/>
      <c r="Z68" s="7">
        <f t="shared" si="51"/>
        <v>0</v>
      </c>
    </row>
    <row r="69" spans="1:26" s="26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372.06</v>
      </c>
      <c r="E69" s="1"/>
      <c r="F69" s="5">
        <f t="shared" ref="F69:F71" si="52">IF(D$12=0,0,D69/D$12)</f>
        <v>1.1291438130317995E-2</v>
      </c>
      <c r="G69" s="1"/>
      <c r="H69" s="1">
        <f>SUM(OSRRefH22_11x_0)</f>
        <v>255</v>
      </c>
      <c r="I69" s="1"/>
      <c r="J69" s="5">
        <f t="shared" ref="J69:J71" si="53">IF(H$12=0,0,H69/H$12)</f>
        <v>5.1000000000000004E-3</v>
      </c>
      <c r="K69" s="1"/>
      <c r="L69" s="1">
        <f t="shared" ref="L69:L71" si="54">+D69-H69</f>
        <v>117.06</v>
      </c>
      <c r="M69" s="1"/>
      <c r="N69" s="5">
        <f t="shared" ref="N69:N71" si="55">IF(H69=0,0,L69/H69)</f>
        <v>0.4590588235294118</v>
      </c>
      <c r="O69" s="13"/>
      <c r="P69" s="1">
        <f>SUM(OSRRefP22_11x_0)</f>
        <v>1106.3499999999999</v>
      </c>
      <c r="Q69" s="1"/>
      <c r="R69" s="5">
        <f t="shared" ref="R69:R71" si="56">IF(P$12=0,0,P69/P$12)</f>
        <v>8.2716526311122553E-3</v>
      </c>
      <c r="S69" s="1"/>
      <c r="T69" s="1">
        <f>SUM(OSRRefT22_11x_0)</f>
        <v>755</v>
      </c>
      <c r="U69" s="1"/>
      <c r="V69" s="5">
        <f t="shared" ref="V69:V71" si="57">IF(T$12=0,0,T69/T$12)</f>
        <v>6.5652173913043482E-3</v>
      </c>
      <c r="W69" s="1"/>
      <c r="X69" s="1">
        <f t="shared" ref="X69:X71" si="58">+P69-T69</f>
        <v>351.34999999999991</v>
      </c>
      <c r="Y69" s="1"/>
      <c r="Z69" s="5">
        <f t="shared" ref="Z69:Z71" si="59">IF(T69=0,0,X69/T69)</f>
        <v>0.46536423841059593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225.81</v>
      </c>
      <c r="E70" s="2"/>
      <c r="F70" s="7">
        <f t="shared" si="52"/>
        <v>6.8529797457590347E-3</v>
      </c>
      <c r="G70" s="2"/>
      <c r="H70" s="6">
        <v>205</v>
      </c>
      <c r="I70" s="2"/>
      <c r="J70" s="7">
        <f t="shared" si="53"/>
        <v>4.1000000000000003E-3</v>
      </c>
      <c r="K70" s="2"/>
      <c r="L70" s="6">
        <f t="shared" si="54"/>
        <v>20.810000000000002</v>
      </c>
      <c r="M70" s="2"/>
      <c r="N70" s="7">
        <f t="shared" si="55"/>
        <v>0.10151219512195123</v>
      </c>
      <c r="O70" s="11"/>
      <c r="P70" s="6">
        <v>903.24</v>
      </c>
      <c r="Q70" s="2"/>
      <c r="R70" s="7">
        <f t="shared" si="56"/>
        <v>6.7530957857150397E-3</v>
      </c>
      <c r="S70" s="2"/>
      <c r="T70" s="6">
        <v>605</v>
      </c>
      <c r="U70" s="2"/>
      <c r="V70" s="7">
        <f t="shared" si="57"/>
        <v>5.2608695652173916E-3</v>
      </c>
      <c r="W70" s="2"/>
      <c r="X70" s="6">
        <f t="shared" si="58"/>
        <v>298.24</v>
      </c>
      <c r="Y70" s="2"/>
      <c r="Z70" s="7">
        <f t="shared" si="59"/>
        <v>0.49295867768595042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>
        <v>146.25</v>
      </c>
      <c r="E71" s="2"/>
      <c r="F71" s="7">
        <f t="shared" si="52"/>
        <v>4.4384583845589604E-3</v>
      </c>
      <c r="G71" s="2"/>
      <c r="H71" s="6">
        <v>50</v>
      </c>
      <c r="I71" s="2"/>
      <c r="J71" s="7">
        <f t="shared" si="53"/>
        <v>1E-3</v>
      </c>
      <c r="K71" s="2"/>
      <c r="L71" s="6">
        <f t="shared" si="54"/>
        <v>96.25</v>
      </c>
      <c r="M71" s="2"/>
      <c r="N71" s="7">
        <f t="shared" si="55"/>
        <v>1.925</v>
      </c>
      <c r="O71" s="11"/>
      <c r="P71" s="6">
        <v>203.11</v>
      </c>
      <c r="Q71" s="2"/>
      <c r="R71" s="7">
        <f t="shared" si="56"/>
        <v>1.5185568453972163E-3</v>
      </c>
      <c r="S71" s="2"/>
      <c r="T71" s="6">
        <v>150</v>
      </c>
      <c r="U71" s="2"/>
      <c r="V71" s="7">
        <f t="shared" si="57"/>
        <v>1.3043478260869566E-3</v>
      </c>
      <c r="W71" s="2"/>
      <c r="X71" s="6">
        <f t="shared" si="58"/>
        <v>53.110000000000014</v>
      </c>
      <c r="Y71" s="2"/>
      <c r="Z71" s="7">
        <f t="shared" si="59"/>
        <v>0.35406666666666675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5870.53</v>
      </c>
      <c r="E72" s="1"/>
      <c r="F72" s="5">
        <f t="shared" ref="F72:F78" si="60">IF(D$12=0,0,D72/D$12)</f>
        <v>0.17816138872003359</v>
      </c>
      <c r="G72" s="1"/>
      <c r="H72" s="1">
        <f>SUM(OSRRefH22_12x_0)</f>
        <v>250</v>
      </c>
      <c r="I72" s="1"/>
      <c r="J72" s="5">
        <f t="shared" ref="J72:J78" si="61">IF(H$12=0,0,H72/H$12)</f>
        <v>5.0000000000000001E-3</v>
      </c>
      <c r="K72" s="1"/>
      <c r="L72" s="1">
        <f t="shared" ref="L72:L78" si="62">+D72-H72</f>
        <v>5620.53</v>
      </c>
      <c r="M72" s="1"/>
      <c r="N72" s="5">
        <f t="shared" ref="N72:N78" si="63">IF(H72=0,0,L72/H72)</f>
        <v>22.482119999999998</v>
      </c>
      <c r="O72" s="13"/>
      <c r="P72" s="1">
        <f>SUM(OSRRefP22_12x_0)</f>
        <v>9964.02</v>
      </c>
      <c r="Q72" s="1"/>
      <c r="R72" s="5">
        <f t="shared" ref="R72:R78" si="64">IF(P$12=0,0,P72/P$12)</f>
        <v>7.449623740177623E-2</v>
      </c>
      <c r="S72" s="1"/>
      <c r="T72" s="1">
        <f>SUM(OSRRefT22_12x_0)</f>
        <v>1900</v>
      </c>
      <c r="U72" s="1"/>
      <c r="V72" s="5">
        <f t="shared" ref="V72:V78" si="65">IF(T$12=0,0,T72/T$12)</f>
        <v>1.6521739130434782E-2</v>
      </c>
      <c r="W72" s="1"/>
      <c r="X72" s="1">
        <f t="shared" ref="X72:X78" si="66">+P72-T72</f>
        <v>8064.02</v>
      </c>
      <c r="Y72" s="1"/>
      <c r="Z72" s="5">
        <f t="shared" ref="Z72:Z78" si="67">IF(T72=0,0,X72/T72)</f>
        <v>4.2442210526315796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3756.46</v>
      </c>
      <c r="E73" s="2"/>
      <c r="F73" s="7">
        <f t="shared" si="60"/>
        <v>0.11400267612485711</v>
      </c>
      <c r="G73" s="2"/>
      <c r="H73" s="6"/>
      <c r="I73" s="2"/>
      <c r="J73" s="7">
        <f t="shared" si="61"/>
        <v>0</v>
      </c>
      <c r="K73" s="2"/>
      <c r="L73" s="6">
        <f t="shared" si="62"/>
        <v>3756.46</v>
      </c>
      <c r="M73" s="2"/>
      <c r="N73" s="7">
        <f t="shared" si="63"/>
        <v>0</v>
      </c>
      <c r="O73" s="11"/>
      <c r="P73" s="6">
        <v>3756.46</v>
      </c>
      <c r="Q73" s="2"/>
      <c r="R73" s="7">
        <f t="shared" si="64"/>
        <v>2.8085264376253395E-2</v>
      </c>
      <c r="S73" s="2"/>
      <c r="T73" s="6"/>
      <c r="U73" s="2"/>
      <c r="V73" s="7">
        <f t="shared" si="65"/>
        <v>0</v>
      </c>
      <c r="W73" s="2"/>
      <c r="X73" s="6">
        <f t="shared" si="66"/>
        <v>3756.46</v>
      </c>
      <c r="Y73" s="2"/>
      <c r="Z73" s="7">
        <f t="shared" si="67"/>
        <v>0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60"/>
        <v>0</v>
      </c>
      <c r="G74" s="2"/>
      <c r="H74" s="6"/>
      <c r="I74" s="2"/>
      <c r="J74" s="7">
        <f t="shared" si="61"/>
        <v>0</v>
      </c>
      <c r="K74" s="2"/>
      <c r="L74" s="6">
        <f t="shared" si="62"/>
        <v>0</v>
      </c>
      <c r="M74" s="2"/>
      <c r="N74" s="7">
        <f t="shared" si="63"/>
        <v>0</v>
      </c>
      <c r="O74" s="11"/>
      <c r="P74" s="6">
        <v>240.56</v>
      </c>
      <c r="Q74" s="2"/>
      <c r="R74" s="7">
        <f t="shared" si="64"/>
        <v>1.7985526794778905E-3</v>
      </c>
      <c r="S74" s="2"/>
      <c r="T74" s="6">
        <v>300</v>
      </c>
      <c r="U74" s="2"/>
      <c r="V74" s="7">
        <f t="shared" si="65"/>
        <v>2.6086956521739132E-3</v>
      </c>
      <c r="W74" s="2"/>
      <c r="X74" s="6">
        <f t="shared" si="66"/>
        <v>-59.44</v>
      </c>
      <c r="Y74" s="2"/>
      <c r="Z74" s="7">
        <f t="shared" si="67"/>
        <v>-0.19813333333333333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6">
        <v>2087.4499999999998</v>
      </c>
      <c r="E75" s="2"/>
      <c r="F75" s="7">
        <f t="shared" si="60"/>
        <v>6.3350837298103257E-2</v>
      </c>
      <c r="G75" s="2"/>
      <c r="H75" s="6"/>
      <c r="I75" s="2"/>
      <c r="J75" s="7">
        <f t="shared" si="61"/>
        <v>0</v>
      </c>
      <c r="K75" s="2"/>
      <c r="L75" s="6">
        <f t="shared" si="62"/>
        <v>2087.4499999999998</v>
      </c>
      <c r="M75" s="2"/>
      <c r="N75" s="7">
        <f t="shared" si="63"/>
        <v>0</v>
      </c>
      <c r="O75" s="11"/>
      <c r="P75" s="6">
        <v>3834</v>
      </c>
      <c r="Q75" s="2"/>
      <c r="R75" s="7">
        <f t="shared" si="64"/>
        <v>2.8664994068499469E-2</v>
      </c>
      <c r="S75" s="2"/>
      <c r="T75" s="6"/>
      <c r="U75" s="2"/>
      <c r="V75" s="7">
        <f t="shared" si="65"/>
        <v>0</v>
      </c>
      <c r="W75" s="2"/>
      <c r="X75" s="6">
        <f t="shared" si="66"/>
        <v>3834</v>
      </c>
      <c r="Y75" s="2"/>
      <c r="Z75" s="7">
        <f t="shared" si="67"/>
        <v>0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>
        <v>5.12</v>
      </c>
      <c r="E76" s="2"/>
      <c r="F76" s="7">
        <f t="shared" si="60"/>
        <v>1.5538397900131197E-4</v>
      </c>
      <c r="G76" s="2"/>
      <c r="H76" s="6"/>
      <c r="I76" s="2"/>
      <c r="J76" s="7">
        <f t="shared" si="61"/>
        <v>0</v>
      </c>
      <c r="K76" s="2"/>
      <c r="L76" s="6">
        <f t="shared" si="62"/>
        <v>5.12</v>
      </c>
      <c r="M76" s="2"/>
      <c r="N76" s="7">
        <f t="shared" si="63"/>
        <v>0</v>
      </c>
      <c r="O76" s="11"/>
      <c r="P76" s="6">
        <v>513.91</v>
      </c>
      <c r="Q76" s="2"/>
      <c r="R76" s="7">
        <f t="shared" si="64"/>
        <v>3.8422605899172042E-3</v>
      </c>
      <c r="S76" s="2"/>
      <c r="T76" s="6"/>
      <c r="U76" s="2"/>
      <c r="V76" s="7">
        <f t="shared" si="65"/>
        <v>0</v>
      </c>
      <c r="W76" s="2"/>
      <c r="X76" s="6">
        <f t="shared" si="66"/>
        <v>513.91</v>
      </c>
      <c r="Y76" s="2"/>
      <c r="Z76" s="7">
        <f t="shared" si="67"/>
        <v>0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6">
        <v>21.5</v>
      </c>
      <c r="E77" s="2"/>
      <c r="F77" s="7">
        <f t="shared" si="60"/>
        <v>6.5249131807191554E-4</v>
      </c>
      <c r="G77" s="2"/>
      <c r="H77" s="6">
        <v>250</v>
      </c>
      <c r="I77" s="2"/>
      <c r="J77" s="7">
        <f t="shared" si="61"/>
        <v>5.0000000000000001E-3</v>
      </c>
      <c r="K77" s="2"/>
      <c r="L77" s="6">
        <f t="shared" si="62"/>
        <v>-228.5</v>
      </c>
      <c r="M77" s="2"/>
      <c r="N77" s="7">
        <f t="shared" si="63"/>
        <v>-0.91400000000000003</v>
      </c>
      <c r="O77" s="11"/>
      <c r="P77" s="6">
        <v>1164.6500000000001</v>
      </c>
      <c r="Q77" s="2"/>
      <c r="R77" s="7">
        <f t="shared" si="64"/>
        <v>8.7075339963166177E-3</v>
      </c>
      <c r="S77" s="2"/>
      <c r="T77" s="6">
        <v>1000</v>
      </c>
      <c r="U77" s="2"/>
      <c r="V77" s="7">
        <f t="shared" si="65"/>
        <v>8.6956521739130436E-3</v>
      </c>
      <c r="W77" s="2"/>
      <c r="X77" s="6">
        <f t="shared" si="66"/>
        <v>164.65000000000009</v>
      </c>
      <c r="Y77" s="2"/>
      <c r="Z77" s="7">
        <f t="shared" si="67"/>
        <v>0.1646500000000001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60"/>
        <v>0</v>
      </c>
      <c r="G78" s="2"/>
      <c r="H78" s="6"/>
      <c r="I78" s="2"/>
      <c r="J78" s="7">
        <f t="shared" si="61"/>
        <v>0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454.44</v>
      </c>
      <c r="Q78" s="2"/>
      <c r="R78" s="7">
        <f t="shared" si="64"/>
        <v>3.3976316913116584E-3</v>
      </c>
      <c r="S78" s="2"/>
      <c r="T78" s="6">
        <v>600</v>
      </c>
      <c r="U78" s="2"/>
      <c r="V78" s="7">
        <f t="shared" si="65"/>
        <v>5.2173913043478265E-3</v>
      </c>
      <c r="W78" s="2"/>
      <c r="X78" s="6">
        <f t="shared" si="66"/>
        <v>-145.56</v>
      </c>
      <c r="Y78" s="2"/>
      <c r="Z78" s="7">
        <f t="shared" si="67"/>
        <v>-0.24260000000000001</v>
      </c>
    </row>
    <row r="79" spans="1:26" s="26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SUM(OSRRefD22_13x_0)</f>
        <v>604.33000000000004</v>
      </c>
      <c r="E79" s="1"/>
      <c r="F79" s="5">
        <f t="shared" ref="F79:F81" si="68">IF(D$12=0,0,D79/D$12)</f>
        <v>1.8340468755832593E-2</v>
      </c>
      <c r="G79" s="1"/>
      <c r="H79" s="1">
        <f>SUM(OSRRefH22_13x_0)</f>
        <v>343</v>
      </c>
      <c r="I79" s="1"/>
      <c r="J79" s="5">
        <f t="shared" ref="J79:J81" si="69">IF(H$12=0,0,H79/H$12)</f>
        <v>6.8599999999999998E-3</v>
      </c>
      <c r="K79" s="1"/>
      <c r="L79" s="1">
        <f t="shared" ref="L79:L81" si="70">+D79-H79</f>
        <v>261.33000000000004</v>
      </c>
      <c r="M79" s="1"/>
      <c r="N79" s="5">
        <f t="shared" ref="N79:N81" si="71">IF(H79=0,0,L79/H79)</f>
        <v>0.76189504373177852</v>
      </c>
      <c r="O79" s="13"/>
      <c r="P79" s="1">
        <f>SUM(OSRRefP22_13x_0)</f>
        <v>1237.24</v>
      </c>
      <c r="Q79" s="1"/>
      <c r="R79" s="5">
        <f t="shared" ref="R79:R81" si="72">IF(P$12=0,0,P79/P$12)</f>
        <v>9.2502548934038295E-3</v>
      </c>
      <c r="S79" s="1"/>
      <c r="T79" s="1">
        <f>SUM(OSRRefT22_13x_0)</f>
        <v>443</v>
      </c>
      <c r="U79" s="1"/>
      <c r="V79" s="5">
        <f t="shared" ref="V79:V81" si="73">IF(T$12=0,0,T79/T$12)</f>
        <v>3.8521739130434785E-3</v>
      </c>
      <c r="W79" s="1"/>
      <c r="X79" s="1">
        <f t="shared" ref="X79:X81" si="74">+P79-T79</f>
        <v>794.24</v>
      </c>
      <c r="Y79" s="1"/>
      <c r="Z79" s="5">
        <f t="shared" ref="Z79:Z81" si="75">IF(T79=0,0,X79/T79)</f>
        <v>1.7928668171557562</v>
      </c>
    </row>
    <row r="80" spans="1:26" s="24" customFormat="1" hidden="1" outlineLevel="2" x14ac:dyDescent="0.25">
      <c r="A80" s="27"/>
      <c r="B80" s="11" t="str">
        <f>CONCATENATE("          ", "6303", " - ", "DATA PHONE LINES")</f>
        <v xml:space="preserve">          6303 - DATA PHONE LINES</v>
      </c>
      <c r="C80" s="11"/>
      <c r="D80" s="6"/>
      <c r="E80" s="2"/>
      <c r="F80" s="7">
        <f t="shared" si="68"/>
        <v>0</v>
      </c>
      <c r="G80" s="2"/>
      <c r="H80" s="6">
        <v>298</v>
      </c>
      <c r="I80" s="2"/>
      <c r="J80" s="7">
        <f t="shared" si="69"/>
        <v>5.96E-3</v>
      </c>
      <c r="K80" s="2"/>
      <c r="L80" s="6">
        <f t="shared" si="70"/>
        <v>-298</v>
      </c>
      <c r="M80" s="2"/>
      <c r="N80" s="7">
        <f t="shared" si="71"/>
        <v>-1</v>
      </c>
      <c r="O80" s="11"/>
      <c r="P80" s="6"/>
      <c r="Q80" s="2"/>
      <c r="R80" s="7">
        <f t="shared" si="72"/>
        <v>0</v>
      </c>
      <c r="S80" s="2"/>
      <c r="T80" s="6">
        <v>398</v>
      </c>
      <c r="U80" s="2"/>
      <c r="V80" s="7">
        <f t="shared" si="73"/>
        <v>3.4608695652173912E-3</v>
      </c>
      <c r="W80" s="2"/>
      <c r="X80" s="6">
        <f t="shared" si="74"/>
        <v>-398</v>
      </c>
      <c r="Y80" s="2"/>
      <c r="Z80" s="7">
        <f t="shared" si="75"/>
        <v>-1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6">
        <v>604.33000000000004</v>
      </c>
      <c r="E81" s="2"/>
      <c r="F81" s="7">
        <f t="shared" si="68"/>
        <v>1.8340468755832593E-2</v>
      </c>
      <c r="G81" s="2"/>
      <c r="H81" s="6">
        <v>45</v>
      </c>
      <c r="I81" s="2"/>
      <c r="J81" s="7">
        <f t="shared" si="69"/>
        <v>8.9999999999999998E-4</v>
      </c>
      <c r="K81" s="2"/>
      <c r="L81" s="6">
        <f t="shared" si="70"/>
        <v>559.33000000000004</v>
      </c>
      <c r="M81" s="2"/>
      <c r="N81" s="7">
        <f t="shared" si="71"/>
        <v>12.429555555555556</v>
      </c>
      <c r="O81" s="11"/>
      <c r="P81" s="6">
        <v>1237.24</v>
      </c>
      <c r="Q81" s="2"/>
      <c r="R81" s="7">
        <f t="shared" si="72"/>
        <v>9.2502548934038295E-3</v>
      </c>
      <c r="S81" s="2"/>
      <c r="T81" s="6">
        <v>45</v>
      </c>
      <c r="U81" s="2"/>
      <c r="V81" s="7">
        <f t="shared" si="73"/>
        <v>3.9130434782608698E-4</v>
      </c>
      <c r="W81" s="2"/>
      <c r="X81" s="6">
        <f t="shared" si="74"/>
        <v>1192.24</v>
      </c>
      <c r="Y81" s="2"/>
      <c r="Z81" s="7">
        <f t="shared" si="75"/>
        <v>26.494222222222223</v>
      </c>
    </row>
    <row r="82" spans="1:26" s="26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SUM(OSRRefD22_14x_0)</f>
        <v>85</v>
      </c>
      <c r="E82" s="1"/>
      <c r="F82" s="5">
        <f t="shared" ref="F82:F85" si="76">IF(D$12=0,0,D82/D$12)</f>
        <v>2.5796168388889681E-3</v>
      </c>
      <c r="G82" s="1"/>
      <c r="H82" s="1">
        <f>SUM(OSRRefH22_14x_0)</f>
        <v>0</v>
      </c>
      <c r="I82" s="1"/>
      <c r="J82" s="5">
        <f t="shared" ref="J82:J85" si="77">IF(H$12=0,0,H82/H$12)</f>
        <v>0</v>
      </c>
      <c r="K82" s="1"/>
      <c r="L82" s="1">
        <f t="shared" ref="L82:L85" si="78">+D82-H82</f>
        <v>85</v>
      </c>
      <c r="M82" s="1"/>
      <c r="N82" s="5">
        <f t="shared" ref="N82:N85" si="79">IF(H82=0,0,L82/H82)</f>
        <v>0</v>
      </c>
      <c r="O82" s="13"/>
      <c r="P82" s="1">
        <f>SUM(OSRRefP22_14x_0)</f>
        <v>237.95</v>
      </c>
      <c r="Q82" s="1"/>
      <c r="R82" s="5">
        <f t="shared" ref="R82:R85" si="80">IF(P$12=0,0,P82/P$12)</f>
        <v>1.7790389511214001E-3</v>
      </c>
      <c r="S82" s="1"/>
      <c r="T82" s="1">
        <f>SUM(OSRRefT22_14x_0)</f>
        <v>500</v>
      </c>
      <c r="U82" s="1"/>
      <c r="V82" s="5">
        <f t="shared" ref="V82:V85" si="81">IF(T$12=0,0,T82/T$12)</f>
        <v>4.3478260869565218E-3</v>
      </c>
      <c r="W82" s="1"/>
      <c r="X82" s="1">
        <f t="shared" ref="X82:X85" si="82">+P82-T82</f>
        <v>-262.05</v>
      </c>
      <c r="Y82" s="1"/>
      <c r="Z82" s="5">
        <f t="shared" ref="Z82:Z85" si="83">IF(T82=0,0,X82/T82)</f>
        <v>-0.52410000000000001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6">
        <v>85</v>
      </c>
      <c r="E83" s="2"/>
      <c r="F83" s="7">
        <f t="shared" si="76"/>
        <v>2.5796168388889681E-3</v>
      </c>
      <c r="G83" s="2"/>
      <c r="H83" s="6"/>
      <c r="I83" s="2"/>
      <c r="J83" s="7">
        <f t="shared" si="77"/>
        <v>0</v>
      </c>
      <c r="K83" s="2"/>
      <c r="L83" s="6">
        <f t="shared" si="78"/>
        <v>85</v>
      </c>
      <c r="M83" s="2"/>
      <c r="N83" s="7">
        <f t="shared" si="79"/>
        <v>0</v>
      </c>
      <c r="O83" s="11"/>
      <c r="P83" s="6">
        <v>237.95</v>
      </c>
      <c r="Q83" s="2"/>
      <c r="R83" s="7">
        <f t="shared" si="80"/>
        <v>1.7790389511214001E-3</v>
      </c>
      <c r="S83" s="2"/>
      <c r="T83" s="6">
        <v>500</v>
      </c>
      <c r="U83" s="2"/>
      <c r="V83" s="7">
        <f t="shared" si="81"/>
        <v>4.3478260869565218E-3</v>
      </c>
      <c r="W83" s="2"/>
      <c r="X83" s="6">
        <f t="shared" si="82"/>
        <v>-262.05</v>
      </c>
      <c r="Y83" s="2"/>
      <c r="Z83" s="7">
        <f t="shared" si="83"/>
        <v>-0.52410000000000001</v>
      </c>
    </row>
    <row r="84" spans="1:26" s="26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SUM(OSRRefD22_15x_0)</f>
        <v>0</v>
      </c>
      <c r="E84" s="1"/>
      <c r="F84" s="5">
        <f t="shared" si="76"/>
        <v>0</v>
      </c>
      <c r="G84" s="1"/>
      <c r="H84" s="1">
        <f>SUM(OSRRefH22_15x_0)</f>
        <v>0</v>
      </c>
      <c r="I84" s="1"/>
      <c r="J84" s="5">
        <f t="shared" si="77"/>
        <v>0</v>
      </c>
      <c r="K84" s="1"/>
      <c r="L84" s="1">
        <f t="shared" si="78"/>
        <v>0</v>
      </c>
      <c r="M84" s="1"/>
      <c r="N84" s="5">
        <f t="shared" si="79"/>
        <v>0</v>
      </c>
      <c r="O84" s="13"/>
      <c r="P84" s="1">
        <f>SUM(OSRRefP22_15x_0)</f>
        <v>0</v>
      </c>
      <c r="Q84" s="1"/>
      <c r="R84" s="5">
        <f t="shared" si="80"/>
        <v>0</v>
      </c>
      <c r="S84" s="1"/>
      <c r="T84" s="1">
        <f>SUM(OSRRefT22_15x_0)</f>
        <v>500</v>
      </c>
      <c r="U84" s="1"/>
      <c r="V84" s="5">
        <f t="shared" si="81"/>
        <v>4.3478260869565218E-3</v>
      </c>
      <c r="W84" s="1"/>
      <c r="X84" s="1">
        <f t="shared" si="82"/>
        <v>-500</v>
      </c>
      <c r="Y84" s="1"/>
      <c r="Z84" s="5">
        <f t="shared" si="83"/>
        <v>-1</v>
      </c>
    </row>
    <row r="85" spans="1:26" s="24" customFormat="1" hidden="1" outlineLevel="2" x14ac:dyDescent="0.25">
      <c r="A85" s="27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76"/>
        <v>0</v>
      </c>
      <c r="G85" s="2"/>
      <c r="H85" s="6"/>
      <c r="I85" s="2"/>
      <c r="J85" s="7">
        <f t="shared" si="77"/>
        <v>0</v>
      </c>
      <c r="K85" s="2"/>
      <c r="L85" s="6">
        <f t="shared" si="78"/>
        <v>0</v>
      </c>
      <c r="M85" s="2"/>
      <c r="N85" s="7">
        <f t="shared" si="79"/>
        <v>0</v>
      </c>
      <c r="O85" s="11"/>
      <c r="P85" s="6"/>
      <c r="Q85" s="2"/>
      <c r="R85" s="7">
        <f t="shared" si="80"/>
        <v>0</v>
      </c>
      <c r="S85" s="2"/>
      <c r="T85" s="6">
        <v>500</v>
      </c>
      <c r="U85" s="2"/>
      <c r="V85" s="7">
        <f t="shared" si="81"/>
        <v>4.3478260869565218E-3</v>
      </c>
      <c r="W85" s="2"/>
      <c r="X85" s="6">
        <f t="shared" si="82"/>
        <v>-500</v>
      </c>
      <c r="Y85" s="2"/>
      <c r="Z85" s="7">
        <f t="shared" si="83"/>
        <v>-1</v>
      </c>
    </row>
    <row r="86" spans="1:26" s="61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9" t="s">
        <v>0</v>
      </c>
      <c r="C87" s="10"/>
      <c r="D87" s="4">
        <f>SUM(OSRRefD25x_0)</f>
        <v>0</v>
      </c>
      <c r="E87" s="4"/>
      <c r="F87" s="12">
        <f t="shared" ref="F87:F88" si="84">IF(D$12=0,0,D87/D$12)</f>
        <v>0</v>
      </c>
      <c r="G87" s="4"/>
      <c r="H87" s="4">
        <f>SUM(OSRRefH25x_0)</f>
        <v>0</v>
      </c>
      <c r="I87" s="4"/>
      <c r="J87" s="12">
        <f t="shared" ref="J87:J88" si="85">IF(H$12=0,0,H87/H$12)</f>
        <v>0</v>
      </c>
      <c r="K87" s="4"/>
      <c r="L87" s="4">
        <f t="shared" ref="L87:L88" si="86">+D87-H87</f>
        <v>0</v>
      </c>
      <c r="M87" s="4"/>
      <c r="N87" s="12">
        <f t="shared" ref="N87:N88" si="87">IF(H87=0,0,L87/H87)</f>
        <v>0</v>
      </c>
      <c r="O87" s="10"/>
      <c r="P87" s="4">
        <f>SUM(OSRRefP25x_0)</f>
        <v>29281.48</v>
      </c>
      <c r="Q87" s="4"/>
      <c r="R87" s="12">
        <f t="shared" ref="R87:R88" si="88">IF(P$12=0,0,P87/P$12)</f>
        <v>0.21892369601379391</v>
      </c>
      <c r="S87" s="4"/>
      <c r="T87" s="4">
        <f>SUM(OSRRefT25x_0)</f>
        <v>2050</v>
      </c>
      <c r="U87" s="4"/>
      <c r="V87" s="12">
        <f t="shared" ref="V87:V88" si="89">IF(T$12=0,0,T87/T$12)</f>
        <v>1.7826086956521738E-2</v>
      </c>
      <c r="W87" s="4"/>
      <c r="X87" s="4">
        <f t="shared" ref="X87:X88" si="90">+P87-T87</f>
        <v>27231.48</v>
      </c>
      <c r="Y87" s="4"/>
      <c r="Z87" s="12">
        <f t="shared" ref="Z87:Z88" si="91">IF(T87=0,0,X87/T87)</f>
        <v>13.283648780487805</v>
      </c>
    </row>
    <row r="88" spans="1:26" s="24" customFormat="1" hidden="1" outlineLevel="1" x14ac:dyDescent="0.25">
      <c r="A88" s="44"/>
      <c r="B88" s="11" t="str">
        <f>CONCATENATE("          ", "9150", " - ", "MISC. INCOME")</f>
        <v xml:space="preserve">          9150 - MISC. INCOME</v>
      </c>
      <c r="C88" s="11"/>
      <c r="D88" s="2">
        <f>0</f>
        <v>0</v>
      </c>
      <c r="E88" s="2"/>
      <c r="F88" s="19">
        <f t="shared" si="84"/>
        <v>0</v>
      </c>
      <c r="G88" s="2"/>
      <c r="H88" s="2"/>
      <c r="I88" s="2"/>
      <c r="J88" s="19">
        <f t="shared" si="85"/>
        <v>0</v>
      </c>
      <c r="K88" s="2"/>
      <c r="L88" s="2">
        <f t="shared" si="86"/>
        <v>0</v>
      </c>
      <c r="M88" s="2"/>
      <c r="N88" s="19">
        <f t="shared" si="87"/>
        <v>0</v>
      </c>
      <c r="O88" s="11"/>
      <c r="P88" s="2">
        <f>--29281.48</f>
        <v>29281.48</v>
      </c>
      <c r="Q88" s="2"/>
      <c r="R88" s="19">
        <f t="shared" si="88"/>
        <v>0.21892369601379391</v>
      </c>
      <c r="S88" s="2"/>
      <c r="T88" s="2">
        <v>2050</v>
      </c>
      <c r="U88" s="2"/>
      <c r="V88" s="19">
        <f t="shared" si="89"/>
        <v>1.7826086956521738E-2</v>
      </c>
      <c r="W88" s="2"/>
      <c r="X88" s="2">
        <f t="shared" si="90"/>
        <v>27231.48</v>
      </c>
      <c r="Y88" s="2"/>
      <c r="Z88" s="19">
        <f t="shared" si="91"/>
        <v>13.283648780487805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2">
        <f>+D23-D25+D87</f>
        <v>-9953.6000000000058</v>
      </c>
      <c r="E90" s="14"/>
      <c r="F90" s="20">
        <f>IF(D$12=0,0,D90/D$12)</f>
        <v>-0.30207616667723824</v>
      </c>
      <c r="G90" s="14"/>
      <c r="H90" s="22">
        <f>+H23-H25+H87</f>
        <v>14893.243725</v>
      </c>
      <c r="I90" s="14"/>
      <c r="J90" s="20">
        <f>IF(H$12=0,0,H90/H$12)</f>
        <v>0.29786487449999999</v>
      </c>
      <c r="K90" s="16"/>
      <c r="L90" s="22">
        <f>+D90-H90</f>
        <v>-24846.843725000006</v>
      </c>
      <c r="M90" s="16"/>
      <c r="N90" s="20">
        <f>IF(H90=0,0,L90/H90)</f>
        <v>-1.6683298939969511</v>
      </c>
      <c r="O90" s="29"/>
      <c r="P90" s="22">
        <f>+P23-P25+P87</f>
        <v>12179.409999999978</v>
      </c>
      <c r="Q90" s="14"/>
      <c r="R90" s="20">
        <f>IF(P$12=0,0,P90/P$12)</f>
        <v>9.1059654514299038E-2</v>
      </c>
      <c r="S90" s="14"/>
      <c r="T90" s="22">
        <f>+T23-T25+T87</f>
        <v>17511.95210000001</v>
      </c>
      <c r="U90" s="14"/>
      <c r="V90" s="20">
        <f>IF(T$12=0,0,T90/T$12)</f>
        <v>0.15227784434782618</v>
      </c>
      <c r="W90" s="16"/>
      <c r="X90" s="22">
        <f>+P90-T90</f>
        <v>-5332.5421000000315</v>
      </c>
      <c r="Y90" s="16"/>
      <c r="Z90" s="20">
        <f>IF(T90=0,0,X90/T90)</f>
        <v>-0.3045087189337406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2636.42</v>
      </c>
      <c r="E92" s="4"/>
      <c r="F92" s="12">
        <f>IF(D$12=0,0,D92/D$12)</f>
        <v>8.0011216780984162E-2</v>
      </c>
      <c r="G92" s="4"/>
      <c r="H92" s="4">
        <v>5627</v>
      </c>
      <c r="I92" s="4"/>
      <c r="J92" s="12">
        <f>IF(H$12=0,0,H92/H$12)</f>
        <v>0.11254</v>
      </c>
      <c r="K92" s="4"/>
      <c r="L92" s="4">
        <f>+D92-H92</f>
        <v>-2990.58</v>
      </c>
      <c r="M92" s="4"/>
      <c r="N92" s="12">
        <f>IF(H92=0,0,L92/H92)</f>
        <v>-0.53146969966234225</v>
      </c>
      <c r="O92" s="10"/>
      <c r="P92" s="4">
        <v>13463.82</v>
      </c>
      <c r="Q92" s="4"/>
      <c r="R92" s="12">
        <f>IF(P$12=0,0,P92/P$12)</f>
        <v>0.100662577057732</v>
      </c>
      <c r="S92" s="4"/>
      <c r="T92" s="4">
        <v>13848</v>
      </c>
      <c r="U92" s="4"/>
      <c r="V92" s="12">
        <f>IF(T$12=0,0,T92/T$12)</f>
        <v>0.12041739130434782</v>
      </c>
      <c r="W92" s="4"/>
      <c r="X92" s="4">
        <f>+P92-T92</f>
        <v>-384.18000000000029</v>
      </c>
      <c r="Y92" s="4"/>
      <c r="Z92" s="12">
        <f>IF(T92=0,0,X92/T92)</f>
        <v>-2.774263431542463E-2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1">
        <f>+D90-D92</f>
        <v>-12590.020000000006</v>
      </c>
      <c r="E94" s="14"/>
      <c r="F94" s="33">
        <f>IF(D$12=0,0,D94/D$12)</f>
        <v>-0.38208738345822241</v>
      </c>
      <c r="G94" s="14"/>
      <c r="H94" s="31">
        <f>+H90-H92</f>
        <v>9266.2437250000003</v>
      </c>
      <c r="I94" s="14"/>
      <c r="J94" s="33">
        <f>IF(H$12=0,0,H94/H$12)</f>
        <v>0.18532487450000001</v>
      </c>
      <c r="K94" s="16"/>
      <c r="L94" s="31">
        <f>D94-H94</f>
        <v>-21856.263725000004</v>
      </c>
      <c r="M94" s="16"/>
      <c r="N94" s="33">
        <f>IF(H94=0,0,L94/H94)</f>
        <v>-2.3586972643545487</v>
      </c>
      <c r="O94" s="29"/>
      <c r="P94" s="31">
        <f>+P90-P92</f>
        <v>-1284.4100000000217</v>
      </c>
      <c r="Q94" s="14"/>
      <c r="R94" s="33">
        <f>IF(P$12=0,0,P94/P$12)</f>
        <v>-9.6029225434329738E-3</v>
      </c>
      <c r="S94" s="14"/>
      <c r="T94" s="31">
        <f>+T90-T92</f>
        <v>3663.9521000000095</v>
      </c>
      <c r="U94" s="14"/>
      <c r="V94" s="33">
        <f>IF(T$12=0,0,T94/T$12)</f>
        <v>3.1860453043478343E-2</v>
      </c>
      <c r="W94" s="16"/>
      <c r="X94" s="31">
        <f>P94-T94</f>
        <v>-4948.3621000000312</v>
      </c>
      <c r="Y94" s="16"/>
      <c r="Z94" s="33">
        <f>IF(T94=0,0,X94/T94)</f>
        <v>-1.3505531636180557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2">
        <f>SUM(D94:D96)</f>
        <v>-12590.020000000006</v>
      </c>
      <c r="E97" s="14"/>
      <c r="F97" s="34">
        <f>IF(D$12=0,0,D97/D$12)</f>
        <v>-0.38208738345822241</v>
      </c>
      <c r="G97" s="14"/>
      <c r="H97" s="32">
        <f>SUM(H94:H96)</f>
        <v>9266.2437250000003</v>
      </c>
      <c r="I97" s="14"/>
      <c r="J97" s="34">
        <f>IF(H$12=0,0,H97/H$12)</f>
        <v>0.18532487450000001</v>
      </c>
      <c r="K97" s="16"/>
      <c r="L97" s="32">
        <f>+D97-H97</f>
        <v>-21856.263725000004</v>
      </c>
      <c r="M97" s="16"/>
      <c r="N97" s="34">
        <f>IF(H97=0,0,L97/H97)</f>
        <v>-2.3586972643545487</v>
      </c>
      <c r="O97" s="29"/>
      <c r="P97" s="32">
        <f>SUM(P94:P96)</f>
        <v>-1284.4100000000217</v>
      </c>
      <c r="Q97" s="14"/>
      <c r="R97" s="34">
        <f>IF(P$12=0,0,P97/P$12)</f>
        <v>-9.6029225434329738E-3</v>
      </c>
      <c r="S97" s="14"/>
      <c r="T97" s="32">
        <f>SUM(T94:T96)</f>
        <v>3663.9521000000095</v>
      </c>
      <c r="U97" s="14"/>
      <c r="V97" s="34">
        <f>IF(T$12=0,0,T97/T$12)</f>
        <v>3.1860453043478343E-2</v>
      </c>
      <c r="W97" s="16"/>
      <c r="X97" s="32">
        <f>+P97-T97</f>
        <v>-4948.3621000000312</v>
      </c>
      <c r="Y97" s="16"/>
      <c r="Z97" s="34">
        <f>IF(T97=0,0,X97/T97)</f>
        <v>-1.3505531636180557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25">
      <c r="A99" s="9"/>
      <c r="B99" s="60">
        <v>43791.348652812499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4" t="s">
        <v>314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5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","455", " - ", "Vending")</f>
        <v>Department 455 - Vending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9355.08</v>
      </c>
      <c r="E18" s="21"/>
      <c r="F18" s="35">
        <f t="shared" ref="F18:F27" si="0">IF(D$12=0,0,D18/D$12)</f>
        <v>0</v>
      </c>
      <c r="G18" s="21"/>
      <c r="H18" s="21">
        <f>SUM(OSRRefH22x_0)</f>
        <v>6661.7349645096147</v>
      </c>
      <c r="I18" s="21"/>
      <c r="J18" s="35">
        <f t="shared" ref="J18:J27" si="1">IF(H$12=0,0,H18/H$12)</f>
        <v>0</v>
      </c>
      <c r="K18" s="4"/>
      <c r="L18" s="21">
        <f t="shared" ref="L18:L27" si="2">+D18-H18</f>
        <v>2693.3450354903853</v>
      </c>
      <c r="M18" s="4"/>
      <c r="N18" s="35">
        <f t="shared" ref="N18:N27" si="3">IF(H18=0,0,L18/H18)</f>
        <v>0.40430083902154285</v>
      </c>
      <c r="O18" s="10"/>
      <c r="P18" s="21">
        <f>SUM(OSRRefP22x_0)</f>
        <v>38446.480000000003</v>
      </c>
      <c r="Q18" s="21"/>
      <c r="R18" s="35">
        <f t="shared" ref="R18:R27" si="4">IF(P$12=0,0,P18/P$12)</f>
        <v>0</v>
      </c>
      <c r="S18" s="21"/>
      <c r="T18" s="21">
        <f>SUM(OSRRefT22x_0)</f>
        <v>23982.245872234602</v>
      </c>
      <c r="U18" s="21"/>
      <c r="V18" s="35">
        <f t="shared" ref="V18:V27" si="5">IF(T$12=0,0,T18/T$12)</f>
        <v>0</v>
      </c>
      <c r="W18" s="4"/>
      <c r="X18" s="21">
        <f t="shared" ref="X18:X27" si="6">+P18-T18</f>
        <v>14464.234127765401</v>
      </c>
      <c r="Y18" s="4"/>
      <c r="Z18" s="35">
        <f t="shared" ref="Z18:Z27" si="7">IF(T18=0,0,X18/T18)</f>
        <v>0.60312258513333561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3820.58</v>
      </c>
      <c r="E19" s="1"/>
      <c r="F19" s="5">
        <f t="shared" si="0"/>
        <v>0</v>
      </c>
      <c r="G19" s="1"/>
      <c r="H19" s="1">
        <f>SUM(OSRRefH22_0x_0)</f>
        <v>1515.904483740384</v>
      </c>
      <c r="I19" s="1"/>
      <c r="J19" s="5">
        <f t="shared" si="1"/>
        <v>0</v>
      </c>
      <c r="K19" s="1"/>
      <c r="L19" s="1">
        <f t="shared" si="2"/>
        <v>2304.675516259616</v>
      </c>
      <c r="M19" s="1"/>
      <c r="N19" s="5">
        <f t="shared" si="3"/>
        <v>1.5203302984980933</v>
      </c>
      <c r="O19" s="13"/>
      <c r="P19" s="1">
        <f>SUM(OSRRefP22_0x_0)</f>
        <v>19624.170000000002</v>
      </c>
      <c r="Q19" s="1"/>
      <c r="R19" s="5">
        <f t="shared" si="4"/>
        <v>0</v>
      </c>
      <c r="S19" s="1"/>
      <c r="T19" s="1">
        <f>SUM(OSRRefT22_0x_0)</f>
        <v>5457.2561414653837</v>
      </c>
      <c r="U19" s="1"/>
      <c r="V19" s="5">
        <f t="shared" si="5"/>
        <v>0</v>
      </c>
      <c r="W19" s="1"/>
      <c r="X19" s="1">
        <f t="shared" si="6"/>
        <v>14166.913858534619</v>
      </c>
      <c r="Y19" s="1"/>
      <c r="Z19" s="5">
        <f t="shared" si="7"/>
        <v>2.5959774456785012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577.38</v>
      </c>
      <c r="E20" s="2"/>
      <c r="F20" s="7">
        <f t="shared" si="0"/>
        <v>0</v>
      </c>
      <c r="G20" s="2"/>
      <c r="H20" s="6">
        <v>437.56711854807702</v>
      </c>
      <c r="I20" s="2"/>
      <c r="J20" s="7">
        <f t="shared" si="1"/>
        <v>0</v>
      </c>
      <c r="K20" s="2"/>
      <c r="L20" s="6">
        <f t="shared" si="2"/>
        <v>139.81288145192298</v>
      </c>
      <c r="M20" s="2"/>
      <c r="N20" s="7">
        <f t="shared" si="3"/>
        <v>0.31952328117306017</v>
      </c>
      <c r="O20" s="11"/>
      <c r="P20" s="6">
        <v>1662.14</v>
      </c>
      <c r="Q20" s="2"/>
      <c r="R20" s="7">
        <f t="shared" si="4"/>
        <v>0</v>
      </c>
      <c r="S20" s="2"/>
      <c r="T20" s="6">
        <v>1575.241626773078</v>
      </c>
      <c r="U20" s="2"/>
      <c r="V20" s="7">
        <f t="shared" si="5"/>
        <v>0</v>
      </c>
      <c r="W20" s="2"/>
      <c r="X20" s="6">
        <f t="shared" si="6"/>
        <v>86.898373226922104</v>
      </c>
      <c r="Y20" s="2"/>
      <c r="Z20" s="7">
        <f t="shared" si="7"/>
        <v>5.5165107212749073E-2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-289.72000000000003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-289.72000000000003</v>
      </c>
      <c r="M21" s="2"/>
      <c r="N21" s="7">
        <f t="shared" si="3"/>
        <v>0</v>
      </c>
      <c r="O21" s="11"/>
      <c r="P21" s="6">
        <v>82.33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82.33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931.95</v>
      </c>
      <c r="M22" s="2"/>
      <c r="N22" s="7">
        <f t="shared" si="3"/>
        <v>0</v>
      </c>
      <c r="O22" s="11"/>
      <c r="P22" s="6">
        <v>3727.8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3727.8</v>
      </c>
      <c r="Y22" s="2"/>
      <c r="Z22" s="7">
        <f t="shared" si="7"/>
        <v>0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38.590000000000003</v>
      </c>
      <c r="E23" s="2"/>
      <c r="F23" s="7">
        <f t="shared" si="0"/>
        <v>0</v>
      </c>
      <c r="G23" s="2"/>
      <c r="H23" s="6">
        <v>14.8657325</v>
      </c>
      <c r="I23" s="2"/>
      <c r="J23" s="7">
        <f t="shared" si="1"/>
        <v>0</v>
      </c>
      <c r="K23" s="2"/>
      <c r="L23" s="6">
        <f t="shared" si="2"/>
        <v>23.724267500000003</v>
      </c>
      <c r="M23" s="2"/>
      <c r="N23" s="7">
        <f t="shared" si="3"/>
        <v>1.595903027314665</v>
      </c>
      <c r="O23" s="11"/>
      <c r="P23" s="6">
        <v>75.45</v>
      </c>
      <c r="Q23" s="2"/>
      <c r="R23" s="7">
        <f t="shared" si="4"/>
        <v>0</v>
      </c>
      <c r="S23" s="2"/>
      <c r="T23" s="6">
        <v>53.516637000000003</v>
      </c>
      <c r="U23" s="2"/>
      <c r="V23" s="7">
        <f t="shared" si="5"/>
        <v>0</v>
      </c>
      <c r="W23" s="2"/>
      <c r="X23" s="6">
        <f t="shared" si="6"/>
        <v>21.933363</v>
      </c>
      <c r="Y23" s="2"/>
      <c r="Z23" s="7">
        <f t="shared" si="7"/>
        <v>0.40984195251282324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1517.09</v>
      </c>
      <c r="E24" s="2"/>
      <c r="F24" s="7">
        <f t="shared" si="0"/>
        <v>0</v>
      </c>
      <c r="G24" s="2"/>
      <c r="H24" s="6">
        <v>491.71269038461503</v>
      </c>
      <c r="I24" s="2"/>
      <c r="J24" s="7">
        <f t="shared" si="1"/>
        <v>0</v>
      </c>
      <c r="K24" s="2"/>
      <c r="L24" s="6">
        <f t="shared" si="2"/>
        <v>1025.377309615385</v>
      </c>
      <c r="M24" s="2"/>
      <c r="N24" s="7">
        <f t="shared" si="3"/>
        <v>2.0853179705680169</v>
      </c>
      <c r="O24" s="11"/>
      <c r="P24" s="6">
        <v>2966.4</v>
      </c>
      <c r="Q24" s="2"/>
      <c r="R24" s="7">
        <f t="shared" si="4"/>
        <v>0</v>
      </c>
      <c r="S24" s="2"/>
      <c r="T24" s="6">
        <v>1770.1656853846141</v>
      </c>
      <c r="U24" s="2"/>
      <c r="V24" s="7">
        <f t="shared" si="5"/>
        <v>0</v>
      </c>
      <c r="W24" s="2"/>
      <c r="X24" s="6">
        <f t="shared" si="6"/>
        <v>1196.234314615386</v>
      </c>
      <c r="Y24" s="2"/>
      <c r="Z24" s="7">
        <f t="shared" si="7"/>
        <v>0.67577533814608615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697.17</v>
      </c>
      <c r="E26" s="2"/>
      <c r="F26" s="7">
        <f t="shared" si="0"/>
        <v>0</v>
      </c>
      <c r="G26" s="2"/>
      <c r="H26" s="6">
        <v>571.758942307692</v>
      </c>
      <c r="I26" s="2"/>
      <c r="J26" s="7">
        <f t="shared" si="1"/>
        <v>0</v>
      </c>
      <c r="K26" s="2"/>
      <c r="L26" s="6">
        <f t="shared" si="2"/>
        <v>125.41105769230796</v>
      </c>
      <c r="M26" s="2"/>
      <c r="N26" s="7">
        <f t="shared" si="3"/>
        <v>0.21934253828393649</v>
      </c>
      <c r="O26" s="11"/>
      <c r="P26" s="6">
        <v>3454.26</v>
      </c>
      <c r="Q26" s="2"/>
      <c r="R26" s="7">
        <f t="shared" si="4"/>
        <v>0</v>
      </c>
      <c r="S26" s="2"/>
      <c r="T26" s="6">
        <v>2058.3321923076919</v>
      </c>
      <c r="U26" s="2"/>
      <c r="V26" s="7">
        <f t="shared" si="5"/>
        <v>0</v>
      </c>
      <c r="W26" s="2"/>
      <c r="X26" s="6">
        <f t="shared" si="6"/>
        <v>1395.9278076923083</v>
      </c>
      <c r="Y26" s="2"/>
      <c r="Z26" s="7">
        <f t="shared" si="7"/>
        <v>0.67818392624334789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348.12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348.12</v>
      </c>
      <c r="M27" s="2"/>
      <c r="N27" s="7">
        <f t="shared" si="3"/>
        <v>0</v>
      </c>
      <c r="O27" s="11"/>
      <c r="P27" s="6">
        <v>7655.79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7655.79</v>
      </c>
      <c r="Y27" s="2"/>
      <c r="Z27" s="7">
        <f t="shared" si="7"/>
        <v>0</v>
      </c>
    </row>
    <row r="28" spans="1:26" s="26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5534.5</v>
      </c>
      <c r="E28" s="1"/>
      <c r="F28" s="5">
        <f t="shared" ref="F28:F38" si="8">IF(D$12=0,0,D28/D$12)</f>
        <v>0</v>
      </c>
      <c r="G28" s="1"/>
      <c r="H28" s="1">
        <f>SUM(OSRRefH22_1x_0)</f>
        <v>5145.8304807692302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388.66951923076977</v>
      </c>
      <c r="M28" s="1"/>
      <c r="N28" s="5">
        <f t="shared" ref="N28:N38" si="11">IF(H28=0,0,L28/H28)</f>
        <v>7.5530960587078852E-2</v>
      </c>
      <c r="O28" s="13"/>
      <c r="P28" s="1">
        <f>SUM(OSRRefP22_1x_0)</f>
        <v>18822.310000000001</v>
      </c>
      <c r="Q28" s="1"/>
      <c r="R28" s="5">
        <f t="shared" ref="R28:R38" si="12">IF(P$12=0,0,P28/P$12)</f>
        <v>0</v>
      </c>
      <c r="S28" s="1"/>
      <c r="T28" s="1">
        <f>SUM(OSRRefT22_1x_0)</f>
        <v>18524.989730769219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297.32026923078229</v>
      </c>
      <c r="Y28" s="1"/>
      <c r="Z28" s="5">
        <f t="shared" ref="Z28:Z38" si="15">IF(T28=0,0,X28/T28)</f>
        <v>1.6049686048513482E-2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5534.5</v>
      </c>
      <c r="E29" s="2"/>
      <c r="F29" s="7">
        <f t="shared" si="8"/>
        <v>0</v>
      </c>
      <c r="G29" s="2"/>
      <c r="H29" s="6">
        <v>5145.8304807692302</v>
      </c>
      <c r="I29" s="2"/>
      <c r="J29" s="7">
        <f t="shared" si="9"/>
        <v>0</v>
      </c>
      <c r="K29" s="2"/>
      <c r="L29" s="6">
        <f t="shared" si="10"/>
        <v>388.66951923076977</v>
      </c>
      <c r="M29" s="2"/>
      <c r="N29" s="7">
        <f t="shared" si="11"/>
        <v>7.5530960587078852E-2</v>
      </c>
      <c r="O29" s="11"/>
      <c r="P29" s="6">
        <v>18822.310000000001</v>
      </c>
      <c r="Q29" s="2"/>
      <c r="R29" s="7">
        <f t="shared" si="12"/>
        <v>0</v>
      </c>
      <c r="S29" s="2"/>
      <c r="T29" s="6">
        <v>18524.989730769219</v>
      </c>
      <c r="U29" s="2"/>
      <c r="V29" s="7">
        <f t="shared" si="13"/>
        <v>0</v>
      </c>
      <c r="W29" s="2"/>
      <c r="X29" s="6">
        <f t="shared" si="14"/>
        <v>297.32026923078229</v>
      </c>
      <c r="Y29" s="2"/>
      <c r="Z29" s="7">
        <f t="shared" si="15"/>
        <v>1.6049686048513482E-2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61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73093.899999999994</v>
      </c>
      <c r="E40" s="4"/>
      <c r="F40" s="12">
        <f t="shared" ref="F40:F44" si="16">IF(D$12=0,0,D40/D$12)</f>
        <v>0</v>
      </c>
      <c r="G40" s="4"/>
      <c r="H40" s="4">
        <f>SUM(OSRRefH25x_0)</f>
        <v>27881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45212.899999999994</v>
      </c>
      <c r="M40" s="4"/>
      <c r="N40" s="12">
        <f t="shared" ref="N40:N44" si="19">IF(H40=0,0,L40/H40)</f>
        <v>1.6216383917363077</v>
      </c>
      <c r="O40" s="10"/>
      <c r="P40" s="4">
        <f>SUM(OSRRefP25x_0)</f>
        <v>308217.02</v>
      </c>
      <c r="Q40" s="4"/>
      <c r="R40" s="12">
        <f t="shared" ref="R40:R44" si="20">IF(P$12=0,0,P40/P$12)</f>
        <v>0</v>
      </c>
      <c r="S40" s="4"/>
      <c r="T40" s="4">
        <f>SUM(OSRRefT25x_0)</f>
        <v>261022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47195.020000000019</v>
      </c>
      <c r="Y40" s="4"/>
      <c r="Z40" s="12">
        <f t="shared" ref="Z40:Z44" si="23">IF(T40=0,0,X40/T40)</f>
        <v>0.18080859084674863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>
        <v>9962</v>
      </c>
      <c r="I41" s="2"/>
      <c r="J41" s="19">
        <f t="shared" si="17"/>
        <v>0</v>
      </c>
      <c r="K41" s="2"/>
      <c r="L41" s="2">
        <f t="shared" si="18"/>
        <v>-9962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24905</v>
      </c>
      <c r="U41" s="2"/>
      <c r="V41" s="19">
        <f t="shared" si="21"/>
        <v>0</v>
      </c>
      <c r="W41" s="2"/>
      <c r="X41" s="2">
        <f t="shared" si="22"/>
        <v>-24905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17919</v>
      </c>
      <c r="I42" s="2"/>
      <c r="J42" s="19">
        <f t="shared" si="17"/>
        <v>0</v>
      </c>
      <c r="K42" s="2"/>
      <c r="L42" s="2">
        <f t="shared" si="18"/>
        <v>-17919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236117</v>
      </c>
      <c r="U42" s="2"/>
      <c r="V42" s="19">
        <f t="shared" si="21"/>
        <v>0</v>
      </c>
      <c r="W42" s="2"/>
      <c r="X42" s="2">
        <f t="shared" si="22"/>
        <v>-236117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>--65384.61</f>
        <v>65384.61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65384.61</v>
      </c>
      <c r="M43" s="2"/>
      <c r="N43" s="19">
        <f t="shared" si="19"/>
        <v>0</v>
      </c>
      <c r="O43" s="11"/>
      <c r="P43" s="2">
        <f>--95346.95</f>
        <v>95346.95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95346.95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--7709.29</f>
        <v>7709.29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7709.29</v>
      </c>
      <c r="M44" s="2"/>
      <c r="N44" s="19">
        <f t="shared" si="19"/>
        <v>0</v>
      </c>
      <c r="O44" s="11"/>
      <c r="P44" s="2">
        <f>--212870.07</f>
        <v>212870.07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212870.07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2">
        <f>+D16-D18+D40</f>
        <v>63738.819999999992</v>
      </c>
      <c r="E46" s="14"/>
      <c r="F46" s="20">
        <f>IF(D$12=0,0,D46/D$12)</f>
        <v>0</v>
      </c>
      <c r="G46" s="14"/>
      <c r="H46" s="22">
        <f>+H16-H18+H40</f>
        <v>21219.265035490385</v>
      </c>
      <c r="I46" s="14"/>
      <c r="J46" s="20">
        <f>IF(H$12=0,0,H46/H$12)</f>
        <v>0</v>
      </c>
      <c r="K46" s="16"/>
      <c r="L46" s="22">
        <f>+D46-H46</f>
        <v>42519.554964509603</v>
      </c>
      <c r="M46" s="16"/>
      <c r="N46" s="20">
        <f>IF(H46=0,0,L46/H46)</f>
        <v>2.0038184589990893</v>
      </c>
      <c r="O46" s="29"/>
      <c r="P46" s="22">
        <f>+P16-P18+P40</f>
        <v>269770.54000000004</v>
      </c>
      <c r="Q46" s="14"/>
      <c r="R46" s="20">
        <f>IF(P$12=0,0,P46/P$12)</f>
        <v>0</v>
      </c>
      <c r="S46" s="14"/>
      <c r="T46" s="22">
        <f>+T16-T18+T40</f>
        <v>237039.75412776539</v>
      </c>
      <c r="U46" s="14"/>
      <c r="V46" s="20">
        <f>IF(T$12=0,0,T46/T$12)</f>
        <v>0</v>
      </c>
      <c r="W46" s="16"/>
      <c r="X46" s="22">
        <f>+P46-T46</f>
        <v>32730.785872234643</v>
      </c>
      <c r="Y46" s="16"/>
      <c r="Z46" s="20">
        <f>IF(T46=0,0,X46/T46)</f>
        <v>0.13808142010893504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1">
        <f>+D46-D48</f>
        <v>63738.819999999992</v>
      </c>
      <c r="E50" s="14"/>
      <c r="F50" s="33">
        <f>IF(D$12=0,0,D50/D$12)</f>
        <v>0</v>
      </c>
      <c r="G50" s="14"/>
      <c r="H50" s="31">
        <f>+H46-H48</f>
        <v>21219.265035490385</v>
      </c>
      <c r="I50" s="14"/>
      <c r="J50" s="33">
        <f>IF(H$12=0,0,H50/H$12)</f>
        <v>0</v>
      </c>
      <c r="K50" s="16"/>
      <c r="L50" s="31">
        <f>D50-H50</f>
        <v>42519.554964509603</v>
      </c>
      <c r="M50" s="16"/>
      <c r="N50" s="33">
        <f>IF(H50=0,0,L50/H50)</f>
        <v>2.0038184589990893</v>
      </c>
      <c r="O50" s="29"/>
      <c r="P50" s="31">
        <f>+P46-P48</f>
        <v>269770.54000000004</v>
      </c>
      <c r="Q50" s="14"/>
      <c r="R50" s="33">
        <f>IF(P$12=0,0,P50/P$12)</f>
        <v>0</v>
      </c>
      <c r="S50" s="14"/>
      <c r="T50" s="31">
        <f>+T46-T48</f>
        <v>237039.75412776539</v>
      </c>
      <c r="U50" s="14"/>
      <c r="V50" s="33">
        <f>IF(T$12=0,0,T50/T$12)</f>
        <v>0</v>
      </c>
      <c r="W50" s="16"/>
      <c r="X50" s="31">
        <f>P50-T50</f>
        <v>32730.785872234643</v>
      </c>
      <c r="Y50" s="16"/>
      <c r="Z50" s="33">
        <f>IF(T50=0,0,X50/T50)</f>
        <v>0.13808142010893504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2">
        <f>SUM(D50:D52)</f>
        <v>63738.819999999992</v>
      </c>
      <c r="E53" s="14"/>
      <c r="F53" s="34">
        <f>IF(D$12=0,0,D53/D$12)</f>
        <v>0</v>
      </c>
      <c r="G53" s="14"/>
      <c r="H53" s="32">
        <f>SUM(H50:H52)</f>
        <v>21219.265035490385</v>
      </c>
      <c r="I53" s="14"/>
      <c r="J53" s="34">
        <f>IF(H$12=0,0,H53/H$12)</f>
        <v>0</v>
      </c>
      <c r="K53" s="16"/>
      <c r="L53" s="32">
        <f>+D53-H53</f>
        <v>42519.554964509603</v>
      </c>
      <c r="M53" s="16"/>
      <c r="N53" s="34">
        <f>IF(H53=0,0,L53/H53)</f>
        <v>2.0038184589990893</v>
      </c>
      <c r="O53" s="29"/>
      <c r="P53" s="32">
        <f>SUM(P50:P52)</f>
        <v>269770.54000000004</v>
      </c>
      <c r="Q53" s="14"/>
      <c r="R53" s="34">
        <f>IF(P$12=0,0,P53/P$12)</f>
        <v>0</v>
      </c>
      <c r="S53" s="14"/>
      <c r="T53" s="32">
        <f>SUM(T50:T52)</f>
        <v>237039.75412776539</v>
      </c>
      <c r="U53" s="14"/>
      <c r="V53" s="34">
        <f>IF(T$12=0,0,T53/T$12)</f>
        <v>0</v>
      </c>
      <c r="W53" s="16"/>
      <c r="X53" s="32">
        <f>+P53-T53</f>
        <v>32730.785872234643</v>
      </c>
      <c r="Y53" s="16"/>
      <c r="Z53" s="34">
        <f>IF(T53=0,0,X53/T53)</f>
        <v>0.13808142010893504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60">
        <v>43791.348756747684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54" t="s">
        <v>314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5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300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302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1670646.97</v>
      </c>
      <c r="E12" s="4"/>
      <c r="F12" s="12"/>
      <c r="G12" s="4"/>
      <c r="H12" s="4">
        <f>SUM(OSRRefH13x_0)</f>
        <v>1693343</v>
      </c>
      <c r="I12" s="4"/>
      <c r="J12" s="12"/>
      <c r="K12" s="4"/>
      <c r="L12" s="4">
        <f t="shared" ref="L12:L18" si="0">+D12-H12</f>
        <v>-22696.030000000028</v>
      </c>
      <c r="M12" s="4"/>
      <c r="N12" s="12">
        <f t="shared" ref="N12:N18" si="1">IF(H12=0,0,L12/H12)</f>
        <v>-1.3403090809127287E-2</v>
      </c>
      <c r="O12" s="10"/>
      <c r="P12" s="4">
        <f>SUM(OSRRefP13x_0)</f>
        <v>4145965.0300000003</v>
      </c>
      <c r="Q12" s="4"/>
      <c r="R12" s="12"/>
      <c r="S12" s="4"/>
      <c r="T12" s="4">
        <f>SUM(OSRRefT13x_0)</f>
        <v>4163631</v>
      </c>
      <c r="U12" s="4"/>
      <c r="V12" s="12"/>
      <c r="W12" s="4"/>
      <c r="X12" s="4">
        <f t="shared" ref="X12:X18" si="2">+P12-T12</f>
        <v>-17665.969999999739</v>
      </c>
      <c r="Y12" s="4"/>
      <c r="Z12" s="12">
        <f t="shared" ref="Z12:Z18" si="3">IF(T12=0,0,X12/T12)</f>
        <v>-4.2429240247273932E-3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--6043.78</f>
        <v>6043.78</v>
      </c>
      <c r="E13" s="2"/>
      <c r="F13" s="19"/>
      <c r="G13" s="2"/>
      <c r="H13" s="2"/>
      <c r="I13" s="2"/>
      <c r="J13" s="19"/>
      <c r="K13" s="2"/>
      <c r="L13" s="2">
        <f t="shared" si="0"/>
        <v>6043.78</v>
      </c>
      <c r="M13" s="2"/>
      <c r="N13" s="19">
        <f t="shared" si="1"/>
        <v>0</v>
      </c>
      <c r="O13" s="11"/>
      <c r="P13" s="2">
        <f>--9377.79</f>
        <v>9377.7900000000009</v>
      </c>
      <c r="Q13" s="2"/>
      <c r="R13" s="19"/>
      <c r="S13" s="2"/>
      <c r="T13" s="2"/>
      <c r="U13" s="2"/>
      <c r="V13" s="19"/>
      <c r="W13" s="2"/>
      <c r="X13" s="2">
        <f t="shared" si="2"/>
        <v>9377.7900000000009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--371.82</f>
        <v>371.82</v>
      </c>
      <c r="E14" s="2"/>
      <c r="F14" s="19"/>
      <c r="G14" s="2"/>
      <c r="H14" s="2"/>
      <c r="I14" s="2"/>
      <c r="J14" s="19"/>
      <c r="K14" s="2"/>
      <c r="L14" s="2">
        <f t="shared" si="0"/>
        <v>371.82</v>
      </c>
      <c r="M14" s="2"/>
      <c r="N14" s="19">
        <f t="shared" si="1"/>
        <v>0</v>
      </c>
      <c r="O14" s="11"/>
      <c r="P14" s="2">
        <f>--651.14</f>
        <v>651.14</v>
      </c>
      <c r="Q14" s="2"/>
      <c r="R14" s="19"/>
      <c r="S14" s="2"/>
      <c r="T14" s="2"/>
      <c r="U14" s="2"/>
      <c r="V14" s="19"/>
      <c r="W14" s="2"/>
      <c r="X14" s="2">
        <f t="shared" si="2"/>
        <v>651.14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1693343</v>
      </c>
      <c r="I15" s="2"/>
      <c r="J15" s="19"/>
      <c r="K15" s="2"/>
      <c r="L15" s="2">
        <f t="shared" si="0"/>
        <v>-1693343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4163631</v>
      </c>
      <c r="U15" s="2"/>
      <c r="V15" s="19"/>
      <c r="W15" s="2"/>
      <c r="X15" s="2">
        <f t="shared" si="2"/>
        <v>-4163631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--1632556.89</f>
        <v>1632556.89</v>
      </c>
      <c r="E16" s="2"/>
      <c r="F16" s="19"/>
      <c r="G16" s="2"/>
      <c r="H16" s="2"/>
      <c r="I16" s="2"/>
      <c r="J16" s="19"/>
      <c r="K16" s="2"/>
      <c r="L16" s="2">
        <f t="shared" si="0"/>
        <v>1632556.89</v>
      </c>
      <c r="M16" s="2"/>
      <c r="N16" s="19">
        <f t="shared" si="1"/>
        <v>0</v>
      </c>
      <c r="O16" s="11"/>
      <c r="P16" s="2">
        <f>--3944004.93</f>
        <v>3944004.93</v>
      </c>
      <c r="Q16" s="2"/>
      <c r="R16" s="19"/>
      <c r="S16" s="2"/>
      <c r="T16" s="2"/>
      <c r="U16" s="2"/>
      <c r="V16" s="19"/>
      <c r="W16" s="2"/>
      <c r="X16" s="2">
        <f t="shared" si="2"/>
        <v>3944004.93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--30502.48</f>
        <v>30502.48</v>
      </c>
      <c r="E17" s="2"/>
      <c r="F17" s="19"/>
      <c r="G17" s="2"/>
      <c r="H17" s="2"/>
      <c r="I17" s="2"/>
      <c r="J17" s="19"/>
      <c r="K17" s="2"/>
      <c r="L17" s="2">
        <f t="shared" si="0"/>
        <v>30502.48</v>
      </c>
      <c r="M17" s="2"/>
      <c r="N17" s="19">
        <f t="shared" si="1"/>
        <v>0</v>
      </c>
      <c r="O17" s="11"/>
      <c r="P17" s="2">
        <f>--189788.06</f>
        <v>189788.06</v>
      </c>
      <c r="Q17" s="2"/>
      <c r="R17" s="19"/>
      <c r="S17" s="2"/>
      <c r="T17" s="2"/>
      <c r="U17" s="2"/>
      <c r="V17" s="19"/>
      <c r="W17" s="2"/>
      <c r="X17" s="2">
        <f t="shared" si="2"/>
        <v>189788.06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--1172</f>
        <v>1172</v>
      </c>
      <c r="E18" s="2"/>
      <c r="F18" s="19"/>
      <c r="G18" s="2"/>
      <c r="H18" s="2"/>
      <c r="I18" s="2"/>
      <c r="J18" s="19"/>
      <c r="K18" s="2"/>
      <c r="L18" s="2">
        <f t="shared" si="0"/>
        <v>1172</v>
      </c>
      <c r="M18" s="2"/>
      <c r="N18" s="19">
        <f t="shared" si="1"/>
        <v>0</v>
      </c>
      <c r="O18" s="11"/>
      <c r="P18" s="2">
        <f>--2143.11</f>
        <v>2143.11</v>
      </c>
      <c r="Q18" s="2"/>
      <c r="R18" s="19"/>
      <c r="S18" s="2"/>
      <c r="T18" s="2"/>
      <c r="U18" s="2"/>
      <c r="V18" s="19"/>
      <c r="W18" s="2"/>
      <c r="X18" s="2">
        <f t="shared" si="2"/>
        <v>2143.11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400999.63</v>
      </c>
      <c r="E20" s="4"/>
      <c r="F20" s="12">
        <f t="shared" ref="F20:F23" si="4">IF(D$12=0,0,D20/D$12)</f>
        <v>0.24002655091159086</v>
      </c>
      <c r="G20" s="4"/>
      <c r="H20" s="4">
        <f>SUM(OSRRefH16x_0)</f>
        <v>427406.19</v>
      </c>
      <c r="I20" s="4"/>
      <c r="J20" s="12">
        <f t="shared" ref="J20:J23" si="5">IF(H$12=0,0,H20/H$12)</f>
        <v>0.25240378942718633</v>
      </c>
      <c r="K20" s="4"/>
      <c r="L20" s="4">
        <f t="shared" ref="L20:L23" si="6">+D20-H20</f>
        <v>-26406.559999999998</v>
      </c>
      <c r="M20" s="4"/>
      <c r="N20" s="12">
        <f t="shared" ref="N20:N23" si="7">IF(H20=0,0,L20/H20)</f>
        <v>-6.1783288632296124E-2</v>
      </c>
      <c r="O20" s="10"/>
      <c r="P20" s="4">
        <f>SUM(OSRRefP16x_0)</f>
        <v>1010070.9600000001</v>
      </c>
      <c r="Q20" s="4"/>
      <c r="R20" s="12">
        <f t="shared" ref="R20:R23" si="8">IF(P$12=0,0,P20/P$12)</f>
        <v>0.24362746735468727</v>
      </c>
      <c r="S20" s="4"/>
      <c r="T20" s="4">
        <f>SUM(OSRRefT16x_0)</f>
        <v>1120118.5900000001</v>
      </c>
      <c r="U20" s="4"/>
      <c r="V20" s="12">
        <f t="shared" ref="V20:V23" si="9">IF(T$12=0,0,T20/T$12)</f>
        <v>0.26902446206207997</v>
      </c>
      <c r="W20" s="4"/>
      <c r="X20" s="4">
        <f t="shared" ref="X20:X23" si="10">+P20-T20</f>
        <v>-110047.63</v>
      </c>
      <c r="Y20" s="4"/>
      <c r="Z20" s="12">
        <f t="shared" ref="Z20:Z23" si="11">IF(T20=0,0,X20/T20)</f>
        <v>-9.8246409784164004E-2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427406.19</v>
      </c>
      <c r="I21" s="2"/>
      <c r="J21" s="19">
        <f t="shared" si="5"/>
        <v>0.25240378942718633</v>
      </c>
      <c r="K21" s="2"/>
      <c r="L21" s="2">
        <f t="shared" si="6"/>
        <v>-427406.19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1120118.5900000001</v>
      </c>
      <c r="U21" s="2"/>
      <c r="V21" s="19">
        <f t="shared" si="9"/>
        <v>0.26902446206207997</v>
      </c>
      <c r="W21" s="2"/>
      <c r="X21" s="2">
        <f t="shared" si="10"/>
        <v>-1120118.5900000001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406354.34</v>
      </c>
      <c r="E22" s="2"/>
      <c r="F22" s="19">
        <f t="shared" si="4"/>
        <v>0.24323172237878601</v>
      </c>
      <c r="G22" s="2"/>
      <c r="H22" s="2"/>
      <c r="I22" s="2"/>
      <c r="J22" s="19">
        <f t="shared" si="5"/>
        <v>0</v>
      </c>
      <c r="K22" s="2"/>
      <c r="L22" s="2">
        <f t="shared" si="6"/>
        <v>406354.34</v>
      </c>
      <c r="M22" s="2"/>
      <c r="N22" s="19">
        <f t="shared" si="7"/>
        <v>0</v>
      </c>
      <c r="O22" s="11"/>
      <c r="P22" s="2">
        <v>1036359.4700000001</v>
      </c>
      <c r="Q22" s="2"/>
      <c r="R22" s="19">
        <f t="shared" si="8"/>
        <v>0.24996821307004607</v>
      </c>
      <c r="S22" s="2"/>
      <c r="T22" s="2"/>
      <c r="U22" s="2"/>
      <c r="V22" s="19">
        <f t="shared" si="9"/>
        <v>0</v>
      </c>
      <c r="W22" s="2"/>
      <c r="X22" s="2">
        <f t="shared" si="10"/>
        <v>1036359.4700000001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-5354.71</v>
      </c>
      <c r="E23" s="2"/>
      <c r="F23" s="19">
        <f t="shared" si="4"/>
        <v>-3.2051714671951313E-3</v>
      </c>
      <c r="G23" s="2"/>
      <c r="H23" s="2"/>
      <c r="I23" s="2"/>
      <c r="J23" s="19">
        <f t="shared" si="5"/>
        <v>0</v>
      </c>
      <c r="K23" s="2"/>
      <c r="L23" s="2">
        <f t="shared" si="6"/>
        <v>-5354.71</v>
      </c>
      <c r="M23" s="2"/>
      <c r="N23" s="19">
        <f t="shared" si="7"/>
        <v>0</v>
      </c>
      <c r="O23" s="11"/>
      <c r="P23" s="2">
        <v>-26288.510000000002</v>
      </c>
      <c r="Q23" s="2"/>
      <c r="R23" s="19">
        <f t="shared" si="8"/>
        <v>-6.34074571535882E-3</v>
      </c>
      <c r="S23" s="2"/>
      <c r="T23" s="2"/>
      <c r="U23" s="2"/>
      <c r="V23" s="19">
        <f t="shared" si="9"/>
        <v>0</v>
      </c>
      <c r="W23" s="2"/>
      <c r="X23" s="2">
        <f t="shared" si="10"/>
        <v>-26288.510000000002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2">
        <f>D12-D20</f>
        <v>1269647.3399999999</v>
      </c>
      <c r="E25" s="14"/>
      <c r="F25" s="20">
        <f>IF(D$12=0,0,D25/D$12)</f>
        <v>0.75997344908840903</v>
      </c>
      <c r="G25" s="14"/>
      <c r="H25" s="22">
        <f>H12-H20</f>
        <v>1265936.81</v>
      </c>
      <c r="I25" s="14"/>
      <c r="J25" s="20">
        <f>IF(H$12=0,0,H25/H$12)</f>
        <v>0.74759621057281367</v>
      </c>
      <c r="K25" s="16"/>
      <c r="L25" s="22">
        <f>+D25-H25</f>
        <v>3710.5299999997951</v>
      </c>
      <c r="M25" s="16"/>
      <c r="N25" s="20">
        <f>IF(H25=0,0,L25/H25)</f>
        <v>2.9310546708881898E-3</v>
      </c>
      <c r="O25" s="29"/>
      <c r="P25" s="22">
        <f>P12-P20</f>
        <v>3135894.0700000003</v>
      </c>
      <c r="Q25" s="14"/>
      <c r="R25" s="20">
        <f>IF(P$12=0,0,P25/P$12)</f>
        <v>0.75637253264531279</v>
      </c>
      <c r="S25" s="14"/>
      <c r="T25" s="22">
        <f>T12-T20</f>
        <v>3043512.41</v>
      </c>
      <c r="U25" s="14"/>
      <c r="V25" s="20">
        <f>IF(T$12=0,0,T25/T$12)</f>
        <v>0.73097553793792014</v>
      </c>
      <c r="W25" s="16"/>
      <c r="X25" s="22">
        <f>+P25-T25</f>
        <v>92381.660000000149</v>
      </c>
      <c r="Y25" s="16"/>
      <c r="Z25" s="20">
        <f>IF(T25=0,0,X25/T25)</f>
        <v>3.0353633419224382E-2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670705.33000000019</v>
      </c>
      <c r="E27" s="21"/>
      <c r="F27" s="35">
        <f t="shared" ref="F27:F38" si="12">IF(D$12=0,0,D27/D$12)</f>
        <v>0.40146442787969755</v>
      </c>
      <c r="G27" s="21"/>
      <c r="H27" s="21">
        <f>SUM(OSRRefH22x_0)</f>
        <v>636631.68637668225</v>
      </c>
      <c r="I27" s="21"/>
      <c r="J27" s="35">
        <f t="shared" ref="J27:J38" si="13">IF(H$12=0,0,H27/H$12)</f>
        <v>0.37596144808032528</v>
      </c>
      <c r="K27" s="4"/>
      <c r="L27" s="21">
        <f t="shared" ref="L27:L38" si="14">+D27-H27</f>
        <v>34073.643623317941</v>
      </c>
      <c r="M27" s="4"/>
      <c r="N27" s="35">
        <f t="shared" ref="N27:N38" si="15">IF(H27=0,0,L27/H27)</f>
        <v>5.3521752612164589E-2</v>
      </c>
      <c r="O27" s="10"/>
      <c r="P27" s="21">
        <f>SUM(OSRRefP22x_0)</f>
        <v>2015382.8599999994</v>
      </c>
      <c r="Q27" s="21"/>
      <c r="R27" s="35">
        <f t="shared" ref="R27:R38" si="16">IF(P$12=0,0,P27/P$12)</f>
        <v>0.4861070572030366</v>
      </c>
      <c r="S27" s="21"/>
      <c r="T27" s="21">
        <f>SUM(OSRRefT22x_0)</f>
        <v>1986718.423373919</v>
      </c>
      <c r="U27" s="21"/>
      <c r="V27" s="35">
        <f t="shared" ref="V27:V38" si="17">IF(T$12=0,0,T27/T$12)</f>
        <v>0.47716006134403338</v>
      </c>
      <c r="W27" s="4"/>
      <c r="X27" s="21">
        <f t="shared" ref="X27:X38" si="18">+P27-T27</f>
        <v>28664.436626080424</v>
      </c>
      <c r="Y27" s="4"/>
      <c r="Z27" s="35">
        <f t="shared" ref="Z27:Z38" si="19">IF(T27=0,0,X27/T27)</f>
        <v>1.4428031818118147E-2</v>
      </c>
    </row>
    <row r="28" spans="1:26" s="26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97986.090000000026</v>
      </c>
      <c r="E28" s="1"/>
      <c r="F28" s="5">
        <f t="shared" si="12"/>
        <v>5.8651583344385458E-2</v>
      </c>
      <c r="G28" s="1"/>
      <c r="H28" s="1">
        <f>SUM(OSRRefH22_0x_0)</f>
        <v>98487.161948220761</v>
      </c>
      <c r="I28" s="1"/>
      <c r="J28" s="5">
        <f t="shared" si="13"/>
        <v>5.8161377788328035E-2</v>
      </c>
      <c r="K28" s="1"/>
      <c r="L28" s="1">
        <f t="shared" si="14"/>
        <v>-501.07194822073507</v>
      </c>
      <c r="M28" s="1"/>
      <c r="N28" s="5">
        <f t="shared" si="15"/>
        <v>-5.087687961646937E-3</v>
      </c>
      <c r="O28" s="13"/>
      <c r="P28" s="1">
        <f>SUM(OSRRefP22_0x_0)</f>
        <v>375221.4</v>
      </c>
      <c r="Q28" s="1"/>
      <c r="R28" s="5">
        <f t="shared" si="16"/>
        <v>9.0502789407270995E-2</v>
      </c>
      <c r="S28" s="1"/>
      <c r="T28" s="1">
        <f>SUM(OSRRefT22_0x_0)</f>
        <v>360353.80963745754</v>
      </c>
      <c r="U28" s="1"/>
      <c r="V28" s="5">
        <f t="shared" si="17"/>
        <v>8.6547969701795749E-2</v>
      </c>
      <c r="W28" s="1"/>
      <c r="X28" s="1">
        <f t="shared" si="18"/>
        <v>14867.590362542483</v>
      </c>
      <c r="Y28" s="1"/>
      <c r="Z28" s="5">
        <f t="shared" si="19"/>
        <v>4.1258313260238245E-2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22320.400000000001</v>
      </c>
      <c r="E29" s="2"/>
      <c r="F29" s="7">
        <f t="shared" si="12"/>
        <v>1.336033309299331E-2</v>
      </c>
      <c r="G29" s="2"/>
      <c r="H29" s="6">
        <v>14717.595086005391</v>
      </c>
      <c r="I29" s="2"/>
      <c r="J29" s="7">
        <f t="shared" si="13"/>
        <v>8.6914435445183819E-3</v>
      </c>
      <c r="K29" s="2"/>
      <c r="L29" s="6">
        <f t="shared" si="14"/>
        <v>7602.8049139946106</v>
      </c>
      <c r="M29" s="2"/>
      <c r="N29" s="7">
        <f t="shared" si="15"/>
        <v>0.51657929638409039</v>
      </c>
      <c r="O29" s="11"/>
      <c r="P29" s="6">
        <v>61464.33</v>
      </c>
      <c r="Q29" s="2"/>
      <c r="R29" s="7">
        <f t="shared" si="16"/>
        <v>1.4825096100726156E-2</v>
      </c>
      <c r="S29" s="2"/>
      <c r="T29" s="6">
        <v>57401.2286805314</v>
      </c>
      <c r="U29" s="2"/>
      <c r="V29" s="7">
        <f t="shared" si="17"/>
        <v>1.3786339058512006E-2</v>
      </c>
      <c r="W29" s="2"/>
      <c r="X29" s="6">
        <f t="shared" si="18"/>
        <v>4063.101319468602</v>
      </c>
      <c r="Y29" s="2"/>
      <c r="Z29" s="7">
        <f t="shared" si="19"/>
        <v>7.078422209534814E-2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-1828.23</v>
      </c>
      <c r="E30" s="2"/>
      <c r="F30" s="7">
        <f t="shared" si="12"/>
        <v>-1.0943245537984605E-3</v>
      </c>
      <c r="G30" s="2"/>
      <c r="H30" s="6">
        <v>13137.320638276919</v>
      </c>
      <c r="I30" s="2"/>
      <c r="J30" s="7">
        <f t="shared" si="13"/>
        <v>7.7582159304269236E-3</v>
      </c>
      <c r="K30" s="2"/>
      <c r="L30" s="6">
        <f t="shared" si="14"/>
        <v>-14965.550638276918</v>
      </c>
      <c r="M30" s="2"/>
      <c r="N30" s="7">
        <f t="shared" si="15"/>
        <v>-1.1391630797739127</v>
      </c>
      <c r="O30" s="11"/>
      <c r="P30" s="6">
        <v>23387.24</v>
      </c>
      <c r="Q30" s="2"/>
      <c r="R30" s="7">
        <f t="shared" si="16"/>
        <v>5.6409641255464231E-3</v>
      </c>
      <c r="S30" s="2"/>
      <c r="T30" s="6">
        <v>41278.553902036932</v>
      </c>
      <c r="U30" s="2"/>
      <c r="V30" s="7">
        <f t="shared" si="17"/>
        <v>9.9140759356525429E-3</v>
      </c>
      <c r="W30" s="2"/>
      <c r="X30" s="6">
        <f t="shared" si="18"/>
        <v>-17891.313902036931</v>
      </c>
      <c r="Y30" s="2"/>
      <c r="Z30" s="7">
        <f t="shared" si="19"/>
        <v>-0.43342879560405495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45068.950000000004</v>
      </c>
      <c r="E31" s="2"/>
      <c r="F31" s="7">
        <f t="shared" si="12"/>
        <v>2.6976944147571767E-2</v>
      </c>
      <c r="G31" s="2"/>
      <c r="H31" s="6">
        <v>49894.692307692305</v>
      </c>
      <c r="I31" s="2"/>
      <c r="J31" s="7">
        <f t="shared" si="13"/>
        <v>2.9465201266189015E-2</v>
      </c>
      <c r="K31" s="2"/>
      <c r="L31" s="6">
        <f t="shared" si="14"/>
        <v>-4825.7423076923005</v>
      </c>
      <c r="M31" s="2"/>
      <c r="N31" s="7">
        <f t="shared" si="15"/>
        <v>-9.6718550300555955E-2</v>
      </c>
      <c r="O31" s="11"/>
      <c r="P31" s="6">
        <v>180781.84</v>
      </c>
      <c r="Q31" s="2"/>
      <c r="R31" s="7">
        <f t="shared" si="16"/>
        <v>4.3604284814722616E-2</v>
      </c>
      <c r="S31" s="2"/>
      <c r="T31" s="6">
        <v>191179.92307692301</v>
      </c>
      <c r="U31" s="2"/>
      <c r="V31" s="7">
        <f t="shared" si="17"/>
        <v>4.5916634561737821E-2</v>
      </c>
      <c r="W31" s="2"/>
      <c r="X31" s="6">
        <f t="shared" si="18"/>
        <v>-10398.083076923009</v>
      </c>
      <c r="Y31" s="2"/>
      <c r="Z31" s="7">
        <f t="shared" si="19"/>
        <v>-5.4388990797633305E-2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852.72</v>
      </c>
      <c r="E32" s="2"/>
      <c r="F32" s="7">
        <f t="shared" si="12"/>
        <v>5.1041304076348344E-4</v>
      </c>
      <c r="G32" s="2"/>
      <c r="H32" s="6">
        <v>883.98463040000001</v>
      </c>
      <c r="I32" s="2"/>
      <c r="J32" s="7">
        <f t="shared" si="13"/>
        <v>5.2203518743692212E-4</v>
      </c>
      <c r="K32" s="2"/>
      <c r="L32" s="6">
        <f t="shared" si="14"/>
        <v>-31.264630399999987</v>
      </c>
      <c r="M32" s="2"/>
      <c r="N32" s="7">
        <f t="shared" si="15"/>
        <v>-3.5367843879653034E-2</v>
      </c>
      <c r="O32" s="11"/>
      <c r="P32" s="6">
        <v>2548.9499999999998</v>
      </c>
      <c r="Q32" s="2"/>
      <c r="R32" s="7">
        <f t="shared" si="16"/>
        <v>6.1480258071544796E-4</v>
      </c>
      <c r="S32" s="2"/>
      <c r="T32" s="6">
        <v>2774.5125429199998</v>
      </c>
      <c r="U32" s="2"/>
      <c r="V32" s="7">
        <f t="shared" si="17"/>
        <v>6.6636849973496681E-4</v>
      </c>
      <c r="W32" s="2"/>
      <c r="X32" s="6">
        <f t="shared" si="18"/>
        <v>-225.56254291999994</v>
      </c>
      <c r="Y32" s="2"/>
      <c r="Z32" s="7">
        <f t="shared" si="19"/>
        <v>-8.1298080088190755E-2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5810.19</v>
      </c>
      <c r="E33" s="2"/>
      <c r="F33" s="7">
        <f t="shared" si="12"/>
        <v>3.4778083606735897E-3</v>
      </c>
      <c r="G33" s="2"/>
      <c r="H33" s="6">
        <v>4552.785098923081</v>
      </c>
      <c r="I33" s="2"/>
      <c r="J33" s="7">
        <f t="shared" si="13"/>
        <v>2.688637268954418E-3</v>
      </c>
      <c r="K33" s="2"/>
      <c r="L33" s="6">
        <f t="shared" si="14"/>
        <v>1257.4049010769186</v>
      </c>
      <c r="M33" s="2"/>
      <c r="N33" s="7">
        <f t="shared" si="15"/>
        <v>0.27618367082038331</v>
      </c>
      <c r="O33" s="11"/>
      <c r="P33" s="6">
        <v>17950.59</v>
      </c>
      <c r="Q33" s="2"/>
      <c r="R33" s="7">
        <f t="shared" si="16"/>
        <v>4.3296530168755428E-3</v>
      </c>
      <c r="S33" s="2"/>
      <c r="T33" s="6">
        <v>16390.026356123089</v>
      </c>
      <c r="U33" s="2"/>
      <c r="V33" s="7">
        <f t="shared" si="17"/>
        <v>3.9364742831732901E-3</v>
      </c>
      <c r="W33" s="2"/>
      <c r="X33" s="6">
        <f t="shared" si="18"/>
        <v>1560.5636438769106</v>
      </c>
      <c r="Y33" s="2"/>
      <c r="Z33" s="7">
        <f t="shared" si="19"/>
        <v>9.5214224185423926E-2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1660.24</v>
      </c>
      <c r="E35" s="2"/>
      <c r="F35" s="7">
        <f t="shared" si="12"/>
        <v>9.9377069471475485E-4</v>
      </c>
      <c r="G35" s="2"/>
      <c r="H35" s="6"/>
      <c r="I35" s="2"/>
      <c r="J35" s="7">
        <f t="shared" si="13"/>
        <v>0</v>
      </c>
      <c r="K35" s="2"/>
      <c r="L35" s="6">
        <f t="shared" si="14"/>
        <v>1660.24</v>
      </c>
      <c r="M35" s="2"/>
      <c r="N35" s="7">
        <f t="shared" si="15"/>
        <v>0</v>
      </c>
      <c r="O35" s="11"/>
      <c r="P35" s="6">
        <v>6493.02</v>
      </c>
      <c r="Q35" s="2"/>
      <c r="R35" s="7">
        <f t="shared" si="16"/>
        <v>1.5661058289244663E-3</v>
      </c>
      <c r="S35" s="2"/>
      <c r="T35" s="6"/>
      <c r="U35" s="2"/>
      <c r="V35" s="7">
        <f t="shared" si="17"/>
        <v>0</v>
      </c>
      <c r="W35" s="2"/>
      <c r="X35" s="6">
        <f t="shared" si="18"/>
        <v>6493.02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11742.66</v>
      </c>
      <c r="E36" s="2"/>
      <c r="F36" s="7">
        <f t="shared" si="12"/>
        <v>7.0288099226612786E-3</v>
      </c>
      <c r="G36" s="2"/>
      <c r="H36" s="6">
        <v>4393.9276284615353</v>
      </c>
      <c r="I36" s="2"/>
      <c r="J36" s="7">
        <f t="shared" si="13"/>
        <v>2.5948243376926797E-3</v>
      </c>
      <c r="K36" s="2"/>
      <c r="L36" s="6">
        <f t="shared" si="14"/>
        <v>7348.7323715384646</v>
      </c>
      <c r="M36" s="2"/>
      <c r="N36" s="7">
        <f t="shared" si="15"/>
        <v>1.6724746042554888</v>
      </c>
      <c r="O36" s="11"/>
      <c r="P36" s="6">
        <v>37704.839999999997</v>
      </c>
      <c r="Q36" s="2"/>
      <c r="R36" s="7">
        <f t="shared" si="16"/>
        <v>9.0943458826038374E-3</v>
      </c>
      <c r="S36" s="2"/>
      <c r="T36" s="6">
        <v>16223.784774461536</v>
      </c>
      <c r="U36" s="2"/>
      <c r="V36" s="7">
        <f t="shared" si="17"/>
        <v>3.8965472143092255E-3</v>
      </c>
      <c r="W36" s="2"/>
      <c r="X36" s="6">
        <f t="shared" si="18"/>
        <v>21481.055225538461</v>
      </c>
      <c r="Y36" s="2"/>
      <c r="Z36" s="7">
        <f t="shared" si="19"/>
        <v>1.3240471027051957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7887.78</v>
      </c>
      <c r="E37" s="2"/>
      <c r="F37" s="7">
        <f t="shared" si="12"/>
        <v>4.7213924555227849E-3</v>
      </c>
      <c r="G37" s="2"/>
      <c r="H37" s="6">
        <v>9406.8565584615408</v>
      </c>
      <c r="I37" s="2"/>
      <c r="J37" s="7">
        <f t="shared" si="13"/>
        <v>5.5551985383124041E-3</v>
      </c>
      <c r="K37" s="2"/>
      <c r="L37" s="6">
        <f t="shared" si="14"/>
        <v>-1519.076558461541</v>
      </c>
      <c r="M37" s="2"/>
      <c r="N37" s="7">
        <f t="shared" si="15"/>
        <v>-0.16148609782883527</v>
      </c>
      <c r="O37" s="11"/>
      <c r="P37" s="6">
        <v>30711.11</v>
      </c>
      <c r="Q37" s="2"/>
      <c r="R37" s="7">
        <f t="shared" si="16"/>
        <v>7.407469618719866E-3</v>
      </c>
      <c r="S37" s="2"/>
      <c r="T37" s="6">
        <v>29105.780304461539</v>
      </c>
      <c r="U37" s="2"/>
      <c r="V37" s="7">
        <f t="shared" si="17"/>
        <v>6.9904802573670767E-3</v>
      </c>
      <c r="W37" s="2"/>
      <c r="X37" s="6">
        <f t="shared" si="18"/>
        <v>1605.3296955384612</v>
      </c>
      <c r="Y37" s="2"/>
      <c r="Z37" s="7">
        <f t="shared" si="19"/>
        <v>5.5155013153603202E-2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4471.38</v>
      </c>
      <c r="E38" s="2"/>
      <c r="F38" s="7">
        <f t="shared" si="12"/>
        <v>2.6764361832829352E-3</v>
      </c>
      <c r="G38" s="2"/>
      <c r="H38" s="6">
        <v>1500</v>
      </c>
      <c r="I38" s="2"/>
      <c r="J38" s="7">
        <f t="shared" si="13"/>
        <v>8.8582171479729738E-4</v>
      </c>
      <c r="K38" s="2"/>
      <c r="L38" s="6">
        <f t="shared" si="14"/>
        <v>2971.38</v>
      </c>
      <c r="M38" s="2"/>
      <c r="N38" s="7">
        <f t="shared" si="15"/>
        <v>1.98092</v>
      </c>
      <c r="O38" s="11"/>
      <c r="P38" s="6">
        <v>14179.48</v>
      </c>
      <c r="Q38" s="2"/>
      <c r="R38" s="7">
        <f t="shared" si="16"/>
        <v>3.4200674384366426E-3</v>
      </c>
      <c r="S38" s="2"/>
      <c r="T38" s="6">
        <v>6000</v>
      </c>
      <c r="U38" s="2"/>
      <c r="V38" s="7">
        <f t="shared" si="17"/>
        <v>1.4410498913088119E-3</v>
      </c>
      <c r="W38" s="2"/>
      <c r="X38" s="6">
        <f t="shared" si="18"/>
        <v>8179.48</v>
      </c>
      <c r="Y38" s="2"/>
      <c r="Z38" s="7">
        <f t="shared" si="19"/>
        <v>1.3632466666666665</v>
      </c>
    </row>
    <row r="39" spans="1:26" s="26" customFormat="1" outlineLevel="1" collapsed="1" x14ac:dyDescent="0.25">
      <c r="A39" s="25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361091.98000000004</v>
      </c>
      <c r="E39" s="1"/>
      <c r="F39" s="5">
        <f t="shared" ref="F39:F49" si="20">IF(D$12=0,0,D39/D$12)</f>
        <v>0.21613900870990119</v>
      </c>
      <c r="G39" s="1"/>
      <c r="H39" s="1">
        <f>SUM(OSRRefH22_1x_0)</f>
        <v>328376.52442846145</v>
      </c>
      <c r="I39" s="1"/>
      <c r="J39" s="5">
        <f t="shared" ref="J39:J49" si="21">IF(H$12=0,0,H39/H$12)</f>
        <v>0.19392203731226423</v>
      </c>
      <c r="K39" s="1"/>
      <c r="L39" s="1">
        <f t="shared" ref="L39:L49" si="22">+D39-H39</f>
        <v>32715.455571538594</v>
      </c>
      <c r="M39" s="1"/>
      <c r="N39" s="5">
        <f t="shared" ref="N39:N49" si="23">IF(H39=0,0,L39/H39)</f>
        <v>9.9627875739533342E-2</v>
      </c>
      <c r="O39" s="13"/>
      <c r="P39" s="1">
        <f>SUM(OSRRefP22_1x_0)</f>
        <v>1049822.1400000001</v>
      </c>
      <c r="Q39" s="1"/>
      <c r="R39" s="5">
        <f t="shared" ref="R39:R49" si="24">IF(P$12=0,0,P39/P$12)</f>
        <v>0.25321538710614744</v>
      </c>
      <c r="S39" s="1"/>
      <c r="T39" s="1">
        <f>SUM(OSRRefT22_1x_0)</f>
        <v>1028786.6137364614</v>
      </c>
      <c r="U39" s="1"/>
      <c r="V39" s="5">
        <f t="shared" ref="V39:V49" si="25">IF(T$12=0,0,T39/T$12)</f>
        <v>0.2470888063174814</v>
      </c>
      <c r="W39" s="1"/>
      <c r="X39" s="1">
        <f t="shared" ref="X39:X49" si="26">+P39-T39</f>
        <v>21035.526263538748</v>
      </c>
      <c r="Y39" s="1"/>
      <c r="Z39" s="5">
        <f t="shared" ref="Z39:Z49" si="27">IF(T39=0,0,X39/T39)</f>
        <v>2.0446928432650956E-2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>
        <v>8959.81</v>
      </c>
      <c r="E40" s="2"/>
      <c r="F40" s="7">
        <f t="shared" si="20"/>
        <v>5.3630779936709189E-3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8959.81</v>
      </c>
      <c r="M40" s="2"/>
      <c r="N40" s="7">
        <f t="shared" si="23"/>
        <v>0</v>
      </c>
      <c r="O40" s="11"/>
      <c r="P40" s="6">
        <v>30136.659999999996</v>
      </c>
      <c r="Q40" s="2"/>
      <c r="R40" s="7">
        <f t="shared" si="24"/>
        <v>7.2689132160866279E-3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30136.659999999996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43549.16</v>
      </c>
      <c r="E41" s="2"/>
      <c r="F41" s="7">
        <f t="shared" si="20"/>
        <v>2.606724268024142E-2</v>
      </c>
      <c r="G41" s="2"/>
      <c r="H41" s="6">
        <v>49598.673718461454</v>
      </c>
      <c r="I41" s="2"/>
      <c r="J41" s="7">
        <f t="shared" si="21"/>
        <v>2.929038813663945E-2</v>
      </c>
      <c r="K41" s="2"/>
      <c r="L41" s="6">
        <f t="shared" si="22"/>
        <v>-6049.5137184614505</v>
      </c>
      <c r="M41" s="2"/>
      <c r="N41" s="7">
        <f t="shared" si="23"/>
        <v>-0.12196926379121546</v>
      </c>
      <c r="O41" s="11"/>
      <c r="P41" s="6">
        <v>164138.48000000001</v>
      </c>
      <c r="Q41" s="2"/>
      <c r="R41" s="7">
        <f t="shared" si="24"/>
        <v>3.9589933540756371E-2</v>
      </c>
      <c r="S41" s="2"/>
      <c r="T41" s="6">
        <v>178555.22538646136</v>
      </c>
      <c r="U41" s="2"/>
      <c r="V41" s="7">
        <f t="shared" si="25"/>
        <v>4.2884498022630092E-2</v>
      </c>
      <c r="W41" s="2"/>
      <c r="X41" s="6">
        <f t="shared" si="26"/>
        <v>-14416.745386461349</v>
      </c>
      <c r="Y41" s="2"/>
      <c r="Z41" s="7">
        <f t="shared" si="27"/>
        <v>-8.0741100436898638E-2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95873.61</v>
      </c>
      <c r="E43" s="2"/>
      <c r="F43" s="7">
        <f t="shared" si="20"/>
        <v>5.7387115124627436E-2</v>
      </c>
      <c r="G43" s="2"/>
      <c r="H43" s="6">
        <v>88534.626440000007</v>
      </c>
      <c r="I43" s="2"/>
      <c r="J43" s="7">
        <f t="shared" si="21"/>
        <v>5.2283929741345971E-2</v>
      </c>
      <c r="K43" s="2"/>
      <c r="L43" s="6">
        <f t="shared" si="22"/>
        <v>7338.9835599999933</v>
      </c>
      <c r="M43" s="2"/>
      <c r="N43" s="7">
        <f t="shared" si="23"/>
        <v>8.2893934894203561E-2</v>
      </c>
      <c r="O43" s="11"/>
      <c r="P43" s="6">
        <v>242795.09</v>
      </c>
      <c r="Q43" s="2"/>
      <c r="R43" s="7">
        <f t="shared" si="24"/>
        <v>5.8561779523740941E-2</v>
      </c>
      <c r="S43" s="2"/>
      <c r="T43" s="6">
        <v>335043.17096000002</v>
      </c>
      <c r="U43" s="2"/>
      <c r="V43" s="7">
        <f t="shared" si="25"/>
        <v>8.0468987515944626E-2</v>
      </c>
      <c r="W43" s="2"/>
      <c r="X43" s="6">
        <f t="shared" si="26"/>
        <v>-92248.080960000021</v>
      </c>
      <c r="Y43" s="2"/>
      <c r="Z43" s="7">
        <f t="shared" si="27"/>
        <v>-0.27533192422839531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77454.960000000006</v>
      </c>
      <c r="E44" s="2"/>
      <c r="F44" s="7">
        <f t="shared" si="20"/>
        <v>4.6362254498327676E-2</v>
      </c>
      <c r="G44" s="2"/>
      <c r="H44" s="6">
        <v>36232.06177</v>
      </c>
      <c r="I44" s="2"/>
      <c r="J44" s="7">
        <f t="shared" si="21"/>
        <v>2.1396764725162002E-2</v>
      </c>
      <c r="K44" s="2"/>
      <c r="L44" s="6">
        <f t="shared" si="22"/>
        <v>41222.898230000006</v>
      </c>
      <c r="M44" s="2"/>
      <c r="N44" s="7">
        <f t="shared" si="23"/>
        <v>1.1377464106702424</v>
      </c>
      <c r="O44" s="11"/>
      <c r="P44" s="6">
        <v>196022.29</v>
      </c>
      <c r="Q44" s="2"/>
      <c r="R44" s="7">
        <f t="shared" si="24"/>
        <v>4.7280256485906731E-2</v>
      </c>
      <c r="S44" s="2"/>
      <c r="T44" s="6">
        <v>97390.169890000005</v>
      </c>
      <c r="U44" s="2"/>
      <c r="V44" s="7">
        <f t="shared" si="25"/>
        <v>2.3390682289088541E-2</v>
      </c>
      <c r="W44" s="2"/>
      <c r="X44" s="6">
        <f t="shared" si="26"/>
        <v>98632.120110000003</v>
      </c>
      <c r="Y44" s="2"/>
      <c r="Z44" s="7">
        <f t="shared" si="27"/>
        <v>1.0127523159822265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>
        <v>6584.06</v>
      </c>
      <c r="E45" s="2"/>
      <c r="F45" s="7">
        <f t="shared" si="20"/>
        <v>3.9410241171418765E-3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6584.06</v>
      </c>
      <c r="M45" s="2"/>
      <c r="N45" s="7">
        <f t="shared" si="23"/>
        <v>0</v>
      </c>
      <c r="O45" s="11"/>
      <c r="P45" s="6">
        <v>23526.289999999997</v>
      </c>
      <c r="Q45" s="2"/>
      <c r="R45" s="7">
        <f t="shared" si="24"/>
        <v>5.6745027586496541E-3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23526.289999999997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92482.880000000005</v>
      </c>
      <c r="E46" s="2"/>
      <c r="F46" s="7">
        <f t="shared" si="20"/>
        <v>5.5357524157243113E-2</v>
      </c>
      <c r="G46" s="2"/>
      <c r="H46" s="6">
        <v>45450.5625</v>
      </c>
      <c r="I46" s="2"/>
      <c r="J46" s="7">
        <f t="shared" si="21"/>
        <v>2.6840730141501162E-2</v>
      </c>
      <c r="K46" s="2"/>
      <c r="L46" s="6">
        <f t="shared" si="22"/>
        <v>47032.317500000005</v>
      </c>
      <c r="M46" s="2"/>
      <c r="N46" s="7">
        <f t="shared" si="23"/>
        <v>1.0348016594954135</v>
      </c>
      <c r="O46" s="11"/>
      <c r="P46" s="6">
        <v>313152.82999999996</v>
      </c>
      <c r="Q46" s="2"/>
      <c r="R46" s="7">
        <f t="shared" si="24"/>
        <v>7.5531951604521835E-2</v>
      </c>
      <c r="S46" s="2"/>
      <c r="T46" s="6">
        <v>204522.405</v>
      </c>
      <c r="U46" s="2"/>
      <c r="V46" s="7">
        <f t="shared" si="25"/>
        <v>4.9121164915911134E-2</v>
      </c>
      <c r="W46" s="2"/>
      <c r="X46" s="6">
        <f t="shared" si="26"/>
        <v>108630.42499999996</v>
      </c>
      <c r="Y46" s="2"/>
      <c r="Z46" s="7">
        <f t="shared" si="27"/>
        <v>0.53114193039144031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>
        <v>36187.5</v>
      </c>
      <c r="E47" s="2"/>
      <c r="F47" s="7">
        <f t="shared" si="20"/>
        <v>2.1660770138648741E-2</v>
      </c>
      <c r="G47" s="2"/>
      <c r="H47" s="6">
        <v>108560.6</v>
      </c>
      <c r="I47" s="2"/>
      <c r="J47" s="7">
        <f t="shared" si="21"/>
        <v>6.4110224567615656E-2</v>
      </c>
      <c r="K47" s="2"/>
      <c r="L47" s="6">
        <f t="shared" si="22"/>
        <v>-72373.100000000006</v>
      </c>
      <c r="M47" s="2"/>
      <c r="N47" s="7">
        <f t="shared" si="23"/>
        <v>-0.66666083275147703</v>
      </c>
      <c r="O47" s="11"/>
      <c r="P47" s="6">
        <v>80050.5</v>
      </c>
      <c r="Q47" s="2"/>
      <c r="R47" s="7">
        <f t="shared" si="24"/>
        <v>1.9308049976485209E-2</v>
      </c>
      <c r="S47" s="2"/>
      <c r="T47" s="6">
        <v>213275.64249999999</v>
      </c>
      <c r="U47" s="2"/>
      <c r="V47" s="7">
        <f t="shared" si="25"/>
        <v>5.1223473573907004E-2</v>
      </c>
      <c r="W47" s="2"/>
      <c r="X47" s="6">
        <f t="shared" si="26"/>
        <v>-133225.14249999999</v>
      </c>
      <c r="Y47" s="2"/>
      <c r="Z47" s="7">
        <f t="shared" si="27"/>
        <v>-0.62466178011865559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6" customFormat="1" outlineLevel="1" collapsed="1" x14ac:dyDescent="0.25">
      <c r="A50" s="25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779.1</v>
      </c>
      <c r="E50" s="1"/>
      <c r="F50" s="5">
        <f t="shared" ref="F50:F54" si="28">IF(D$12=0,0,D50/D$12)</f>
        <v>4.6634628020784068E-4</v>
      </c>
      <c r="G50" s="1"/>
      <c r="H50" s="1">
        <f>SUM(OSRRefH22_2x_0)</f>
        <v>975</v>
      </c>
      <c r="I50" s="1"/>
      <c r="J50" s="5">
        <f t="shared" ref="J50:J54" si="29">IF(H$12=0,0,H50/H$12)</f>
        <v>5.7578411461824337E-4</v>
      </c>
      <c r="K50" s="1"/>
      <c r="L50" s="1">
        <f t="shared" ref="L50:L54" si="30">+D50-H50</f>
        <v>-195.89999999999998</v>
      </c>
      <c r="M50" s="1"/>
      <c r="N50" s="5">
        <f t="shared" ref="N50:N54" si="31">IF(H50=0,0,L50/H50)</f>
        <v>-0.2009230769230769</v>
      </c>
      <c r="O50" s="13"/>
      <c r="P50" s="1">
        <f>SUM(OSRRefP22_2x_0)</f>
        <v>7661.47</v>
      </c>
      <c r="Q50" s="1"/>
      <c r="R50" s="5">
        <f t="shared" ref="R50:R54" si="32">IF(P$12=0,0,P50/P$12)</f>
        <v>1.847934062289956E-3</v>
      </c>
      <c r="S50" s="1"/>
      <c r="T50" s="1">
        <f>SUM(OSRRefT22_2x_0)</f>
        <v>9950</v>
      </c>
      <c r="U50" s="1"/>
      <c r="V50" s="5">
        <f t="shared" ref="V50:V54" si="33">IF(T$12=0,0,T50/T$12)</f>
        <v>2.3897410697537799E-3</v>
      </c>
      <c r="W50" s="1"/>
      <c r="X50" s="1">
        <f t="shared" ref="X50:X54" si="34">+P50-T50</f>
        <v>-2288.5299999999997</v>
      </c>
      <c r="Y50" s="1"/>
      <c r="Z50" s="5">
        <f t="shared" ref="Z50:Z54" si="35">IF(T50=0,0,X50/T50)</f>
        <v>-0.23000301507537685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>
        <v>779.1</v>
      </c>
      <c r="E51" s="2"/>
      <c r="F51" s="7">
        <f t="shared" si="28"/>
        <v>4.6634628020784068E-4</v>
      </c>
      <c r="G51" s="2"/>
      <c r="H51" s="6">
        <v>975</v>
      </c>
      <c r="I51" s="2"/>
      <c r="J51" s="7">
        <f t="shared" si="29"/>
        <v>5.7578411461824337E-4</v>
      </c>
      <c r="K51" s="2"/>
      <c r="L51" s="6">
        <f t="shared" si="30"/>
        <v>-195.89999999999998</v>
      </c>
      <c r="M51" s="2"/>
      <c r="N51" s="7">
        <f t="shared" si="31"/>
        <v>-0.2009230769230769</v>
      </c>
      <c r="O51" s="11"/>
      <c r="P51" s="6">
        <v>7661.47</v>
      </c>
      <c r="Q51" s="2"/>
      <c r="R51" s="7">
        <f t="shared" si="32"/>
        <v>1.847934062289956E-3</v>
      </c>
      <c r="S51" s="2"/>
      <c r="T51" s="6">
        <v>9950</v>
      </c>
      <c r="U51" s="2"/>
      <c r="V51" s="7">
        <f t="shared" si="33"/>
        <v>2.3897410697537799E-3</v>
      </c>
      <c r="W51" s="2"/>
      <c r="X51" s="6">
        <f t="shared" si="34"/>
        <v>-2288.5299999999997</v>
      </c>
      <c r="Y51" s="2"/>
      <c r="Z51" s="7">
        <f t="shared" si="35"/>
        <v>-0.23000301507537685</v>
      </c>
    </row>
    <row r="52" spans="1:26" s="26" customFormat="1" outlineLevel="1" collapsed="1" x14ac:dyDescent="0.25">
      <c r="A52" s="25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12.74</v>
      </c>
      <c r="E52" s="1"/>
      <c r="F52" s="5">
        <f t="shared" si="28"/>
        <v>7.6257882298137474E-6</v>
      </c>
      <c r="G52" s="1"/>
      <c r="H52" s="1">
        <f>SUM(OSRRefH22_3x_0)</f>
        <v>113</v>
      </c>
      <c r="I52" s="1"/>
      <c r="J52" s="5">
        <f t="shared" si="29"/>
        <v>6.6731902514729734E-5</v>
      </c>
      <c r="K52" s="1"/>
      <c r="L52" s="1">
        <f t="shared" si="30"/>
        <v>-100.26</v>
      </c>
      <c r="M52" s="1"/>
      <c r="N52" s="5">
        <f t="shared" si="31"/>
        <v>-0.88725663716814163</v>
      </c>
      <c r="O52" s="13"/>
      <c r="P52" s="1">
        <f>SUM(OSRRefP22_3x_0)</f>
        <v>29.71</v>
      </c>
      <c r="Q52" s="1"/>
      <c r="R52" s="5">
        <f t="shared" si="32"/>
        <v>7.1660035202950077E-6</v>
      </c>
      <c r="S52" s="1"/>
      <c r="T52" s="1">
        <f>SUM(OSRRefT22_3x_0)</f>
        <v>384</v>
      </c>
      <c r="U52" s="1"/>
      <c r="V52" s="5">
        <f t="shared" si="33"/>
        <v>9.2227193043763967E-5</v>
      </c>
      <c r="W52" s="1"/>
      <c r="X52" s="1">
        <f t="shared" si="34"/>
        <v>-354.29</v>
      </c>
      <c r="Y52" s="1"/>
      <c r="Z52" s="5">
        <f t="shared" si="35"/>
        <v>-0.92263020833333342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12.74</v>
      </c>
      <c r="E53" s="2"/>
      <c r="F53" s="7">
        <f t="shared" si="28"/>
        <v>7.6257882298137474E-6</v>
      </c>
      <c r="G53" s="2"/>
      <c r="H53" s="6">
        <v>63</v>
      </c>
      <c r="I53" s="2"/>
      <c r="J53" s="7">
        <f t="shared" si="29"/>
        <v>3.7204512021486494E-5</v>
      </c>
      <c r="K53" s="2"/>
      <c r="L53" s="6">
        <f t="shared" si="30"/>
        <v>-50.26</v>
      </c>
      <c r="M53" s="2"/>
      <c r="N53" s="7">
        <f t="shared" si="31"/>
        <v>-0.7977777777777777</v>
      </c>
      <c r="O53" s="11"/>
      <c r="P53" s="6">
        <v>29.71</v>
      </c>
      <c r="Q53" s="2"/>
      <c r="R53" s="7">
        <f t="shared" si="32"/>
        <v>7.1660035202950077E-6</v>
      </c>
      <c r="S53" s="2"/>
      <c r="T53" s="6">
        <v>234</v>
      </c>
      <c r="U53" s="2"/>
      <c r="V53" s="7">
        <f t="shared" si="33"/>
        <v>5.6200945761043669E-5</v>
      </c>
      <c r="W53" s="2"/>
      <c r="X53" s="6">
        <f t="shared" si="34"/>
        <v>-204.29</v>
      </c>
      <c r="Y53" s="2"/>
      <c r="Z53" s="7">
        <f t="shared" si="35"/>
        <v>-0.87303418803418797</v>
      </c>
    </row>
    <row r="54" spans="1:26" s="24" customFormat="1" hidden="1" outlineLevel="2" x14ac:dyDescent="0.25">
      <c r="A54" s="27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2.9527390493243247E-5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150</v>
      </c>
      <c r="U54" s="2"/>
      <c r="V54" s="7">
        <f t="shared" si="33"/>
        <v>3.6026247282720298E-5</v>
      </c>
      <c r="W54" s="2"/>
      <c r="X54" s="6">
        <f t="shared" si="34"/>
        <v>-150</v>
      </c>
      <c r="Y54" s="2"/>
      <c r="Z54" s="7">
        <f t="shared" si="35"/>
        <v>-1</v>
      </c>
    </row>
    <row r="55" spans="1:26" s="26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758.13</v>
      </c>
      <c r="E55" s="1"/>
      <c r="F55" s="5">
        <f t="shared" ref="F55:F59" si="36">IF(D$12=0,0,D55/D$12)</f>
        <v>4.5379425672438745E-4</v>
      </c>
      <c r="G55" s="1"/>
      <c r="H55" s="1">
        <f>SUM(OSRRefH22_4x_0)</f>
        <v>453</v>
      </c>
      <c r="I55" s="1"/>
      <c r="J55" s="5">
        <f t="shared" ref="J55:J59" si="37">IF(H$12=0,0,H55/H$12)</f>
        <v>2.6751815786878381E-4</v>
      </c>
      <c r="K55" s="1"/>
      <c r="L55" s="1">
        <f t="shared" ref="L55:L59" si="38">+D55-H55</f>
        <v>305.13</v>
      </c>
      <c r="M55" s="1"/>
      <c r="N55" s="5">
        <f t="shared" ref="N55:N59" si="39">IF(H55=0,0,L55/H55)</f>
        <v>0.67357615894039735</v>
      </c>
      <c r="O55" s="13"/>
      <c r="P55" s="1">
        <f>SUM(OSRRefP22_4x_0)</f>
        <v>1744.13</v>
      </c>
      <c r="Q55" s="1"/>
      <c r="R55" s="5">
        <f t="shared" ref="R55:R59" si="40">IF(P$12=0,0,P55/P$12)</f>
        <v>4.2068130999165713E-4</v>
      </c>
      <c r="S55" s="1"/>
      <c r="T55" s="1">
        <f>SUM(OSRRefT22_4x_0)</f>
        <v>1733</v>
      </c>
      <c r="U55" s="1"/>
      <c r="V55" s="5">
        <f t="shared" ref="V55:V59" si="41">IF(T$12=0,0,T55/T$12)</f>
        <v>4.1622324360636182E-4</v>
      </c>
      <c r="W55" s="1"/>
      <c r="X55" s="1">
        <f t="shared" ref="X55:X59" si="42">+P55-T55</f>
        <v>11.130000000000109</v>
      </c>
      <c r="Y55" s="1"/>
      <c r="Z55" s="5">
        <f t="shared" ref="Z55:Z59" si="43">IF(T55=0,0,X55/T55)</f>
        <v>6.4223889209463992E-3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758.13</v>
      </c>
      <c r="E56" s="2"/>
      <c r="F56" s="7">
        <f t="shared" si="36"/>
        <v>4.5379425672438745E-4</v>
      </c>
      <c r="G56" s="2"/>
      <c r="H56" s="6">
        <v>453</v>
      </c>
      <c r="I56" s="2"/>
      <c r="J56" s="7">
        <f t="shared" si="37"/>
        <v>2.6751815786878381E-4</v>
      </c>
      <c r="K56" s="2"/>
      <c r="L56" s="6">
        <f t="shared" si="38"/>
        <v>305.13</v>
      </c>
      <c r="M56" s="2"/>
      <c r="N56" s="7">
        <f t="shared" si="39"/>
        <v>0.67357615894039735</v>
      </c>
      <c r="O56" s="11"/>
      <c r="P56" s="6">
        <v>1744.13</v>
      </c>
      <c r="Q56" s="2"/>
      <c r="R56" s="7">
        <f t="shared" si="40"/>
        <v>4.2068130999165713E-4</v>
      </c>
      <c r="S56" s="2"/>
      <c r="T56" s="6">
        <v>1733</v>
      </c>
      <c r="U56" s="2"/>
      <c r="V56" s="7">
        <f t="shared" si="41"/>
        <v>4.1622324360636182E-4</v>
      </c>
      <c r="W56" s="2"/>
      <c r="X56" s="6">
        <f t="shared" si="42"/>
        <v>11.130000000000109</v>
      </c>
      <c r="Y56" s="2"/>
      <c r="Z56" s="7">
        <f t="shared" si="43"/>
        <v>6.4223889209463992E-3</v>
      </c>
    </row>
    <row r="57" spans="1:26" s="26" customFormat="1" outlineLevel="1" collapsed="1" x14ac:dyDescent="0.25">
      <c r="A57" s="25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23519</v>
      </c>
      <c r="E57" s="1"/>
      <c r="F57" s="5">
        <f t="shared" si="36"/>
        <v>1.4077779699920684E-2</v>
      </c>
      <c r="G57" s="1"/>
      <c r="H57" s="1">
        <f>SUM(OSRRefH22_5x_0)</f>
        <v>18737</v>
      </c>
      <c r="I57" s="1"/>
      <c r="J57" s="5">
        <f t="shared" si="37"/>
        <v>1.1065094313437975E-2</v>
      </c>
      <c r="K57" s="1"/>
      <c r="L57" s="1">
        <f t="shared" si="38"/>
        <v>4782</v>
      </c>
      <c r="M57" s="1"/>
      <c r="N57" s="5">
        <f t="shared" si="39"/>
        <v>0.25521695041895714</v>
      </c>
      <c r="O57" s="13"/>
      <c r="P57" s="1">
        <f>SUM(OSRRefP22_5x_0)</f>
        <v>50115.75</v>
      </c>
      <c r="Q57" s="1"/>
      <c r="R57" s="5">
        <f t="shared" si="40"/>
        <v>1.2087837122929133E-2</v>
      </c>
      <c r="S57" s="1"/>
      <c r="T57" s="1">
        <f>SUM(OSRRefT22_5x_0)</f>
        <v>44774</v>
      </c>
      <c r="U57" s="1"/>
      <c r="V57" s="5">
        <f t="shared" si="41"/>
        <v>1.0753594638910124E-2</v>
      </c>
      <c r="W57" s="1"/>
      <c r="X57" s="1">
        <f t="shared" si="42"/>
        <v>5341.75</v>
      </c>
      <c r="Y57" s="1"/>
      <c r="Z57" s="5">
        <f t="shared" si="43"/>
        <v>0.11930473042390673</v>
      </c>
    </row>
    <row r="58" spans="1:26" s="24" customFormat="1" hidden="1" outlineLevel="2" x14ac:dyDescent="0.25">
      <c r="A58" s="27"/>
      <c r="B58" s="11" t="str">
        <f>CONCATENATE("          ", "6396", " - ", "COUPONS-CHARTROOM")</f>
        <v xml:space="preserve">          6396 - COUPONS-CHARTROOM</v>
      </c>
      <c r="C58" s="11"/>
      <c r="D58" s="6"/>
      <c r="E58" s="2"/>
      <c r="F58" s="7">
        <f t="shared" si="36"/>
        <v>0</v>
      </c>
      <c r="G58" s="2"/>
      <c r="H58" s="6">
        <v>100</v>
      </c>
      <c r="I58" s="2"/>
      <c r="J58" s="7">
        <f t="shared" si="37"/>
        <v>5.9054780986486494E-5</v>
      </c>
      <c r="K58" s="2"/>
      <c r="L58" s="6">
        <f t="shared" si="38"/>
        <v>-100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400</v>
      </c>
      <c r="U58" s="2"/>
      <c r="V58" s="7">
        <f t="shared" si="41"/>
        <v>9.6069992753920795E-5</v>
      </c>
      <c r="W58" s="2"/>
      <c r="X58" s="6">
        <f t="shared" si="42"/>
        <v>-400</v>
      </c>
      <c r="Y58" s="2"/>
      <c r="Z58" s="7">
        <f t="shared" si="43"/>
        <v>-1</v>
      </c>
    </row>
    <row r="59" spans="1:26" s="24" customFormat="1" hidden="1" outlineLevel="2" x14ac:dyDescent="0.25">
      <c r="A59" s="27"/>
      <c r="B59" s="11" t="str">
        <f>CONCATENATE("          ", "6399", " - ", "DONATION-ON CAMPUS")</f>
        <v xml:space="preserve">          6399 - DONATION-ON CAMPUS</v>
      </c>
      <c r="C59" s="11"/>
      <c r="D59" s="6">
        <v>23519</v>
      </c>
      <c r="E59" s="2"/>
      <c r="F59" s="7">
        <f t="shared" si="36"/>
        <v>1.4077779699920684E-2</v>
      </c>
      <c r="G59" s="2"/>
      <c r="H59" s="6">
        <v>18637</v>
      </c>
      <c r="I59" s="2"/>
      <c r="J59" s="7">
        <f t="shared" si="37"/>
        <v>1.1006039532451488E-2</v>
      </c>
      <c r="K59" s="2"/>
      <c r="L59" s="6">
        <f t="shared" si="38"/>
        <v>4882</v>
      </c>
      <c r="M59" s="2"/>
      <c r="N59" s="7">
        <f t="shared" si="39"/>
        <v>0.26195203090626173</v>
      </c>
      <c r="O59" s="11"/>
      <c r="P59" s="6">
        <v>50115.75</v>
      </c>
      <c r="Q59" s="2"/>
      <c r="R59" s="7">
        <f t="shared" si="40"/>
        <v>1.2087837122929133E-2</v>
      </c>
      <c r="S59" s="2"/>
      <c r="T59" s="6">
        <v>44374</v>
      </c>
      <c r="U59" s="2"/>
      <c r="V59" s="7">
        <f t="shared" si="41"/>
        <v>1.0657524646156203E-2</v>
      </c>
      <c r="W59" s="2"/>
      <c r="X59" s="6">
        <f t="shared" si="42"/>
        <v>5741.75</v>
      </c>
      <c r="Y59" s="2"/>
      <c r="Z59" s="7">
        <f t="shared" si="43"/>
        <v>0.1293944652273854</v>
      </c>
    </row>
    <row r="60" spans="1:26" s="26" customFormat="1" outlineLevel="1" collapsed="1" x14ac:dyDescent="0.25">
      <c r="A60" s="25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34.36</v>
      </c>
      <c r="E60" s="1"/>
      <c r="F60" s="5">
        <f t="shared" ref="F60:F76" si="44">IF(D$12=0,0,D60/D$12)</f>
        <v>2.0566882541318708E-5</v>
      </c>
      <c r="G60" s="1"/>
      <c r="H60" s="1">
        <f>SUM(OSRRefH22_6x_0)</f>
        <v>605</v>
      </c>
      <c r="I60" s="1"/>
      <c r="J60" s="5">
        <f t="shared" ref="J60:J76" si="45">IF(H$12=0,0,H60/H$12)</f>
        <v>3.572814249682433E-4</v>
      </c>
      <c r="K60" s="1"/>
      <c r="L60" s="1">
        <f t="shared" ref="L60:L76" si="46">+D60-H60</f>
        <v>-570.64</v>
      </c>
      <c r="M60" s="1"/>
      <c r="N60" s="5">
        <f t="shared" ref="N60:N76" si="47">IF(H60=0,0,L60/H60)</f>
        <v>-0.94320661157024788</v>
      </c>
      <c r="O60" s="13"/>
      <c r="P60" s="1">
        <f>SUM(OSRRefP22_6x_0)</f>
        <v>882.66</v>
      </c>
      <c r="Q60" s="1"/>
      <c r="R60" s="5">
        <f t="shared" ref="R60:R76" si="48">IF(P$12=0,0,P60/P$12)</f>
        <v>2.1289615170729019E-4</v>
      </c>
      <c r="S60" s="1"/>
      <c r="T60" s="1">
        <f>SUM(OSRRefT22_6x_0)</f>
        <v>2400</v>
      </c>
      <c r="U60" s="1"/>
      <c r="V60" s="5">
        <f t="shared" ref="V60:V76" si="49">IF(T$12=0,0,T60/T$12)</f>
        <v>5.7641995652352477E-4</v>
      </c>
      <c r="W60" s="1"/>
      <c r="X60" s="1">
        <f t="shared" ref="X60:X76" si="50">+P60-T60</f>
        <v>-1517.3400000000001</v>
      </c>
      <c r="Y60" s="1"/>
      <c r="Z60" s="5">
        <f t="shared" ref="Z60:Z76" si="51">IF(T60=0,0,X60/T60)</f>
        <v>-0.63222500000000004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6">
        <v>34.36</v>
      </c>
      <c r="E61" s="2"/>
      <c r="F61" s="7">
        <f t="shared" si="44"/>
        <v>2.0566882541318708E-5</v>
      </c>
      <c r="G61" s="2"/>
      <c r="H61" s="6">
        <v>605</v>
      </c>
      <c r="I61" s="2"/>
      <c r="J61" s="7">
        <f t="shared" si="45"/>
        <v>3.572814249682433E-4</v>
      </c>
      <c r="K61" s="2"/>
      <c r="L61" s="6">
        <f t="shared" si="46"/>
        <v>-570.64</v>
      </c>
      <c r="M61" s="2"/>
      <c r="N61" s="7">
        <f t="shared" si="47"/>
        <v>-0.94320661157024788</v>
      </c>
      <c r="O61" s="11"/>
      <c r="P61" s="6">
        <v>882.66</v>
      </c>
      <c r="Q61" s="2"/>
      <c r="R61" s="7">
        <f t="shared" si="48"/>
        <v>2.1289615170729019E-4</v>
      </c>
      <c r="S61" s="2"/>
      <c r="T61" s="6">
        <v>2400</v>
      </c>
      <c r="U61" s="2"/>
      <c r="V61" s="7">
        <f t="shared" si="49"/>
        <v>5.7641995652352477E-4</v>
      </c>
      <c r="W61" s="2"/>
      <c r="X61" s="6">
        <f t="shared" si="50"/>
        <v>-1517.3400000000001</v>
      </c>
      <c r="Y61" s="2"/>
      <c r="Z61" s="7">
        <f t="shared" si="51"/>
        <v>-0.63222500000000004</v>
      </c>
    </row>
    <row r="62" spans="1:26" s="26" customFormat="1" outlineLevel="1" collapsed="1" x14ac:dyDescent="0.25">
      <c r="A62" s="25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3593.65</v>
      </c>
      <c r="E62" s="1"/>
      <c r="F62" s="5">
        <f t="shared" si="44"/>
        <v>2.1510528941970307E-3</v>
      </c>
      <c r="G62" s="1"/>
      <c r="H62" s="1">
        <f>SUM(OSRRefH22_7x_0)</f>
        <v>670</v>
      </c>
      <c r="I62" s="1"/>
      <c r="J62" s="5">
        <f t="shared" si="45"/>
        <v>3.956670326094595E-4</v>
      </c>
      <c r="K62" s="1"/>
      <c r="L62" s="1">
        <f t="shared" si="46"/>
        <v>2923.65</v>
      </c>
      <c r="M62" s="1"/>
      <c r="N62" s="5">
        <f t="shared" si="47"/>
        <v>4.3636567164179105</v>
      </c>
      <c r="O62" s="13"/>
      <c r="P62" s="1">
        <f>SUM(OSRRefP22_7x_0)</f>
        <v>4838.87</v>
      </c>
      <c r="Q62" s="1"/>
      <c r="R62" s="5">
        <f t="shared" si="48"/>
        <v>1.1671275481066948E-3</v>
      </c>
      <c r="S62" s="1"/>
      <c r="T62" s="1">
        <f>SUM(OSRRefT22_7x_0)</f>
        <v>2880</v>
      </c>
      <c r="U62" s="1"/>
      <c r="V62" s="5">
        <f t="shared" si="49"/>
        <v>6.9170394782822975E-4</v>
      </c>
      <c r="W62" s="1"/>
      <c r="X62" s="1">
        <f t="shared" si="50"/>
        <v>1958.87</v>
      </c>
      <c r="Y62" s="1"/>
      <c r="Z62" s="5">
        <f t="shared" si="51"/>
        <v>0.6801631944444444</v>
      </c>
    </row>
    <row r="63" spans="1:26" s="24" customFormat="1" hidden="1" outlineLevel="2" x14ac:dyDescent="0.25">
      <c r="A63" s="27"/>
      <c r="B63" s="11" t="str">
        <f>CONCATENATE("          ", "6351", " - ", "EQUIPMENT RENTAL")</f>
        <v xml:space="preserve">          6351 - EQUIPMENT RENTAL</v>
      </c>
      <c r="C63" s="11"/>
      <c r="D63" s="6">
        <v>3593.65</v>
      </c>
      <c r="E63" s="2"/>
      <c r="F63" s="7">
        <f t="shared" si="44"/>
        <v>2.1510528941970307E-3</v>
      </c>
      <c r="G63" s="2"/>
      <c r="H63" s="6">
        <v>670</v>
      </c>
      <c r="I63" s="2"/>
      <c r="J63" s="7">
        <f t="shared" si="45"/>
        <v>3.956670326094595E-4</v>
      </c>
      <c r="K63" s="2"/>
      <c r="L63" s="6">
        <f t="shared" si="46"/>
        <v>2923.65</v>
      </c>
      <c r="M63" s="2"/>
      <c r="N63" s="7">
        <f t="shared" si="47"/>
        <v>4.3636567164179105</v>
      </c>
      <c r="O63" s="11"/>
      <c r="P63" s="6">
        <v>4838.87</v>
      </c>
      <c r="Q63" s="2"/>
      <c r="R63" s="7">
        <f t="shared" si="48"/>
        <v>1.1671275481066948E-3</v>
      </c>
      <c r="S63" s="2"/>
      <c r="T63" s="6">
        <v>2880</v>
      </c>
      <c r="U63" s="2"/>
      <c r="V63" s="7">
        <f t="shared" si="49"/>
        <v>6.9170394782822975E-4</v>
      </c>
      <c r="W63" s="2"/>
      <c r="X63" s="6">
        <f t="shared" si="50"/>
        <v>1958.87</v>
      </c>
      <c r="Y63" s="2"/>
      <c r="Z63" s="7">
        <f t="shared" si="51"/>
        <v>0.6801631944444444</v>
      </c>
    </row>
    <row r="64" spans="1:26" s="26" customFormat="1" outlineLevel="1" collapsed="1" x14ac:dyDescent="0.25">
      <c r="A64" s="25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4"/>
        <v>0</v>
      </c>
      <c r="G64" s="1"/>
      <c r="H64" s="1">
        <f>SUM(OSRRefH22_8x_0)</f>
        <v>1</v>
      </c>
      <c r="I64" s="1"/>
      <c r="J64" s="5">
        <f t="shared" si="45"/>
        <v>5.9054780986486489E-7</v>
      </c>
      <c r="K64" s="1"/>
      <c r="L64" s="1">
        <f t="shared" si="46"/>
        <v>-1</v>
      </c>
      <c r="M64" s="1"/>
      <c r="N64" s="5">
        <f t="shared" si="47"/>
        <v>-1</v>
      </c>
      <c r="O64" s="13"/>
      <c r="P64" s="1">
        <f>SUM(OSRRefP22_8x_0)</f>
        <v>0</v>
      </c>
      <c r="Q64" s="1"/>
      <c r="R64" s="5">
        <f t="shared" si="48"/>
        <v>0</v>
      </c>
      <c r="S64" s="1"/>
      <c r="T64" s="1">
        <f>SUM(OSRRefT22_8x_0)</f>
        <v>4</v>
      </c>
      <c r="U64" s="1"/>
      <c r="V64" s="5">
        <f t="shared" si="49"/>
        <v>9.6069992753920806E-7</v>
      </c>
      <c r="W64" s="1"/>
      <c r="X64" s="1">
        <f t="shared" si="50"/>
        <v>-4</v>
      </c>
      <c r="Y64" s="1"/>
      <c r="Z64" s="5">
        <f t="shared" si="51"/>
        <v>-1</v>
      </c>
    </row>
    <row r="65" spans="1:26" s="24" customFormat="1" hidden="1" outlineLevel="2" x14ac:dyDescent="0.25">
      <c r="A65" s="27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4"/>
        <v>0</v>
      </c>
      <c r="G65" s="2"/>
      <c r="H65" s="6">
        <v>1</v>
      </c>
      <c r="I65" s="2"/>
      <c r="J65" s="7">
        <f t="shared" si="45"/>
        <v>5.9054780986486489E-7</v>
      </c>
      <c r="K65" s="2"/>
      <c r="L65" s="6">
        <f t="shared" si="46"/>
        <v>-1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4</v>
      </c>
      <c r="U65" s="2"/>
      <c r="V65" s="7">
        <f t="shared" si="49"/>
        <v>9.6069992753920806E-7</v>
      </c>
      <c r="W65" s="2"/>
      <c r="X65" s="6">
        <f t="shared" si="50"/>
        <v>-4</v>
      </c>
      <c r="Y65" s="2"/>
      <c r="Z65" s="7">
        <f t="shared" si="51"/>
        <v>-1</v>
      </c>
    </row>
    <row r="66" spans="1:26" s="26" customFormat="1" outlineLevel="1" collapsed="1" x14ac:dyDescent="0.25">
      <c r="A66" s="25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635.52</v>
      </c>
      <c r="E66" s="1"/>
      <c r="F66" s="5">
        <f t="shared" si="44"/>
        <v>3.8040352714373879E-4</v>
      </c>
      <c r="G66" s="1"/>
      <c r="H66" s="1">
        <f>SUM(OSRRefH22_9x_0)</f>
        <v>1105</v>
      </c>
      <c r="I66" s="1"/>
      <c r="J66" s="5">
        <f t="shared" si="45"/>
        <v>6.5255532990067576E-4</v>
      </c>
      <c r="K66" s="1"/>
      <c r="L66" s="1">
        <f t="shared" si="46"/>
        <v>-469.48</v>
      </c>
      <c r="M66" s="1"/>
      <c r="N66" s="5">
        <f t="shared" si="47"/>
        <v>-0.42486877828054298</v>
      </c>
      <c r="O66" s="13"/>
      <c r="P66" s="1">
        <f>SUM(OSRRefP22_9x_0)</f>
        <v>6830.38</v>
      </c>
      <c r="Q66" s="1"/>
      <c r="R66" s="5">
        <f t="shared" si="48"/>
        <v>1.6474765104326024E-3</v>
      </c>
      <c r="S66" s="1"/>
      <c r="T66" s="1">
        <f>SUM(OSRRefT22_9x_0)</f>
        <v>6879</v>
      </c>
      <c r="U66" s="1"/>
      <c r="V66" s="5">
        <f t="shared" si="49"/>
        <v>1.6521637003855528E-3</v>
      </c>
      <c r="W66" s="1"/>
      <c r="X66" s="1">
        <f t="shared" si="50"/>
        <v>-48.619999999999891</v>
      </c>
      <c r="Y66" s="1"/>
      <c r="Z66" s="5">
        <f t="shared" si="51"/>
        <v>-7.0678877743857961E-3</v>
      </c>
    </row>
    <row r="67" spans="1:26" s="24" customFormat="1" hidden="1" outlineLevel="2" x14ac:dyDescent="0.25">
      <c r="A67" s="27"/>
      <c r="B67" s="11" t="str">
        <f>CONCATENATE("          ", "6279", " - ", "GENERAL EXPENSE")</f>
        <v xml:space="preserve">          6279 - GENERAL EXPENSE</v>
      </c>
      <c r="C67" s="11"/>
      <c r="D67" s="6">
        <v>635.52</v>
      </c>
      <c r="E67" s="2"/>
      <c r="F67" s="7">
        <f t="shared" si="44"/>
        <v>3.8040352714373879E-4</v>
      </c>
      <c r="G67" s="2"/>
      <c r="H67" s="6">
        <v>1105</v>
      </c>
      <c r="I67" s="2"/>
      <c r="J67" s="7">
        <f t="shared" si="45"/>
        <v>6.5255532990067576E-4</v>
      </c>
      <c r="K67" s="2"/>
      <c r="L67" s="6">
        <f t="shared" si="46"/>
        <v>-469.48</v>
      </c>
      <c r="M67" s="2"/>
      <c r="N67" s="7">
        <f t="shared" si="47"/>
        <v>-0.42486877828054298</v>
      </c>
      <c r="O67" s="11"/>
      <c r="P67" s="6">
        <v>6830.38</v>
      </c>
      <c r="Q67" s="2"/>
      <c r="R67" s="7">
        <f t="shared" si="48"/>
        <v>1.6474765104326024E-3</v>
      </c>
      <c r="S67" s="2"/>
      <c r="T67" s="6">
        <v>6879</v>
      </c>
      <c r="U67" s="2"/>
      <c r="V67" s="7">
        <f t="shared" si="49"/>
        <v>1.6521637003855528E-3</v>
      </c>
      <c r="W67" s="2"/>
      <c r="X67" s="6">
        <f t="shared" si="50"/>
        <v>-48.619999999999891</v>
      </c>
      <c r="Y67" s="2"/>
      <c r="Z67" s="7">
        <f t="shared" si="51"/>
        <v>-7.0678877743857961E-3</v>
      </c>
    </row>
    <row r="68" spans="1:26" s="26" customFormat="1" outlineLevel="1" collapsed="1" x14ac:dyDescent="0.25">
      <c r="A68" s="25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4"/>
        <v>3.5315659777002442E-6</v>
      </c>
      <c r="G68" s="1"/>
      <c r="H68" s="1">
        <f>SUM(OSRRefH22_10x_0)</f>
        <v>5</v>
      </c>
      <c r="I68" s="1"/>
      <c r="J68" s="5">
        <f t="shared" si="45"/>
        <v>2.9527390493243249E-6</v>
      </c>
      <c r="K68" s="1"/>
      <c r="L68" s="1">
        <f t="shared" si="46"/>
        <v>0.90000000000000036</v>
      </c>
      <c r="M68" s="1"/>
      <c r="N68" s="5">
        <f t="shared" si="47"/>
        <v>0.18000000000000008</v>
      </c>
      <c r="O68" s="13"/>
      <c r="P68" s="1">
        <f>SUM(OSRRefP22_10x_0)</f>
        <v>23.6</v>
      </c>
      <c r="Q68" s="1"/>
      <c r="R68" s="5">
        <f t="shared" si="48"/>
        <v>5.6922814903723388E-6</v>
      </c>
      <c r="S68" s="1"/>
      <c r="T68" s="1">
        <f>SUM(OSRRefT22_10x_0)</f>
        <v>20</v>
      </c>
      <c r="U68" s="1"/>
      <c r="V68" s="5">
        <f t="shared" si="49"/>
        <v>4.8034996376960401E-6</v>
      </c>
      <c r="W68" s="1"/>
      <c r="X68" s="1">
        <f t="shared" si="50"/>
        <v>3.6000000000000014</v>
      </c>
      <c r="Y68" s="1"/>
      <c r="Z68" s="5">
        <f t="shared" si="51"/>
        <v>0.18000000000000008</v>
      </c>
    </row>
    <row r="69" spans="1:26" s="24" customFormat="1" hidden="1" outlineLevel="2" x14ac:dyDescent="0.25">
      <c r="A69" s="27"/>
      <c r="B69" s="11" t="str">
        <f>CONCATENATE("          ", "6314", " - ", "LIABILITY INSURANCE")</f>
        <v xml:space="preserve">          6314 - LIABILITY INSURANCE</v>
      </c>
      <c r="C69" s="11"/>
      <c r="D69" s="6">
        <v>5.9</v>
      </c>
      <c r="E69" s="2"/>
      <c r="F69" s="7">
        <f t="shared" si="44"/>
        <v>3.5315659777002442E-6</v>
      </c>
      <c r="G69" s="2"/>
      <c r="H69" s="6">
        <v>5</v>
      </c>
      <c r="I69" s="2"/>
      <c r="J69" s="7">
        <f t="shared" si="45"/>
        <v>2.9527390493243249E-6</v>
      </c>
      <c r="K69" s="2"/>
      <c r="L69" s="6">
        <f t="shared" si="46"/>
        <v>0.90000000000000036</v>
      </c>
      <c r="M69" s="2"/>
      <c r="N69" s="7">
        <f t="shared" si="47"/>
        <v>0.18000000000000008</v>
      </c>
      <c r="O69" s="11"/>
      <c r="P69" s="6">
        <v>23.6</v>
      </c>
      <c r="Q69" s="2"/>
      <c r="R69" s="7">
        <f t="shared" si="48"/>
        <v>5.6922814903723388E-6</v>
      </c>
      <c r="S69" s="2"/>
      <c r="T69" s="6">
        <v>20</v>
      </c>
      <c r="U69" s="2"/>
      <c r="V69" s="7">
        <f t="shared" si="49"/>
        <v>4.8034996376960401E-6</v>
      </c>
      <c r="W69" s="2"/>
      <c r="X69" s="6">
        <f t="shared" si="50"/>
        <v>3.6000000000000014</v>
      </c>
      <c r="Y69" s="2"/>
      <c r="Z69" s="7">
        <f t="shared" si="51"/>
        <v>0.18000000000000008</v>
      </c>
    </row>
    <row r="70" spans="1:26" s="26" customFormat="1" outlineLevel="1" collapsed="1" x14ac:dyDescent="0.25">
      <c r="A70" s="25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130766.15000000001</v>
      </c>
      <c r="E70" s="1"/>
      <c r="F70" s="5">
        <f t="shared" si="44"/>
        <v>7.8272760402516406E-2</v>
      </c>
      <c r="G70" s="1"/>
      <c r="H70" s="1">
        <f>SUM(OSRRefH22_11x_0)</f>
        <v>135436</v>
      </c>
      <c r="I70" s="1"/>
      <c r="J70" s="5">
        <f t="shared" si="45"/>
        <v>7.9981433176857852E-2</v>
      </c>
      <c r="K70" s="1"/>
      <c r="L70" s="1">
        <f t="shared" si="46"/>
        <v>-4669.8499999999913</v>
      </c>
      <c r="M70" s="1"/>
      <c r="N70" s="5">
        <f t="shared" si="47"/>
        <v>-3.4480123453143857E-2</v>
      </c>
      <c r="O70" s="13"/>
      <c r="P70" s="1">
        <f>SUM(OSRRefP22_11x_0)</f>
        <v>318687.43</v>
      </c>
      <c r="Q70" s="1"/>
      <c r="R70" s="5">
        <f t="shared" si="48"/>
        <v>7.6866888093361452E-2</v>
      </c>
      <c r="S70" s="1"/>
      <c r="T70" s="1">
        <f>SUM(OSRRefT22_11x_0)</f>
        <v>333029</v>
      </c>
      <c r="U70" s="1"/>
      <c r="V70" s="5">
        <f t="shared" si="49"/>
        <v>7.9985234042113718E-2</v>
      </c>
      <c r="W70" s="1"/>
      <c r="X70" s="1">
        <f t="shared" si="50"/>
        <v>-14341.570000000007</v>
      </c>
      <c r="Y70" s="1"/>
      <c r="Z70" s="5">
        <f t="shared" si="51"/>
        <v>-4.3064027457068325E-2</v>
      </c>
    </row>
    <row r="71" spans="1:26" s="24" customFormat="1" hidden="1" outlineLevel="2" x14ac:dyDescent="0.25">
      <c r="A71" s="27"/>
      <c r="B71" s="11" t="str">
        <f>CONCATENATE("          ", "6387", " - ", "COMMISSION DUE HOUSING")</f>
        <v xml:space="preserve">          6387 - COMMISSION DUE HOUSING</v>
      </c>
      <c r="C71" s="11"/>
      <c r="D71" s="6">
        <v>130766.15000000001</v>
      </c>
      <c r="E71" s="2"/>
      <c r="F71" s="7">
        <f t="shared" si="44"/>
        <v>7.8272760402516406E-2</v>
      </c>
      <c r="G71" s="2"/>
      <c r="H71" s="6">
        <v>135436</v>
      </c>
      <c r="I71" s="2"/>
      <c r="J71" s="7">
        <f t="shared" si="45"/>
        <v>7.9981433176857852E-2</v>
      </c>
      <c r="K71" s="2"/>
      <c r="L71" s="6">
        <f t="shared" si="46"/>
        <v>-4669.8499999999913</v>
      </c>
      <c r="M71" s="2"/>
      <c r="N71" s="7">
        <f t="shared" si="47"/>
        <v>-3.4480123453143857E-2</v>
      </c>
      <c r="O71" s="11"/>
      <c r="P71" s="6">
        <v>318687.43</v>
      </c>
      <c r="Q71" s="2"/>
      <c r="R71" s="7">
        <f t="shared" si="48"/>
        <v>7.6866888093361452E-2</v>
      </c>
      <c r="S71" s="2"/>
      <c r="T71" s="6">
        <v>333029</v>
      </c>
      <c r="U71" s="2"/>
      <c r="V71" s="7">
        <f t="shared" si="49"/>
        <v>7.9985234042113718E-2</v>
      </c>
      <c r="W71" s="2"/>
      <c r="X71" s="6">
        <f t="shared" si="50"/>
        <v>-14341.570000000007</v>
      </c>
      <c r="Y71" s="2"/>
      <c r="Z71" s="7">
        <f t="shared" si="51"/>
        <v>-4.3064027457068325E-2</v>
      </c>
    </row>
    <row r="72" spans="1:26" s="26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364.43</v>
      </c>
      <c r="E72" s="1"/>
      <c r="F72" s="5">
        <f t="shared" si="44"/>
        <v>2.1813704902598304E-4</v>
      </c>
      <c r="G72" s="1"/>
      <c r="H72" s="1">
        <f>SUM(OSRRefH22_12x_0)</f>
        <v>2037</v>
      </c>
      <c r="I72" s="1"/>
      <c r="J72" s="5">
        <f t="shared" si="45"/>
        <v>1.20294588869473E-3</v>
      </c>
      <c r="K72" s="1"/>
      <c r="L72" s="1">
        <f t="shared" si="46"/>
        <v>-1672.57</v>
      </c>
      <c r="M72" s="1"/>
      <c r="N72" s="5">
        <f t="shared" si="47"/>
        <v>-0.82109474717722142</v>
      </c>
      <c r="O72" s="13"/>
      <c r="P72" s="1">
        <f>SUM(OSRRefP22_12x_0)</f>
        <v>6848.3600000000006</v>
      </c>
      <c r="Q72" s="1"/>
      <c r="R72" s="5">
        <f t="shared" si="48"/>
        <v>1.6518132570934878E-3</v>
      </c>
      <c r="S72" s="1"/>
      <c r="T72" s="1">
        <f>SUM(OSRRefT22_12x_0)</f>
        <v>10018</v>
      </c>
      <c r="U72" s="1"/>
      <c r="V72" s="5">
        <f t="shared" si="49"/>
        <v>2.4060729685219462E-3</v>
      </c>
      <c r="W72" s="1"/>
      <c r="X72" s="1">
        <f t="shared" si="50"/>
        <v>-3169.6399999999994</v>
      </c>
      <c r="Y72" s="1"/>
      <c r="Z72" s="5">
        <f t="shared" si="51"/>
        <v>-0.31639448991814728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44"/>
        <v>0</v>
      </c>
      <c r="G73" s="2"/>
      <c r="H73" s="6">
        <v>1497</v>
      </c>
      <c r="I73" s="2"/>
      <c r="J73" s="7">
        <f t="shared" si="45"/>
        <v>8.8405007136770281E-4</v>
      </c>
      <c r="K73" s="2"/>
      <c r="L73" s="6">
        <f t="shared" si="46"/>
        <v>-1497</v>
      </c>
      <c r="M73" s="2"/>
      <c r="N73" s="7">
        <f t="shared" si="47"/>
        <v>-1</v>
      </c>
      <c r="O73" s="11"/>
      <c r="P73" s="6">
        <v>6340.43</v>
      </c>
      <c r="Q73" s="2"/>
      <c r="R73" s="7">
        <f t="shared" si="48"/>
        <v>1.5293013699153174E-3</v>
      </c>
      <c r="S73" s="2"/>
      <c r="T73" s="6">
        <v>5988</v>
      </c>
      <c r="U73" s="2"/>
      <c r="V73" s="7">
        <f t="shared" si="49"/>
        <v>1.4381677915261944E-3</v>
      </c>
      <c r="W73" s="2"/>
      <c r="X73" s="6">
        <f t="shared" si="50"/>
        <v>352.43000000000029</v>
      </c>
      <c r="Y73" s="2"/>
      <c r="Z73" s="7">
        <f t="shared" si="51"/>
        <v>5.8856045424181748E-2</v>
      </c>
    </row>
    <row r="74" spans="1:26" s="24" customFormat="1" hidden="1" outlineLevel="2" x14ac:dyDescent="0.25">
      <c r="A74" s="27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/>
      <c r="Q74" s="2"/>
      <c r="R74" s="7">
        <f t="shared" si="48"/>
        <v>0</v>
      </c>
      <c r="S74" s="2"/>
      <c r="T74" s="6">
        <v>70</v>
      </c>
      <c r="U74" s="2"/>
      <c r="V74" s="7">
        <f t="shared" si="49"/>
        <v>1.6812248731936138E-5</v>
      </c>
      <c r="W74" s="2"/>
      <c r="X74" s="6">
        <f t="shared" si="50"/>
        <v>-70</v>
      </c>
      <c r="Y74" s="2"/>
      <c r="Z74" s="7">
        <f t="shared" si="51"/>
        <v>-1</v>
      </c>
    </row>
    <row r="75" spans="1:26" s="24" customFormat="1" hidden="1" outlineLevel="2" x14ac:dyDescent="0.25">
      <c r="A75" s="27"/>
      <c r="B75" s="11" t="str">
        <f>CONCATENATE("          ", "6373", " - ", "MAINTENANCE CONTRACTS")</f>
        <v xml:space="preserve">          6373 - MAINTENANCE CONTRACTS</v>
      </c>
      <c r="C75" s="11"/>
      <c r="D75" s="6">
        <v>212.65</v>
      </c>
      <c r="E75" s="2"/>
      <c r="F75" s="7">
        <f t="shared" si="44"/>
        <v>1.2728601782338253E-4</v>
      </c>
      <c r="G75" s="2"/>
      <c r="H75" s="6">
        <v>30</v>
      </c>
      <c r="I75" s="2"/>
      <c r="J75" s="7">
        <f t="shared" si="45"/>
        <v>1.7716434295945948E-5</v>
      </c>
      <c r="K75" s="2"/>
      <c r="L75" s="6">
        <f t="shared" si="46"/>
        <v>182.65</v>
      </c>
      <c r="M75" s="2"/>
      <c r="N75" s="7">
        <f t="shared" si="47"/>
        <v>6.0883333333333338</v>
      </c>
      <c r="O75" s="11"/>
      <c r="P75" s="6">
        <v>250.66</v>
      </c>
      <c r="Q75" s="2"/>
      <c r="R75" s="7">
        <f t="shared" si="48"/>
        <v>6.0458782982064848E-5</v>
      </c>
      <c r="S75" s="2"/>
      <c r="T75" s="6">
        <v>1920</v>
      </c>
      <c r="U75" s="2"/>
      <c r="V75" s="7">
        <f t="shared" si="49"/>
        <v>4.611359652188198E-4</v>
      </c>
      <c r="W75" s="2"/>
      <c r="X75" s="6">
        <f t="shared" si="50"/>
        <v>-1669.34</v>
      </c>
      <c r="Y75" s="2"/>
      <c r="Z75" s="7">
        <f t="shared" si="51"/>
        <v>-0.86944791666666665</v>
      </c>
    </row>
    <row r="76" spans="1:26" s="24" customFormat="1" hidden="1" outlineLevel="2" x14ac:dyDescent="0.25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151.78</v>
      </c>
      <c r="E76" s="2"/>
      <c r="F76" s="7">
        <f t="shared" si="44"/>
        <v>9.0851031202600509E-5</v>
      </c>
      <c r="G76" s="2"/>
      <c r="H76" s="6">
        <v>510</v>
      </c>
      <c r="I76" s="2"/>
      <c r="J76" s="7">
        <f t="shared" si="45"/>
        <v>3.0117938303108113E-4</v>
      </c>
      <c r="K76" s="2"/>
      <c r="L76" s="6">
        <f t="shared" si="46"/>
        <v>-358.22</v>
      </c>
      <c r="M76" s="2"/>
      <c r="N76" s="7">
        <f t="shared" si="47"/>
        <v>-0.70239215686274514</v>
      </c>
      <c r="O76" s="11"/>
      <c r="P76" s="6">
        <v>257.27</v>
      </c>
      <c r="Q76" s="2"/>
      <c r="R76" s="7">
        <f t="shared" si="48"/>
        <v>6.2053104196105571E-5</v>
      </c>
      <c r="S76" s="2"/>
      <c r="T76" s="6">
        <v>2040</v>
      </c>
      <c r="U76" s="2"/>
      <c r="V76" s="7">
        <f t="shared" si="49"/>
        <v>4.8995696304499601E-4</v>
      </c>
      <c r="W76" s="2"/>
      <c r="X76" s="6">
        <f t="shared" si="50"/>
        <v>-1782.73</v>
      </c>
      <c r="Y76" s="2"/>
      <c r="Z76" s="7">
        <f t="shared" si="51"/>
        <v>-0.87388725490196084</v>
      </c>
    </row>
    <row r="77" spans="1:26" s="26" customFormat="1" outlineLevel="1" collapsed="1" x14ac:dyDescent="0.25">
      <c r="A77" s="25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18883.71</v>
      </c>
      <c r="E77" s="1"/>
      <c r="F77" s="5">
        <f t="shared" ref="F77:F81" si="52">IF(D$12=0,0,D77/D$12)</f>
        <v>1.1303231825213199E-2</v>
      </c>
      <c r="G77" s="1"/>
      <c r="H77" s="1">
        <f>SUM(OSRRefH22_13x_0)</f>
        <v>21039</v>
      </c>
      <c r="I77" s="1"/>
      <c r="J77" s="5">
        <f t="shared" ref="J77:J81" si="53">IF(H$12=0,0,H77/H$12)</f>
        <v>1.2424535371746894E-2</v>
      </c>
      <c r="K77" s="1"/>
      <c r="L77" s="1">
        <f t="shared" ref="L77:L81" si="54">+D77-H77</f>
        <v>-2155.2900000000009</v>
      </c>
      <c r="M77" s="1"/>
      <c r="N77" s="5">
        <f t="shared" ref="N77:N81" si="55">IF(H77=0,0,L77/H77)</f>
        <v>-0.10244260658776562</v>
      </c>
      <c r="O77" s="13"/>
      <c r="P77" s="1">
        <f>SUM(OSRRefP22_13x_0)</f>
        <v>78089.78</v>
      </c>
      <c r="Q77" s="1"/>
      <c r="R77" s="5">
        <f t="shared" ref="R77:R81" si="56">IF(P$12=0,0,P77/P$12)</f>
        <v>1.883512751191729E-2</v>
      </c>
      <c r="S77" s="1"/>
      <c r="T77" s="1">
        <f>SUM(OSRRefT22_13x_0)</f>
        <v>73854</v>
      </c>
      <c r="U77" s="1"/>
      <c r="V77" s="5">
        <f t="shared" ref="V77:V81" si="57">IF(T$12=0,0,T77/T$12)</f>
        <v>1.7737883112120167E-2</v>
      </c>
      <c r="W77" s="1"/>
      <c r="X77" s="1">
        <f t="shared" ref="X77:X81" si="58">+P77-T77</f>
        <v>4235.7799999999988</v>
      </c>
      <c r="Y77" s="1"/>
      <c r="Z77" s="5">
        <f t="shared" ref="Z77:Z81" si="59">IF(T77=0,0,X77/T77)</f>
        <v>5.7353427031711202E-2</v>
      </c>
    </row>
    <row r="78" spans="1:26" s="24" customFormat="1" hidden="1" outlineLevel="2" x14ac:dyDescent="0.25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1508.3</v>
      </c>
      <c r="E78" s="2"/>
      <c r="F78" s="7">
        <f t="shared" si="52"/>
        <v>9.0282389223140299E-4</v>
      </c>
      <c r="G78" s="2"/>
      <c r="H78" s="6">
        <v>1630</v>
      </c>
      <c r="I78" s="2"/>
      <c r="J78" s="7">
        <f t="shared" si="53"/>
        <v>9.6259293007972988E-4</v>
      </c>
      <c r="K78" s="2"/>
      <c r="L78" s="6">
        <f t="shared" si="54"/>
        <v>-121.70000000000005</v>
      </c>
      <c r="M78" s="2"/>
      <c r="N78" s="7">
        <f t="shared" si="55"/>
        <v>-7.4662576687116594E-2</v>
      </c>
      <c r="O78" s="11"/>
      <c r="P78" s="6">
        <v>6303.2</v>
      </c>
      <c r="Q78" s="2"/>
      <c r="R78" s="7">
        <f t="shared" si="56"/>
        <v>1.5203215546658866E-3</v>
      </c>
      <c r="S78" s="2"/>
      <c r="T78" s="6">
        <v>6520</v>
      </c>
      <c r="U78" s="2"/>
      <c r="V78" s="7">
        <f t="shared" si="57"/>
        <v>1.5659408818889089E-3</v>
      </c>
      <c r="W78" s="2"/>
      <c r="X78" s="6">
        <f t="shared" si="58"/>
        <v>-216.80000000000018</v>
      </c>
      <c r="Y78" s="2"/>
      <c r="Z78" s="7">
        <f t="shared" si="59"/>
        <v>-3.3251533742331314E-2</v>
      </c>
    </row>
    <row r="79" spans="1:26" s="24" customFormat="1" hidden="1" outlineLevel="2" x14ac:dyDescent="0.25">
      <c r="A79" s="27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52"/>
        <v>0</v>
      </c>
      <c r="G79" s="2"/>
      <c r="H79" s="6">
        <v>550</v>
      </c>
      <c r="I79" s="2"/>
      <c r="J79" s="7">
        <f t="shared" si="53"/>
        <v>3.2480129542567573E-4</v>
      </c>
      <c r="K79" s="2"/>
      <c r="L79" s="6">
        <f t="shared" si="54"/>
        <v>-550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2150</v>
      </c>
      <c r="U79" s="2"/>
      <c r="V79" s="7">
        <f t="shared" si="57"/>
        <v>5.163762110523243E-4</v>
      </c>
      <c r="W79" s="2"/>
      <c r="X79" s="6">
        <f t="shared" si="58"/>
        <v>-2150</v>
      </c>
      <c r="Y79" s="2"/>
      <c r="Z79" s="7">
        <f t="shared" si="59"/>
        <v>-1</v>
      </c>
    </row>
    <row r="80" spans="1:26" s="24" customFormat="1" hidden="1" outlineLevel="2" x14ac:dyDescent="0.25">
      <c r="A80" s="27"/>
      <c r="B80" s="11" t="str">
        <f>CONCATENATE("          ", "6285", " - ", "JANITORIAL SERVICES")</f>
        <v xml:space="preserve">          6285 - JANITORIAL SERVICES</v>
      </c>
      <c r="C80" s="11"/>
      <c r="D80" s="6">
        <v>11438.01</v>
      </c>
      <c r="E80" s="2"/>
      <c r="F80" s="7">
        <f t="shared" si="52"/>
        <v>6.8464554184059605E-3</v>
      </c>
      <c r="G80" s="2"/>
      <c r="H80" s="6">
        <v>14059</v>
      </c>
      <c r="I80" s="2"/>
      <c r="J80" s="7">
        <f t="shared" si="53"/>
        <v>8.3025116588901354E-3</v>
      </c>
      <c r="K80" s="2"/>
      <c r="L80" s="6">
        <f t="shared" si="54"/>
        <v>-2620.9899999999998</v>
      </c>
      <c r="M80" s="2"/>
      <c r="N80" s="7">
        <f t="shared" si="55"/>
        <v>-0.18642791094672451</v>
      </c>
      <c r="O80" s="11"/>
      <c r="P80" s="6">
        <v>51209</v>
      </c>
      <c r="Q80" s="2"/>
      <c r="R80" s="7">
        <f t="shared" si="56"/>
        <v>1.2351527239003266E-2</v>
      </c>
      <c r="S80" s="2"/>
      <c r="T80" s="6">
        <v>47584</v>
      </c>
      <c r="U80" s="2"/>
      <c r="V80" s="7">
        <f t="shared" si="57"/>
        <v>1.1428486338006418E-2</v>
      </c>
      <c r="W80" s="2"/>
      <c r="X80" s="6">
        <f t="shared" si="58"/>
        <v>3625</v>
      </c>
      <c r="Y80" s="2"/>
      <c r="Z80" s="7">
        <f t="shared" si="59"/>
        <v>7.6181069266980497E-2</v>
      </c>
    </row>
    <row r="81" spans="1:26" s="24" customFormat="1" hidden="1" outlineLevel="2" x14ac:dyDescent="0.25">
      <c r="A81" s="27"/>
      <c r="B81" s="11" t="str">
        <f>CONCATENATE("          ", "6286", " - ", "LAUNDRY EXPENSE")</f>
        <v xml:space="preserve">          6286 - LAUNDRY EXPENSE</v>
      </c>
      <c r="C81" s="11"/>
      <c r="D81" s="6">
        <v>5937.4</v>
      </c>
      <c r="E81" s="2"/>
      <c r="F81" s="7">
        <f t="shared" si="52"/>
        <v>3.553952514575835E-3</v>
      </c>
      <c r="G81" s="2"/>
      <c r="H81" s="6">
        <v>4800</v>
      </c>
      <c r="I81" s="2"/>
      <c r="J81" s="7">
        <f t="shared" si="53"/>
        <v>2.834629487351352E-3</v>
      </c>
      <c r="K81" s="2"/>
      <c r="L81" s="6">
        <f t="shared" si="54"/>
        <v>1137.3999999999996</v>
      </c>
      <c r="M81" s="2"/>
      <c r="N81" s="7">
        <f t="shared" si="55"/>
        <v>0.23695833333333327</v>
      </c>
      <c r="O81" s="11"/>
      <c r="P81" s="6">
        <v>20577.580000000002</v>
      </c>
      <c r="Q81" s="2"/>
      <c r="R81" s="7">
        <f t="shared" si="56"/>
        <v>4.963278718248137E-3</v>
      </c>
      <c r="S81" s="2"/>
      <c r="T81" s="6">
        <v>17600</v>
      </c>
      <c r="U81" s="2"/>
      <c r="V81" s="7">
        <f t="shared" si="57"/>
        <v>4.227079681172515E-3</v>
      </c>
      <c r="W81" s="2"/>
      <c r="X81" s="6">
        <f t="shared" si="58"/>
        <v>2977.5800000000017</v>
      </c>
      <c r="Y81" s="2"/>
      <c r="Z81" s="7">
        <f t="shared" si="59"/>
        <v>0.16918068181818191</v>
      </c>
    </row>
    <row r="82" spans="1:26" s="26" customFormat="1" outlineLevel="1" collapsed="1" x14ac:dyDescent="0.25">
      <c r="A82" s="25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31094.059999999998</v>
      </c>
      <c r="E82" s="1"/>
      <c r="F82" s="5">
        <f t="shared" ref="F82:F91" si="60">IF(D$12=0,0,D82/D$12)</f>
        <v>1.8611987187215261E-2</v>
      </c>
      <c r="G82" s="1"/>
      <c r="H82" s="1">
        <f>SUM(OSRRefH22_14x_0)</f>
        <v>26389</v>
      </c>
      <c r="I82" s="1"/>
      <c r="J82" s="5">
        <f t="shared" ref="J82:J91" si="61">IF(H$12=0,0,H82/H$12)</f>
        <v>1.5583966154523921E-2</v>
      </c>
      <c r="K82" s="1"/>
      <c r="L82" s="1">
        <f t="shared" ref="L82:L91" si="62">+D82-H82</f>
        <v>4705.0599999999977</v>
      </c>
      <c r="M82" s="1"/>
      <c r="N82" s="5">
        <f t="shared" ref="N82:N91" si="63">IF(H82=0,0,L82/H82)</f>
        <v>0.17829625980522179</v>
      </c>
      <c r="O82" s="13"/>
      <c r="P82" s="1">
        <f>SUM(OSRRefP22_14x_0)</f>
        <v>106662.84</v>
      </c>
      <c r="Q82" s="1"/>
      <c r="R82" s="5">
        <f t="shared" ref="R82:R91" si="64">IF(P$12=0,0,P82/P$12)</f>
        <v>2.5726902959429927E-2</v>
      </c>
      <c r="S82" s="1"/>
      <c r="T82" s="1">
        <f>SUM(OSRRefT22_14x_0)</f>
        <v>100083</v>
      </c>
      <c r="U82" s="1"/>
      <c r="V82" s="5">
        <f t="shared" ref="V82:V91" si="65">IF(T$12=0,0,T82/T$12)</f>
        <v>2.4037432711976638E-2</v>
      </c>
      <c r="W82" s="1"/>
      <c r="X82" s="1">
        <f t="shared" ref="X82:X91" si="66">+P82-T82</f>
        <v>6579.8399999999965</v>
      </c>
      <c r="Y82" s="1"/>
      <c r="Z82" s="5">
        <f t="shared" ref="Z82:Z91" si="67">IF(T82=0,0,X82/T82)</f>
        <v>6.574383261892626E-2</v>
      </c>
    </row>
    <row r="83" spans="1:26" s="24" customFormat="1" hidden="1" outlineLevel="2" x14ac:dyDescent="0.25">
      <c r="A83" s="27"/>
      <c r="B83" s="11" t="str">
        <f>CONCATENATE("          ", "6234", " - ", "EXPENDABLE SUPPLIES &amp; EQUIPMEN")</f>
        <v xml:space="preserve">          6234 - EXPENDABLE SUPPLIES &amp; EQUIPMEN</v>
      </c>
      <c r="C83" s="11"/>
      <c r="D83" s="6">
        <v>100</v>
      </c>
      <c r="E83" s="2"/>
      <c r="F83" s="7">
        <f t="shared" si="60"/>
        <v>5.9857050469495661E-5</v>
      </c>
      <c r="G83" s="2"/>
      <c r="H83" s="6"/>
      <c r="I83" s="2"/>
      <c r="J83" s="7">
        <f t="shared" si="61"/>
        <v>0</v>
      </c>
      <c r="K83" s="2"/>
      <c r="L83" s="6">
        <f t="shared" si="62"/>
        <v>100</v>
      </c>
      <c r="M83" s="2"/>
      <c r="N83" s="7">
        <f t="shared" si="63"/>
        <v>0</v>
      </c>
      <c r="O83" s="11"/>
      <c r="P83" s="6">
        <v>100</v>
      </c>
      <c r="Q83" s="2"/>
      <c r="R83" s="7">
        <f t="shared" si="64"/>
        <v>2.4119836823611606E-5</v>
      </c>
      <c r="S83" s="2"/>
      <c r="T83" s="6">
        <v>400</v>
      </c>
      <c r="U83" s="2"/>
      <c r="V83" s="7">
        <f t="shared" si="65"/>
        <v>9.6069992753920795E-5</v>
      </c>
      <c r="W83" s="2"/>
      <c r="X83" s="6">
        <f t="shared" si="66"/>
        <v>-300</v>
      </c>
      <c r="Y83" s="2"/>
      <c r="Z83" s="7">
        <f t="shared" si="67"/>
        <v>-0.75</v>
      </c>
    </row>
    <row r="84" spans="1:26" s="24" customFormat="1" hidden="1" outlineLevel="2" x14ac:dyDescent="0.25">
      <c r="A84" s="27"/>
      <c r="B84" s="11" t="str">
        <f>CONCATENATE("          ", "6237", " - ", "JANITORIAL SUPPLIES")</f>
        <v xml:space="preserve">          6237 - JANITORIAL SUPPLIES</v>
      </c>
      <c r="C84" s="11"/>
      <c r="D84" s="6">
        <v>14057.36</v>
      </c>
      <c r="E84" s="2"/>
      <c r="F84" s="7">
        <f t="shared" si="60"/>
        <v>8.4143210698786955E-3</v>
      </c>
      <c r="G84" s="2"/>
      <c r="H84" s="6">
        <v>10105</v>
      </c>
      <c r="I84" s="2"/>
      <c r="J84" s="7">
        <f t="shared" si="61"/>
        <v>5.9674856186844602E-3</v>
      </c>
      <c r="K84" s="2"/>
      <c r="L84" s="6">
        <f t="shared" si="62"/>
        <v>3952.3600000000006</v>
      </c>
      <c r="M84" s="2"/>
      <c r="N84" s="7">
        <f t="shared" si="63"/>
        <v>0.39112914398812476</v>
      </c>
      <c r="O84" s="11"/>
      <c r="P84" s="6">
        <v>37146.400000000001</v>
      </c>
      <c r="Q84" s="2"/>
      <c r="R84" s="7">
        <f t="shared" si="64"/>
        <v>8.959651065846062E-3</v>
      </c>
      <c r="S84" s="2"/>
      <c r="T84" s="6">
        <v>38115</v>
      </c>
      <c r="U84" s="2"/>
      <c r="V84" s="7">
        <f t="shared" si="65"/>
        <v>9.1542694345392271E-3</v>
      </c>
      <c r="W84" s="2"/>
      <c r="X84" s="6">
        <f t="shared" si="66"/>
        <v>-968.59999999999854</v>
      </c>
      <c r="Y84" s="2"/>
      <c r="Z84" s="7">
        <f t="shared" si="67"/>
        <v>-2.5412567230749011E-2</v>
      </c>
    </row>
    <row r="85" spans="1:26" s="24" customFormat="1" hidden="1" outlineLevel="2" x14ac:dyDescent="0.25">
      <c r="A85" s="27"/>
      <c r="B85" s="11" t="str">
        <f>CONCATENATE("          ", "6239", " - ", "KITCHEN SUPPLIES")</f>
        <v xml:space="preserve">          6239 - KITCHEN SUPPLIES</v>
      </c>
      <c r="C85" s="11"/>
      <c r="D85" s="6">
        <v>3787.67</v>
      </c>
      <c r="E85" s="2"/>
      <c r="F85" s="7">
        <f t="shared" si="60"/>
        <v>2.2671875435179463E-3</v>
      </c>
      <c r="G85" s="2"/>
      <c r="H85" s="6">
        <v>5750</v>
      </c>
      <c r="I85" s="2"/>
      <c r="J85" s="7">
        <f t="shared" si="61"/>
        <v>3.3956499067229733E-3</v>
      </c>
      <c r="K85" s="2"/>
      <c r="L85" s="6">
        <f t="shared" si="62"/>
        <v>-1962.33</v>
      </c>
      <c r="M85" s="2"/>
      <c r="N85" s="7">
        <f t="shared" si="63"/>
        <v>-0.34127478260869565</v>
      </c>
      <c r="O85" s="11"/>
      <c r="P85" s="6">
        <v>18968.439999999999</v>
      </c>
      <c r="Q85" s="2"/>
      <c r="R85" s="7">
        <f t="shared" si="64"/>
        <v>4.5751567759846727E-3</v>
      </c>
      <c r="S85" s="2"/>
      <c r="T85" s="6">
        <v>20100</v>
      </c>
      <c r="U85" s="2"/>
      <c r="V85" s="7">
        <f t="shared" si="65"/>
        <v>4.8275171358845197E-3</v>
      </c>
      <c r="W85" s="2"/>
      <c r="X85" s="6">
        <f t="shared" si="66"/>
        <v>-1131.5600000000013</v>
      </c>
      <c r="Y85" s="2"/>
      <c r="Z85" s="7">
        <f t="shared" si="67"/>
        <v>-5.6296517412935392E-2</v>
      </c>
    </row>
    <row r="86" spans="1:26" s="24" customFormat="1" hidden="1" outlineLevel="2" x14ac:dyDescent="0.25">
      <c r="A86" s="27"/>
      <c r="B86" s="11" t="str">
        <f>CONCATENATE("          ", "6241", " - ", "OFFICE EXPENSE")</f>
        <v xml:space="preserve">          6241 - OFFICE EXPENSE</v>
      </c>
      <c r="C86" s="11"/>
      <c r="D86" s="6">
        <v>882.69</v>
      </c>
      <c r="E86" s="2"/>
      <c r="F86" s="7">
        <f t="shared" si="60"/>
        <v>5.2835219878919132E-4</v>
      </c>
      <c r="G86" s="2"/>
      <c r="H86" s="6">
        <v>1479</v>
      </c>
      <c r="I86" s="2"/>
      <c r="J86" s="7">
        <f t="shared" si="61"/>
        <v>8.7342021079013521E-4</v>
      </c>
      <c r="K86" s="2"/>
      <c r="L86" s="6">
        <f t="shared" si="62"/>
        <v>-596.30999999999995</v>
      </c>
      <c r="M86" s="2"/>
      <c r="N86" s="7">
        <f t="shared" si="63"/>
        <v>-0.40318458417849895</v>
      </c>
      <c r="O86" s="11"/>
      <c r="P86" s="6">
        <v>24549.11</v>
      </c>
      <c r="Q86" s="2"/>
      <c r="R86" s="7">
        <f t="shared" si="64"/>
        <v>5.9212052736489192E-3</v>
      </c>
      <c r="S86" s="2"/>
      <c r="T86" s="6">
        <v>5142</v>
      </c>
      <c r="U86" s="2"/>
      <c r="V86" s="7">
        <f t="shared" si="65"/>
        <v>1.2349797568516519E-3</v>
      </c>
      <c r="W86" s="2"/>
      <c r="X86" s="6">
        <f t="shared" si="66"/>
        <v>19407.11</v>
      </c>
      <c r="Y86" s="2"/>
      <c r="Z86" s="7">
        <f t="shared" si="67"/>
        <v>3.7742337611824195</v>
      </c>
    </row>
    <row r="87" spans="1:26" s="24" customFormat="1" hidden="1" outlineLevel="2" x14ac:dyDescent="0.25">
      <c r="A87" s="27"/>
      <c r="B87" s="11" t="str">
        <f>CONCATENATE("          ", "6243", " - ", "PAPER SUPPLIES")</f>
        <v xml:space="preserve">          6243 - PAPER SUPPLIES</v>
      </c>
      <c r="C87" s="11"/>
      <c r="D87" s="6">
        <v>12127.52</v>
      </c>
      <c r="E87" s="2"/>
      <c r="F87" s="7">
        <f t="shared" si="60"/>
        <v>7.2591757670981806E-3</v>
      </c>
      <c r="G87" s="2"/>
      <c r="H87" s="6">
        <v>6859</v>
      </c>
      <c r="I87" s="2"/>
      <c r="J87" s="7">
        <f t="shared" si="61"/>
        <v>4.0505674278631084E-3</v>
      </c>
      <c r="K87" s="2"/>
      <c r="L87" s="6">
        <f t="shared" si="62"/>
        <v>5268.52</v>
      </c>
      <c r="M87" s="2"/>
      <c r="N87" s="7">
        <f t="shared" si="63"/>
        <v>0.76811780142877972</v>
      </c>
      <c r="O87" s="11"/>
      <c r="P87" s="6">
        <v>28486.47</v>
      </c>
      <c r="Q87" s="2"/>
      <c r="R87" s="7">
        <f t="shared" si="64"/>
        <v>6.870890080807073E-3</v>
      </c>
      <c r="S87" s="2"/>
      <c r="T87" s="6">
        <v>25627</v>
      </c>
      <c r="U87" s="2"/>
      <c r="V87" s="7">
        <f t="shared" si="65"/>
        <v>6.1549642607618207E-3</v>
      </c>
      <c r="W87" s="2"/>
      <c r="X87" s="6">
        <f t="shared" si="66"/>
        <v>2859.4700000000012</v>
      </c>
      <c r="Y87" s="2"/>
      <c r="Z87" s="7">
        <f t="shared" si="67"/>
        <v>0.11158036445935932</v>
      </c>
    </row>
    <row r="88" spans="1:26" s="24" customFormat="1" hidden="1" outlineLevel="2" x14ac:dyDescent="0.25">
      <c r="A88" s="27"/>
      <c r="B88" s="11" t="str">
        <f>CONCATENATE("          ", "6244", " - ", "SAFETY SUPPLY EXPENSE")</f>
        <v xml:space="preserve">          6244 - SAFETY SUPPLY EXPENSE</v>
      </c>
      <c r="C88" s="11"/>
      <c r="D88" s="6"/>
      <c r="E88" s="2"/>
      <c r="F88" s="7">
        <f t="shared" si="60"/>
        <v>0</v>
      </c>
      <c r="G88" s="2"/>
      <c r="H88" s="6">
        <v>125</v>
      </c>
      <c r="I88" s="2"/>
      <c r="J88" s="7">
        <f t="shared" si="61"/>
        <v>7.3818476233108115E-5</v>
      </c>
      <c r="K88" s="2"/>
      <c r="L88" s="6">
        <f t="shared" si="62"/>
        <v>-125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500</v>
      </c>
      <c r="U88" s="2"/>
      <c r="V88" s="7">
        <f t="shared" si="65"/>
        <v>1.2008749094240099E-4</v>
      </c>
      <c r="W88" s="2"/>
      <c r="X88" s="6">
        <f t="shared" si="66"/>
        <v>-500</v>
      </c>
      <c r="Y88" s="2"/>
      <c r="Z88" s="7">
        <f t="shared" si="67"/>
        <v>-1</v>
      </c>
    </row>
    <row r="89" spans="1:26" s="24" customFormat="1" hidden="1" outlineLevel="2" x14ac:dyDescent="0.25">
      <c r="A89" s="27"/>
      <c r="B89" s="11" t="str">
        <f>CONCATENATE("          ", "6245", " - ", "PRINTING")</f>
        <v xml:space="preserve">          6245 - PRINTING</v>
      </c>
      <c r="C89" s="11"/>
      <c r="D89" s="6">
        <v>28.44</v>
      </c>
      <c r="E89" s="2"/>
      <c r="F89" s="7">
        <f t="shared" si="60"/>
        <v>1.7023345153524566E-5</v>
      </c>
      <c r="G89" s="2"/>
      <c r="H89" s="6">
        <v>160</v>
      </c>
      <c r="I89" s="2"/>
      <c r="J89" s="7">
        <f t="shared" si="61"/>
        <v>9.4487649578378397E-5</v>
      </c>
      <c r="K89" s="2"/>
      <c r="L89" s="6">
        <f t="shared" si="62"/>
        <v>-131.56</v>
      </c>
      <c r="M89" s="2"/>
      <c r="N89" s="7">
        <f t="shared" si="63"/>
        <v>-0.82225000000000004</v>
      </c>
      <c r="O89" s="11"/>
      <c r="P89" s="6">
        <v>1351.44</v>
      </c>
      <c r="Q89" s="2"/>
      <c r="R89" s="7">
        <f t="shared" si="64"/>
        <v>3.2596512276901669E-4</v>
      </c>
      <c r="S89" s="2"/>
      <c r="T89" s="6">
        <v>630</v>
      </c>
      <c r="U89" s="2"/>
      <c r="V89" s="7">
        <f t="shared" si="65"/>
        <v>1.5131023858742525E-4</v>
      </c>
      <c r="W89" s="2"/>
      <c r="X89" s="6">
        <f t="shared" si="66"/>
        <v>721.44</v>
      </c>
      <c r="Y89" s="2"/>
      <c r="Z89" s="7">
        <f t="shared" si="67"/>
        <v>1.1451428571428572</v>
      </c>
    </row>
    <row r="90" spans="1:26" s="24" customFormat="1" hidden="1" outlineLevel="2" x14ac:dyDescent="0.25">
      <c r="A90" s="27"/>
      <c r="B90" s="11" t="str">
        <f>CONCATENATE("          ", "6247", " - ", "STORE SUPPLIES")</f>
        <v xml:space="preserve">          6247 - STORE SUPPLIES</v>
      </c>
      <c r="C90" s="11"/>
      <c r="D90" s="6">
        <v>110.38</v>
      </c>
      <c r="E90" s="2"/>
      <c r="F90" s="7">
        <f t="shared" si="60"/>
        <v>6.6070212308229302E-5</v>
      </c>
      <c r="G90" s="2"/>
      <c r="H90" s="6">
        <v>36</v>
      </c>
      <c r="I90" s="2"/>
      <c r="J90" s="7">
        <f t="shared" si="61"/>
        <v>2.1259721155135138E-5</v>
      </c>
      <c r="K90" s="2"/>
      <c r="L90" s="6">
        <f t="shared" si="62"/>
        <v>74.38</v>
      </c>
      <c r="M90" s="2"/>
      <c r="N90" s="7">
        <f t="shared" si="63"/>
        <v>2.0661111111111108</v>
      </c>
      <c r="O90" s="11"/>
      <c r="P90" s="6">
        <v>516.73</v>
      </c>
      <c r="Q90" s="2"/>
      <c r="R90" s="7">
        <f t="shared" si="64"/>
        <v>1.2463443281864826E-4</v>
      </c>
      <c r="S90" s="2"/>
      <c r="T90" s="6">
        <v>69</v>
      </c>
      <c r="U90" s="2"/>
      <c r="V90" s="7">
        <f t="shared" si="65"/>
        <v>1.6572073750051337E-5</v>
      </c>
      <c r="W90" s="2"/>
      <c r="X90" s="6">
        <f t="shared" si="66"/>
        <v>447.73</v>
      </c>
      <c r="Y90" s="2"/>
      <c r="Z90" s="7">
        <f t="shared" si="67"/>
        <v>6.4888405797101454</v>
      </c>
    </row>
    <row r="91" spans="1:26" s="24" customFormat="1" hidden="1" outlineLevel="2" x14ac:dyDescent="0.25">
      <c r="A91" s="27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60"/>
        <v>0</v>
      </c>
      <c r="G91" s="2"/>
      <c r="H91" s="6">
        <v>1875</v>
      </c>
      <c r="I91" s="2"/>
      <c r="J91" s="7">
        <f t="shared" si="61"/>
        <v>1.1072771434966217E-3</v>
      </c>
      <c r="K91" s="2"/>
      <c r="L91" s="6">
        <f t="shared" si="62"/>
        <v>-1875</v>
      </c>
      <c r="M91" s="2"/>
      <c r="N91" s="7">
        <f t="shared" si="63"/>
        <v>-1</v>
      </c>
      <c r="O91" s="11"/>
      <c r="P91" s="6">
        <v>-4455.75</v>
      </c>
      <c r="Q91" s="2"/>
      <c r="R91" s="7">
        <f t="shared" si="64"/>
        <v>-1.0747196292680741E-3</v>
      </c>
      <c r="S91" s="2"/>
      <c r="T91" s="6">
        <v>9500</v>
      </c>
      <c r="U91" s="2"/>
      <c r="V91" s="7">
        <f t="shared" si="65"/>
        <v>2.2816623279056187E-3</v>
      </c>
      <c r="W91" s="2"/>
      <c r="X91" s="6">
        <f t="shared" si="66"/>
        <v>-13955.75</v>
      </c>
      <c r="Y91" s="2"/>
      <c r="Z91" s="7">
        <f t="shared" si="67"/>
        <v>-1.4690263157894736</v>
      </c>
    </row>
    <row r="92" spans="1:26" s="26" customFormat="1" outlineLevel="1" collapsed="1" x14ac:dyDescent="0.25">
      <c r="A92" s="25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745.25</v>
      </c>
      <c r="E92" s="1"/>
      <c r="F92" s="5">
        <f t="shared" ref="F92:F98" si="68">IF(D$12=0,0,D92/D$12)</f>
        <v>4.460846686239164E-4</v>
      </c>
      <c r="G92" s="1"/>
      <c r="H92" s="1">
        <f>SUM(OSRRefH22_15x_0)</f>
        <v>793</v>
      </c>
      <c r="I92" s="1"/>
      <c r="J92" s="5">
        <f t="shared" ref="J92:J98" si="69">IF(H$12=0,0,H92/H$12)</f>
        <v>4.683044132228379E-4</v>
      </c>
      <c r="K92" s="1"/>
      <c r="L92" s="1">
        <f t="shared" ref="L92:L98" si="70">+D92-H92</f>
        <v>-47.75</v>
      </c>
      <c r="M92" s="1"/>
      <c r="N92" s="5">
        <f t="shared" ref="N92:N98" si="71">IF(H92=0,0,L92/H92)</f>
        <v>-6.0214375788146278E-2</v>
      </c>
      <c r="O92" s="13"/>
      <c r="P92" s="1">
        <f>SUM(OSRRefP22_15x_0)</f>
        <v>2212.4</v>
      </c>
      <c r="Q92" s="1"/>
      <c r="R92" s="5">
        <f t="shared" ref="R92:R98" si="72">IF(P$12=0,0,P92/P$12)</f>
        <v>5.3362726988558313E-4</v>
      </c>
      <c r="S92" s="1"/>
      <c r="T92" s="1">
        <f>SUM(OSRRefT22_15x_0)</f>
        <v>3172</v>
      </c>
      <c r="U92" s="1"/>
      <c r="V92" s="5">
        <f t="shared" ref="V92:V98" si="73">IF(T$12=0,0,T92/T$12)</f>
        <v>7.6183504253859188E-4</v>
      </c>
      <c r="W92" s="1"/>
      <c r="X92" s="1">
        <f t="shared" ref="X92:X98" si="74">+P92-T92</f>
        <v>-959.59999999999991</v>
      </c>
      <c r="Y92" s="1"/>
      <c r="Z92" s="5">
        <f t="shared" ref="Z92:Z98" si="75">IF(T92=0,0,X92/T92)</f>
        <v>-0.30252206809583854</v>
      </c>
    </row>
    <row r="93" spans="1:26" s="24" customFormat="1" hidden="1" outlineLevel="2" x14ac:dyDescent="0.25">
      <c r="A93" s="27"/>
      <c r="B93" s="11" t="str">
        <f>CONCATENATE("          ", "6309", " - ", "TELEPHONE")</f>
        <v xml:space="preserve">          6309 - TELEPHONE</v>
      </c>
      <c r="C93" s="11"/>
      <c r="D93" s="6">
        <v>745.25</v>
      </c>
      <c r="E93" s="2"/>
      <c r="F93" s="7">
        <f t="shared" si="68"/>
        <v>4.460846686239164E-4</v>
      </c>
      <c r="G93" s="2"/>
      <c r="H93" s="6">
        <v>793</v>
      </c>
      <c r="I93" s="2"/>
      <c r="J93" s="7">
        <f t="shared" si="69"/>
        <v>4.683044132228379E-4</v>
      </c>
      <c r="K93" s="2"/>
      <c r="L93" s="6">
        <f t="shared" si="70"/>
        <v>-47.75</v>
      </c>
      <c r="M93" s="2"/>
      <c r="N93" s="7">
        <f t="shared" si="71"/>
        <v>-6.0214375788146278E-2</v>
      </c>
      <c r="O93" s="11"/>
      <c r="P93" s="6">
        <v>2212.4</v>
      </c>
      <c r="Q93" s="2"/>
      <c r="R93" s="7">
        <f t="shared" si="72"/>
        <v>5.3362726988558313E-4</v>
      </c>
      <c r="S93" s="2"/>
      <c r="T93" s="6">
        <v>3172</v>
      </c>
      <c r="U93" s="2"/>
      <c r="V93" s="7">
        <f t="shared" si="73"/>
        <v>7.6183504253859188E-4</v>
      </c>
      <c r="W93" s="2"/>
      <c r="X93" s="6">
        <f t="shared" si="74"/>
        <v>-959.59999999999991</v>
      </c>
      <c r="Y93" s="2"/>
      <c r="Z93" s="7">
        <f t="shared" si="75"/>
        <v>-0.30252206809583854</v>
      </c>
    </row>
    <row r="94" spans="1:26" s="26" customFormat="1" outlineLevel="1" collapsed="1" x14ac:dyDescent="0.25">
      <c r="A94" s="25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144</v>
      </c>
      <c r="E94" s="1"/>
      <c r="F94" s="5">
        <f t="shared" si="68"/>
        <v>8.6194152676073751E-5</v>
      </c>
      <c r="G94" s="1"/>
      <c r="H94" s="1">
        <f>SUM(OSRRefH22_16x_0)</f>
        <v>1000</v>
      </c>
      <c r="I94" s="1"/>
      <c r="J94" s="5">
        <f t="shared" si="69"/>
        <v>5.9054780986486492E-4</v>
      </c>
      <c r="K94" s="1"/>
      <c r="L94" s="1">
        <f t="shared" si="70"/>
        <v>-856</v>
      </c>
      <c r="M94" s="1"/>
      <c r="N94" s="5">
        <f t="shared" si="71"/>
        <v>-0.85599999999999998</v>
      </c>
      <c r="O94" s="13"/>
      <c r="P94" s="1">
        <f>SUM(OSRRefP22_16x_0)</f>
        <v>3732.27</v>
      </c>
      <c r="Q94" s="1"/>
      <c r="R94" s="5">
        <f t="shared" si="72"/>
        <v>9.0021743381660886E-4</v>
      </c>
      <c r="S94" s="1"/>
      <c r="T94" s="1">
        <f>SUM(OSRRefT22_16x_0)</f>
        <v>6758</v>
      </c>
      <c r="U94" s="1"/>
      <c r="V94" s="5">
        <f t="shared" si="73"/>
        <v>1.6231025275774919E-3</v>
      </c>
      <c r="W94" s="1"/>
      <c r="X94" s="1">
        <f t="shared" si="74"/>
        <v>-3025.73</v>
      </c>
      <c r="Y94" s="1"/>
      <c r="Z94" s="5">
        <f t="shared" si="75"/>
        <v>-0.44772565847883988</v>
      </c>
    </row>
    <row r="95" spans="1:26" s="24" customFormat="1" hidden="1" outlineLevel="2" x14ac:dyDescent="0.25">
      <c r="A95" s="27"/>
      <c r="B95" s="11" t="str">
        <f>CONCATENATE("          ", "6376", " - ", "TRAINING")</f>
        <v xml:space="preserve">          6376 - TRAINING</v>
      </c>
      <c r="C95" s="11"/>
      <c r="D95" s="6">
        <v>144</v>
      </c>
      <c r="E95" s="2"/>
      <c r="F95" s="7">
        <f t="shared" si="68"/>
        <v>8.6194152676073751E-5</v>
      </c>
      <c r="G95" s="2"/>
      <c r="H95" s="6">
        <v>1000</v>
      </c>
      <c r="I95" s="2"/>
      <c r="J95" s="7">
        <f t="shared" si="69"/>
        <v>5.9054780986486492E-4</v>
      </c>
      <c r="K95" s="2"/>
      <c r="L95" s="6">
        <f t="shared" si="70"/>
        <v>-856</v>
      </c>
      <c r="M95" s="2"/>
      <c r="N95" s="7">
        <f t="shared" si="71"/>
        <v>-0.85599999999999998</v>
      </c>
      <c r="O95" s="11"/>
      <c r="P95" s="6">
        <v>3732.27</v>
      </c>
      <c r="Q95" s="2"/>
      <c r="R95" s="7">
        <f t="shared" si="72"/>
        <v>9.0021743381660886E-4</v>
      </c>
      <c r="S95" s="2"/>
      <c r="T95" s="6">
        <v>6758</v>
      </c>
      <c r="U95" s="2"/>
      <c r="V95" s="7">
        <f t="shared" si="73"/>
        <v>1.6231025275774919E-3</v>
      </c>
      <c r="W95" s="2"/>
      <c r="X95" s="6">
        <f t="shared" si="74"/>
        <v>-3025.73</v>
      </c>
      <c r="Y95" s="2"/>
      <c r="Z95" s="7">
        <f t="shared" si="75"/>
        <v>-0.44772565847883988</v>
      </c>
    </row>
    <row r="96" spans="1:26" s="26" customFormat="1" outlineLevel="1" collapsed="1" x14ac:dyDescent="0.25">
      <c r="A96" s="25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291.26</v>
      </c>
      <c r="E96" s="1"/>
      <c r="F96" s="5">
        <f t="shared" si="68"/>
        <v>1.7433964519745305E-4</v>
      </c>
      <c r="G96" s="1"/>
      <c r="H96" s="1">
        <f>SUM(OSRRefH22_17x_0)</f>
        <v>410</v>
      </c>
      <c r="I96" s="1"/>
      <c r="J96" s="5">
        <f t="shared" si="69"/>
        <v>2.4212460204459463E-4</v>
      </c>
      <c r="K96" s="1"/>
      <c r="L96" s="1">
        <f t="shared" si="70"/>
        <v>-118.74000000000001</v>
      </c>
      <c r="M96" s="1"/>
      <c r="N96" s="5">
        <f t="shared" si="71"/>
        <v>-0.28960975609756101</v>
      </c>
      <c r="O96" s="13"/>
      <c r="P96" s="1">
        <f>SUM(OSRRefP22_17x_0)</f>
        <v>1979.67</v>
      </c>
      <c r="Q96" s="1"/>
      <c r="R96" s="5">
        <f t="shared" si="72"/>
        <v>4.774931736459919E-4</v>
      </c>
      <c r="S96" s="1"/>
      <c r="T96" s="1">
        <f>SUM(OSRRefT22_17x_0)</f>
        <v>1640</v>
      </c>
      <c r="U96" s="1"/>
      <c r="V96" s="5">
        <f t="shared" si="73"/>
        <v>3.9388697029107527E-4</v>
      </c>
      <c r="W96" s="1"/>
      <c r="X96" s="1">
        <f t="shared" si="74"/>
        <v>339.67000000000007</v>
      </c>
      <c r="Y96" s="1"/>
      <c r="Z96" s="5">
        <f t="shared" si="75"/>
        <v>0.20711585365853663</v>
      </c>
    </row>
    <row r="97" spans="1:26" s="24" customFormat="1" hidden="1" outlineLevel="2" x14ac:dyDescent="0.25">
      <c r="A97" s="27"/>
      <c r="B97" s="11" t="str">
        <f>CONCATENATE("          ", "6292", " - ", "TRAVEL/CONFERENCE")</f>
        <v xml:space="preserve">          6292 - TRAVEL/CONFERENCE</v>
      </c>
      <c r="C97" s="11"/>
      <c r="D97" s="6">
        <v>291.26</v>
      </c>
      <c r="E97" s="2"/>
      <c r="F97" s="7">
        <f t="shared" si="68"/>
        <v>1.7433964519745305E-4</v>
      </c>
      <c r="G97" s="2"/>
      <c r="H97" s="6">
        <v>300</v>
      </c>
      <c r="I97" s="2"/>
      <c r="J97" s="7">
        <f t="shared" si="69"/>
        <v>1.771643429594595E-4</v>
      </c>
      <c r="K97" s="2"/>
      <c r="L97" s="6">
        <f t="shared" si="70"/>
        <v>-8.7400000000000091</v>
      </c>
      <c r="M97" s="2"/>
      <c r="N97" s="7">
        <f t="shared" si="71"/>
        <v>-2.9133333333333365E-2</v>
      </c>
      <c r="O97" s="11"/>
      <c r="P97" s="6">
        <v>1979.67</v>
      </c>
      <c r="Q97" s="2"/>
      <c r="R97" s="7">
        <f t="shared" si="72"/>
        <v>4.774931736459919E-4</v>
      </c>
      <c r="S97" s="2"/>
      <c r="T97" s="6">
        <v>1200</v>
      </c>
      <c r="U97" s="2"/>
      <c r="V97" s="7">
        <f t="shared" si="73"/>
        <v>2.8820997826176239E-4</v>
      </c>
      <c r="W97" s="2"/>
      <c r="X97" s="6">
        <f t="shared" si="74"/>
        <v>779.67000000000007</v>
      </c>
      <c r="Y97" s="2"/>
      <c r="Z97" s="7">
        <f t="shared" si="75"/>
        <v>0.64972500000000011</v>
      </c>
    </row>
    <row r="98" spans="1:26" s="24" customFormat="1" hidden="1" outlineLevel="2" x14ac:dyDescent="0.25">
      <c r="A98" s="27"/>
      <c r="B98" s="11" t="str">
        <f>CONCATENATE("          ", "6298", " - ", "VEHICLE MILEAGE")</f>
        <v xml:space="preserve">          6298 - VEHICLE MILEAGE</v>
      </c>
      <c r="C98" s="11"/>
      <c r="D98" s="6"/>
      <c r="E98" s="2"/>
      <c r="F98" s="7">
        <f t="shared" si="68"/>
        <v>0</v>
      </c>
      <c r="G98" s="2"/>
      <c r="H98" s="6">
        <v>110</v>
      </c>
      <c r="I98" s="2"/>
      <c r="J98" s="7">
        <f t="shared" si="69"/>
        <v>6.4960259085135143E-5</v>
      </c>
      <c r="K98" s="2"/>
      <c r="L98" s="6">
        <f t="shared" si="70"/>
        <v>-110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440</v>
      </c>
      <c r="U98" s="2"/>
      <c r="V98" s="7">
        <f t="shared" si="73"/>
        <v>1.0567699202931287E-4</v>
      </c>
      <c r="W98" s="2"/>
      <c r="X98" s="6">
        <f t="shared" si="74"/>
        <v>-440</v>
      </c>
      <c r="Y98" s="2"/>
      <c r="Z98" s="7">
        <f t="shared" si="75"/>
        <v>-1</v>
      </c>
    </row>
    <row r="99" spans="1:26" s="61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2">
        <f>+D25-D27+D100</f>
        <v>598942.00999999966</v>
      </c>
      <c r="E102" s="14"/>
      <c r="F102" s="20">
        <f>IF(D$12=0,0,D102/D$12)</f>
        <v>0.35850902120871153</v>
      </c>
      <c r="G102" s="14"/>
      <c r="H102" s="22">
        <f>+H25-H27+H100</f>
        <v>629305.12362331781</v>
      </c>
      <c r="I102" s="14"/>
      <c r="J102" s="20">
        <f>IF(H$12=0,0,H102/H$12)</f>
        <v>0.37163476249248839</v>
      </c>
      <c r="K102" s="16"/>
      <c r="L102" s="22">
        <f>+D102-H102</f>
        <v>-30363.113623318146</v>
      </c>
      <c r="M102" s="16"/>
      <c r="N102" s="20">
        <f>IF(H102=0,0,L102/H102)</f>
        <v>-4.824863565149129E-2</v>
      </c>
      <c r="O102" s="29"/>
      <c r="P102" s="22">
        <f>+P25-P27+P100</f>
        <v>1120511.2100000009</v>
      </c>
      <c r="Q102" s="14"/>
      <c r="R102" s="20">
        <f>IF(P$12=0,0,P102/P$12)</f>
        <v>0.27026547544227619</v>
      </c>
      <c r="S102" s="14"/>
      <c r="T102" s="22">
        <f>+T25-T27+T100</f>
        <v>1056793.9866260812</v>
      </c>
      <c r="U102" s="14"/>
      <c r="V102" s="20">
        <f>IF(T$12=0,0,T102/T$12)</f>
        <v>0.2538154765938867</v>
      </c>
      <c r="W102" s="16"/>
      <c r="X102" s="22">
        <f>+P102-T102</f>
        <v>63717.223373919725</v>
      </c>
      <c r="Y102" s="16"/>
      <c r="Z102" s="20">
        <f>IF(T102=0,0,X102/T102)</f>
        <v>6.0292946572626925E-2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151461.47999999998</v>
      </c>
      <c r="E104" s="4"/>
      <c r="F104" s="12">
        <f>IF(D$12=0,0,D104/D$12)</f>
        <v>9.0660374525445064E-2</v>
      </c>
      <c r="G104" s="4"/>
      <c r="H104" s="4">
        <v>188945</v>
      </c>
      <c r="I104" s="4"/>
      <c r="J104" s="12">
        <f>IF(H$12=0,0,H104/H$12)</f>
        <v>0.11158105593491691</v>
      </c>
      <c r="K104" s="4"/>
      <c r="L104" s="4">
        <f>+D104-H104</f>
        <v>-37483.520000000019</v>
      </c>
      <c r="M104" s="4"/>
      <c r="N104" s="12">
        <f>IF(H104=0,0,L104/H104)</f>
        <v>-0.19838323321601534</v>
      </c>
      <c r="O104" s="10"/>
      <c r="P104" s="4">
        <v>417343.43</v>
      </c>
      <c r="Q104" s="4"/>
      <c r="R104" s="12">
        <f>IF(P$12=0,0,P104/P$12)</f>
        <v>0.10066255431006373</v>
      </c>
      <c r="S104" s="4"/>
      <c r="T104" s="4">
        <v>501401.00000000006</v>
      </c>
      <c r="U104" s="4"/>
      <c r="V104" s="12">
        <f>IF(T$12=0,0,T104/T$12)</f>
        <v>0.12042397609202161</v>
      </c>
      <c r="W104" s="4"/>
      <c r="X104" s="4">
        <f>+P104-T104</f>
        <v>-84057.570000000065</v>
      </c>
      <c r="Y104" s="4"/>
      <c r="Z104" s="12">
        <f>IF(T104=0,0,X104/T104)</f>
        <v>-0.1676453975959363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1">
        <f>+D102-D104</f>
        <v>447480.52999999968</v>
      </c>
      <c r="E106" s="14"/>
      <c r="F106" s="33">
        <f>IF(D$12=0,0,D106/D$12)</f>
        <v>0.26784864668326647</v>
      </c>
      <c r="G106" s="14"/>
      <c r="H106" s="31">
        <f>+H102-H104</f>
        <v>440360.12362331781</v>
      </c>
      <c r="I106" s="14"/>
      <c r="J106" s="33">
        <f>IF(H$12=0,0,H106/H$12)</f>
        <v>0.26005370655757148</v>
      </c>
      <c r="K106" s="16"/>
      <c r="L106" s="31">
        <f>D106-H106</f>
        <v>7120.4063766818726</v>
      </c>
      <c r="M106" s="16"/>
      <c r="N106" s="33">
        <f>IF(H106=0,0,L106/H106)</f>
        <v>1.616950762501974E-2</v>
      </c>
      <c r="O106" s="29"/>
      <c r="P106" s="31">
        <f>+P102-P104</f>
        <v>703167.78000000096</v>
      </c>
      <c r="Q106" s="14"/>
      <c r="R106" s="33">
        <f>IF(P$12=0,0,P106/P$12)</f>
        <v>0.16960292113221248</v>
      </c>
      <c r="S106" s="14"/>
      <c r="T106" s="31">
        <f>+T102-T104</f>
        <v>555392.98662608117</v>
      </c>
      <c r="U106" s="14"/>
      <c r="V106" s="33">
        <f>IF(T$12=0,0,T106/T$12)</f>
        <v>0.13339150050186513</v>
      </c>
      <c r="W106" s="16"/>
      <c r="X106" s="31">
        <f>P106-T106</f>
        <v>147774.79337391979</v>
      </c>
      <c r="Y106" s="16"/>
      <c r="Z106" s="33">
        <f>IF(T106=0,0,X106/T106)</f>
        <v>0.26607248728801342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2">
        <f>SUM(D106:D108)</f>
        <v>447480.52999999968</v>
      </c>
      <c r="E109" s="14"/>
      <c r="F109" s="34">
        <f>IF(D$12=0,0,D109/D$12)</f>
        <v>0.26784864668326647</v>
      </c>
      <c r="G109" s="14"/>
      <c r="H109" s="32">
        <f>SUM(H106:H108)</f>
        <v>440360.12362331781</v>
      </c>
      <c r="I109" s="14"/>
      <c r="J109" s="34">
        <f>IF(H$12=0,0,H109/H$12)</f>
        <v>0.26005370655757148</v>
      </c>
      <c r="K109" s="16"/>
      <c r="L109" s="32">
        <f>+D109-H109</f>
        <v>7120.4063766818726</v>
      </c>
      <c r="M109" s="16"/>
      <c r="N109" s="34">
        <f>IF(H109=0,0,L109/H109)</f>
        <v>1.616950762501974E-2</v>
      </c>
      <c r="O109" s="29"/>
      <c r="P109" s="32">
        <f>SUM(P106:P108)</f>
        <v>703167.78000000096</v>
      </c>
      <c r="Q109" s="14"/>
      <c r="R109" s="34">
        <f>IF(P$12=0,0,P109/P$12)</f>
        <v>0.16960292113221248</v>
      </c>
      <c r="S109" s="14"/>
      <c r="T109" s="32">
        <f>SUM(T106:T108)</f>
        <v>555392.98662608117</v>
      </c>
      <c r="U109" s="14"/>
      <c r="V109" s="34">
        <f>IF(T$12=0,0,T109/T$12)</f>
        <v>0.13339150050186513</v>
      </c>
      <c r="W109" s="16"/>
      <c r="X109" s="32">
        <f>+P109-T109</f>
        <v>147774.79337391979</v>
      </c>
      <c r="Y109" s="16"/>
      <c r="Z109" s="34">
        <f>IF(T109=0,0,X109/T109)</f>
        <v>0.26607248728801342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60">
        <v>43791.347843437499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4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5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9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16308.98</v>
      </c>
      <c r="E18" s="21"/>
      <c r="F18" s="35">
        <f t="shared" ref="F18:F28" si="0">IF(D$12=0,0,D18/D$12)</f>
        <v>0</v>
      </c>
      <c r="G18" s="21"/>
      <c r="H18" s="21">
        <f>SUM(OSRRefH22x_0)</f>
        <v>15959.563479525001</v>
      </c>
      <c r="I18" s="21"/>
      <c r="J18" s="35">
        <f t="shared" ref="J18:J28" si="1">IF(H$12=0,0,H18/H$12)</f>
        <v>0</v>
      </c>
      <c r="K18" s="4"/>
      <c r="L18" s="21">
        <f t="shared" ref="L18:L28" si="2">+D18-H18</f>
        <v>349.41652047499883</v>
      </c>
      <c r="M18" s="4"/>
      <c r="N18" s="35">
        <f t="shared" ref="N18:N28" si="3">IF(H18=0,0,L18/H18)</f>
        <v>2.1893864510973353E-2</v>
      </c>
      <c r="O18" s="10"/>
      <c r="P18" s="21">
        <f>SUM(OSRRefP22x_0)</f>
        <v>64008.999999999993</v>
      </c>
      <c r="Q18" s="21"/>
      <c r="R18" s="35">
        <f t="shared" ref="R18:R28" si="4">IF(P$12=0,0,P18/P$12)</f>
        <v>0</v>
      </c>
      <c r="S18" s="21"/>
      <c r="T18" s="21">
        <f>SUM(OSRRefT22x_0)</f>
        <v>59035.228526289997</v>
      </c>
      <c r="U18" s="21"/>
      <c r="V18" s="35">
        <f t="shared" ref="V18:V28" si="5">IF(T$12=0,0,T18/T$12)</f>
        <v>0</v>
      </c>
      <c r="W18" s="4"/>
      <c r="X18" s="21">
        <f t="shared" ref="X18:X28" si="6">+P18-T18</f>
        <v>4973.7714737099959</v>
      </c>
      <c r="Y18" s="4"/>
      <c r="Z18" s="35">
        <f t="shared" ref="Z18:Z28" si="7">IF(T18=0,0,X18/T18)</f>
        <v>8.425090573664909E-2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7141.42</v>
      </c>
      <c r="E19" s="1"/>
      <c r="F19" s="5">
        <f t="shared" si="0"/>
        <v>0</v>
      </c>
      <c r="G19" s="1"/>
      <c r="H19" s="1">
        <f>SUM(OSRRefH22_0x_0)</f>
        <v>5071.4002295250002</v>
      </c>
      <c r="I19" s="1"/>
      <c r="J19" s="5">
        <f t="shared" si="1"/>
        <v>0</v>
      </c>
      <c r="K19" s="1"/>
      <c r="L19" s="1">
        <f t="shared" si="2"/>
        <v>2070.0197704749999</v>
      </c>
      <c r="M19" s="1"/>
      <c r="N19" s="5">
        <f t="shared" si="3"/>
        <v>0.4081751935932067</v>
      </c>
      <c r="O19" s="13"/>
      <c r="P19" s="1">
        <f>SUM(OSRRefP22_0x_0)</f>
        <v>24301.05</v>
      </c>
      <c r="Q19" s="1"/>
      <c r="R19" s="5">
        <f t="shared" si="4"/>
        <v>0</v>
      </c>
      <c r="S19" s="1"/>
      <c r="T19" s="1">
        <f>SUM(OSRRefT22_0x_0)</f>
        <v>19047.840826290001</v>
      </c>
      <c r="U19" s="1"/>
      <c r="V19" s="5">
        <f t="shared" si="5"/>
        <v>0</v>
      </c>
      <c r="W19" s="1"/>
      <c r="X19" s="1">
        <f t="shared" si="6"/>
        <v>5253.2091737099981</v>
      </c>
      <c r="Y19" s="1"/>
      <c r="Z19" s="5">
        <f t="shared" si="7"/>
        <v>0.27579027048879323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1785.17</v>
      </c>
      <c r="E20" s="2"/>
      <c r="F20" s="7">
        <f t="shared" si="0"/>
        <v>0</v>
      </c>
      <c r="G20" s="2"/>
      <c r="H20" s="6">
        <v>779.17431502500006</v>
      </c>
      <c r="I20" s="2"/>
      <c r="J20" s="7">
        <f t="shared" si="1"/>
        <v>0</v>
      </c>
      <c r="K20" s="2"/>
      <c r="L20" s="6">
        <f t="shared" si="2"/>
        <v>1005.995684975</v>
      </c>
      <c r="M20" s="2"/>
      <c r="N20" s="7">
        <f t="shared" si="3"/>
        <v>1.2911047830711955</v>
      </c>
      <c r="O20" s="11"/>
      <c r="P20" s="6">
        <v>3654.47</v>
      </c>
      <c r="Q20" s="2"/>
      <c r="R20" s="7">
        <f t="shared" si="4"/>
        <v>0</v>
      </c>
      <c r="S20" s="2"/>
      <c r="T20" s="6">
        <v>2805.0275340899998</v>
      </c>
      <c r="U20" s="2"/>
      <c r="V20" s="7">
        <f t="shared" si="5"/>
        <v>0</v>
      </c>
      <c r="W20" s="2"/>
      <c r="X20" s="6">
        <f t="shared" si="6"/>
        <v>849.44246591000001</v>
      </c>
      <c r="Y20" s="2"/>
      <c r="Z20" s="7">
        <f t="shared" si="7"/>
        <v>0.30282856606096525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164.59</v>
      </c>
      <c r="E21" s="2"/>
      <c r="F21" s="7">
        <f t="shared" si="0"/>
        <v>0</v>
      </c>
      <c r="G21" s="2"/>
      <c r="H21" s="6">
        <v>395.03414900000001</v>
      </c>
      <c r="I21" s="2"/>
      <c r="J21" s="7">
        <f t="shared" si="1"/>
        <v>0</v>
      </c>
      <c r="K21" s="2"/>
      <c r="L21" s="6">
        <f t="shared" si="2"/>
        <v>-230.44414900000001</v>
      </c>
      <c r="M21" s="2"/>
      <c r="N21" s="7">
        <f t="shared" si="3"/>
        <v>-0.58335247619314046</v>
      </c>
      <c r="O21" s="11"/>
      <c r="P21" s="6">
        <v>1112.68</v>
      </c>
      <c r="Q21" s="2"/>
      <c r="R21" s="7">
        <f t="shared" si="4"/>
        <v>0</v>
      </c>
      <c r="S21" s="2"/>
      <c r="T21" s="6">
        <v>1422.1229364000001</v>
      </c>
      <c r="U21" s="2"/>
      <c r="V21" s="7">
        <f t="shared" si="5"/>
        <v>0</v>
      </c>
      <c r="W21" s="2"/>
      <c r="X21" s="6">
        <f t="shared" si="6"/>
        <v>-309.44293640000001</v>
      </c>
      <c r="Y21" s="2"/>
      <c r="Z21" s="7">
        <f t="shared" si="7"/>
        <v>-0.21759225484635816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753.59999999999991</v>
      </c>
      <c r="M22" s="2"/>
      <c r="N22" s="7">
        <f t="shared" si="3"/>
        <v>0.38118361153262514</v>
      </c>
      <c r="O22" s="11"/>
      <c r="P22" s="6">
        <v>10922.4</v>
      </c>
      <c r="Q22" s="2"/>
      <c r="R22" s="7">
        <f t="shared" si="4"/>
        <v>0</v>
      </c>
      <c r="S22" s="2"/>
      <c r="T22" s="6">
        <v>7908</v>
      </c>
      <c r="U22" s="2"/>
      <c r="V22" s="7">
        <f t="shared" si="5"/>
        <v>0</v>
      </c>
      <c r="W22" s="2"/>
      <c r="X22" s="6">
        <f t="shared" si="6"/>
        <v>3014.3999999999996</v>
      </c>
      <c r="Y22" s="2"/>
      <c r="Z22" s="7">
        <f t="shared" si="7"/>
        <v>0.38118361153262514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50.08</v>
      </c>
      <c r="E23" s="2"/>
      <c r="F23" s="7">
        <f t="shared" si="0"/>
        <v>0</v>
      </c>
      <c r="G23" s="2"/>
      <c r="H23" s="6">
        <v>26.471360499999999</v>
      </c>
      <c r="I23" s="2"/>
      <c r="J23" s="7">
        <f t="shared" si="1"/>
        <v>0</v>
      </c>
      <c r="K23" s="2"/>
      <c r="L23" s="6">
        <f t="shared" si="2"/>
        <v>23.608639499999999</v>
      </c>
      <c r="M23" s="2"/>
      <c r="N23" s="7">
        <f t="shared" si="3"/>
        <v>0.89185591726575597</v>
      </c>
      <c r="O23" s="11"/>
      <c r="P23" s="6">
        <v>113.62</v>
      </c>
      <c r="Q23" s="2"/>
      <c r="R23" s="7">
        <f t="shared" si="4"/>
        <v>0</v>
      </c>
      <c r="S23" s="2"/>
      <c r="T23" s="6">
        <v>95.296897799999996</v>
      </c>
      <c r="U23" s="2"/>
      <c r="V23" s="7">
        <f t="shared" si="5"/>
        <v>0</v>
      </c>
      <c r="W23" s="2"/>
      <c r="X23" s="6">
        <f t="shared" si="6"/>
        <v>18.323102200000008</v>
      </c>
      <c r="Y23" s="2"/>
      <c r="Z23" s="7">
        <f t="shared" si="7"/>
        <v>0.19227385804787456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875.59115499999996</v>
      </c>
      <c r="I24" s="2"/>
      <c r="J24" s="7">
        <f t="shared" si="1"/>
        <v>0</v>
      </c>
      <c r="K24" s="2"/>
      <c r="L24" s="6">
        <f t="shared" si="2"/>
        <v>-306.66115500000001</v>
      </c>
      <c r="M24" s="2"/>
      <c r="N24" s="7">
        <f t="shared" si="3"/>
        <v>-0.35023327182879094</v>
      </c>
      <c r="O24" s="11"/>
      <c r="P24" s="6">
        <v>2275.7199999999998</v>
      </c>
      <c r="Q24" s="2"/>
      <c r="R24" s="7">
        <f t="shared" si="4"/>
        <v>0</v>
      </c>
      <c r="S24" s="2"/>
      <c r="T24" s="6">
        <v>3152.128158</v>
      </c>
      <c r="U24" s="2"/>
      <c r="V24" s="7">
        <f t="shared" si="5"/>
        <v>0</v>
      </c>
      <c r="W24" s="2"/>
      <c r="X24" s="6">
        <f t="shared" si="6"/>
        <v>-876.40815800000018</v>
      </c>
      <c r="Y24" s="2"/>
      <c r="Z24" s="7">
        <f t="shared" si="7"/>
        <v>-0.27803696869865663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1128.5999999999999</v>
      </c>
      <c r="E26" s="2"/>
      <c r="F26" s="7">
        <f t="shared" si="0"/>
        <v>0</v>
      </c>
      <c r="G26" s="2"/>
      <c r="H26" s="6">
        <v>712.69047499999999</v>
      </c>
      <c r="I26" s="2"/>
      <c r="J26" s="7">
        <f t="shared" si="1"/>
        <v>0</v>
      </c>
      <c r="K26" s="2"/>
      <c r="L26" s="6">
        <f t="shared" si="2"/>
        <v>415.90952499999992</v>
      </c>
      <c r="M26" s="2"/>
      <c r="N26" s="7">
        <f t="shared" si="3"/>
        <v>0.58357665717364882</v>
      </c>
      <c r="O26" s="11"/>
      <c r="P26" s="6">
        <v>3726.25</v>
      </c>
      <c r="Q26" s="2"/>
      <c r="R26" s="7">
        <f t="shared" si="4"/>
        <v>0</v>
      </c>
      <c r="S26" s="2"/>
      <c r="T26" s="6">
        <v>2565.6857100000002</v>
      </c>
      <c r="U26" s="2"/>
      <c r="V26" s="7">
        <f t="shared" si="5"/>
        <v>0</v>
      </c>
      <c r="W26" s="2"/>
      <c r="X26" s="6">
        <f t="shared" si="6"/>
        <v>1160.5642899999998</v>
      </c>
      <c r="Y26" s="2"/>
      <c r="Z26" s="7">
        <f t="shared" si="7"/>
        <v>0.45234078573092246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563.52</v>
      </c>
      <c r="E27" s="2"/>
      <c r="F27" s="7">
        <f t="shared" si="0"/>
        <v>0</v>
      </c>
      <c r="G27" s="2"/>
      <c r="H27" s="6">
        <v>305.43877500000002</v>
      </c>
      <c r="I27" s="2"/>
      <c r="J27" s="7">
        <f t="shared" si="1"/>
        <v>0</v>
      </c>
      <c r="K27" s="2"/>
      <c r="L27" s="6">
        <f t="shared" si="2"/>
        <v>258.08122499999996</v>
      </c>
      <c r="M27" s="2"/>
      <c r="N27" s="7">
        <f t="shared" si="3"/>
        <v>0.84495239676102007</v>
      </c>
      <c r="O27" s="11"/>
      <c r="P27" s="6">
        <v>1921.06</v>
      </c>
      <c r="Q27" s="2"/>
      <c r="R27" s="7">
        <f t="shared" si="4"/>
        <v>0</v>
      </c>
      <c r="S27" s="2"/>
      <c r="T27" s="6">
        <v>1099.5795900000001</v>
      </c>
      <c r="U27" s="2"/>
      <c r="V27" s="7">
        <f t="shared" si="5"/>
        <v>0</v>
      </c>
      <c r="W27" s="2"/>
      <c r="X27" s="6">
        <f t="shared" si="6"/>
        <v>821.48040999999989</v>
      </c>
      <c r="Y27" s="2"/>
      <c r="Z27" s="7">
        <f t="shared" si="7"/>
        <v>0.7470859021673909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149.93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149.93</v>
      </c>
      <c r="M28" s="2"/>
      <c r="N28" s="7">
        <f t="shared" si="3"/>
        <v>0</v>
      </c>
      <c r="O28" s="11"/>
      <c r="P28" s="6">
        <v>574.85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574.85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8959.81</v>
      </c>
      <c r="E29" s="1"/>
      <c r="F29" s="5">
        <f t="shared" ref="F29:F39" si="8">IF(D$12=0,0,D29/D$12)</f>
        <v>0</v>
      </c>
      <c r="G29" s="1"/>
      <c r="H29" s="1">
        <f>SUM(OSRRefH22_1x_0)</f>
        <v>9163.1632499999996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-203.35325000000012</v>
      </c>
      <c r="M29" s="1"/>
      <c r="N29" s="5">
        <f t="shared" ref="N29:N39" si="11">IF(H29=0,0,L29/H29)</f>
        <v>-2.2192472670395796E-2</v>
      </c>
      <c r="O29" s="13"/>
      <c r="P29" s="1">
        <f>SUM(OSRRefP22_1x_0)</f>
        <v>30136.659999999996</v>
      </c>
      <c r="Q29" s="1"/>
      <c r="R29" s="5">
        <f t="shared" ref="R29:R39" si="12">IF(P$12=0,0,P29/P$12)</f>
        <v>0</v>
      </c>
      <c r="S29" s="1"/>
      <c r="T29" s="1">
        <f>SUM(OSRRefT22_1x_0)</f>
        <v>32987.387699999999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-2850.7277000000031</v>
      </c>
      <c r="Y29" s="1"/>
      <c r="Z29" s="5">
        <f t="shared" ref="Z29:Z39" si="15">IF(T29=0,0,X29/T29)</f>
        <v>-8.6418716326543285E-2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8959.81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8959.81</v>
      </c>
      <c r="M30" s="2"/>
      <c r="N30" s="7">
        <f t="shared" si="11"/>
        <v>0</v>
      </c>
      <c r="O30" s="11"/>
      <c r="P30" s="6">
        <v>30136.659999999996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30136.659999999996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9163.1632499999996</v>
      </c>
      <c r="I31" s="2"/>
      <c r="J31" s="7">
        <f t="shared" si="9"/>
        <v>0</v>
      </c>
      <c r="K31" s="2"/>
      <c r="L31" s="6">
        <f t="shared" si="10"/>
        <v>-9163.1632499999996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32987.387699999999</v>
      </c>
      <c r="U31" s="2"/>
      <c r="V31" s="7">
        <f t="shared" si="13"/>
        <v>0</v>
      </c>
      <c r="W31" s="2"/>
      <c r="X31" s="6">
        <f t="shared" si="14"/>
        <v>-32987.387699999999</v>
      </c>
      <c r="Y31" s="2"/>
      <c r="Z31" s="7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500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-500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500</v>
      </c>
      <c r="U41" s="2"/>
      <c r="V41" s="7">
        <f t="shared" si="21"/>
        <v>0</v>
      </c>
      <c r="W41" s="2"/>
      <c r="X41" s="6">
        <f t="shared" si="22"/>
        <v>-500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400</v>
      </c>
      <c r="U42" s="1"/>
      <c r="V42" s="5">
        <f t="shared" si="21"/>
        <v>0</v>
      </c>
      <c r="W42" s="1"/>
      <c r="X42" s="1">
        <f t="shared" si="22"/>
        <v>-400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400</v>
      </c>
      <c r="U43" s="2"/>
      <c r="V43" s="7">
        <f t="shared" si="21"/>
        <v>0</v>
      </c>
      <c r="W43" s="2"/>
      <c r="X43" s="6">
        <f t="shared" si="22"/>
        <v>-400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1200</v>
      </c>
      <c r="U44" s="1"/>
      <c r="V44" s="5">
        <f t="shared" si="21"/>
        <v>0</v>
      </c>
      <c r="W44" s="1"/>
      <c r="X44" s="1">
        <f t="shared" si="22"/>
        <v>-1200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1200</v>
      </c>
      <c r="U45" s="2"/>
      <c r="V45" s="7">
        <f t="shared" si="21"/>
        <v>0</v>
      </c>
      <c r="W45" s="2"/>
      <c r="X45" s="6">
        <f t="shared" si="22"/>
        <v>-1200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127.55</v>
      </c>
      <c r="Q46" s="1"/>
      <c r="R46" s="5">
        <f t="shared" si="20"/>
        <v>0</v>
      </c>
      <c r="S46" s="1"/>
      <c r="T46" s="1">
        <f>SUM(OSRRefT22_5x_0)</f>
        <v>800</v>
      </c>
      <c r="U46" s="1"/>
      <c r="V46" s="5">
        <f t="shared" si="21"/>
        <v>0</v>
      </c>
      <c r="W46" s="1"/>
      <c r="X46" s="1">
        <f t="shared" si="22"/>
        <v>-672.45</v>
      </c>
      <c r="Y46" s="1"/>
      <c r="Z46" s="5">
        <f t="shared" si="23"/>
        <v>-0.8405625000000001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-200</v>
      </c>
      <c r="M47" s="2"/>
      <c r="N47" s="7">
        <f t="shared" si="19"/>
        <v>-1</v>
      </c>
      <c r="O47" s="11"/>
      <c r="P47" s="6">
        <v>127.55</v>
      </c>
      <c r="Q47" s="2"/>
      <c r="R47" s="7">
        <f t="shared" si="20"/>
        <v>0</v>
      </c>
      <c r="S47" s="2"/>
      <c r="T47" s="6">
        <v>800</v>
      </c>
      <c r="U47" s="2"/>
      <c r="V47" s="7">
        <f t="shared" si="21"/>
        <v>0</v>
      </c>
      <c r="W47" s="2"/>
      <c r="X47" s="6">
        <f t="shared" si="22"/>
        <v>-672.45</v>
      </c>
      <c r="Y47" s="2"/>
      <c r="Z47" s="7">
        <f t="shared" si="23"/>
        <v>-0.8405625000000001</v>
      </c>
    </row>
    <row r="48" spans="1:26" s="26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6340.43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6340.43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6340.43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6340.43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133.77000000000001</v>
      </c>
      <c r="E50" s="1"/>
      <c r="F50" s="5">
        <f t="shared" si="16"/>
        <v>0</v>
      </c>
      <c r="G50" s="1"/>
      <c r="H50" s="1">
        <f>SUM(OSRRefH22_7x_0)</f>
        <v>300</v>
      </c>
      <c r="I50" s="1"/>
      <c r="J50" s="5">
        <f t="shared" si="17"/>
        <v>0</v>
      </c>
      <c r="K50" s="1"/>
      <c r="L50" s="1">
        <f t="shared" si="18"/>
        <v>-166.23</v>
      </c>
      <c r="M50" s="1"/>
      <c r="N50" s="5">
        <f t="shared" si="19"/>
        <v>-0.55409999999999993</v>
      </c>
      <c r="O50" s="13"/>
      <c r="P50" s="1">
        <f>SUM(OSRRefP22_7x_0)</f>
        <v>2338.31</v>
      </c>
      <c r="Q50" s="1"/>
      <c r="R50" s="5">
        <f t="shared" si="20"/>
        <v>0</v>
      </c>
      <c r="S50" s="1"/>
      <c r="T50" s="1">
        <f>SUM(OSRRefT22_7x_0)</f>
        <v>1300</v>
      </c>
      <c r="U50" s="1"/>
      <c r="V50" s="5">
        <f t="shared" si="21"/>
        <v>0</v>
      </c>
      <c r="W50" s="1"/>
      <c r="X50" s="1">
        <f t="shared" si="22"/>
        <v>1038.31</v>
      </c>
      <c r="Y50" s="1"/>
      <c r="Z50" s="5">
        <f t="shared" si="23"/>
        <v>0.79869999999999997</v>
      </c>
    </row>
    <row r="51" spans="1:26" s="24" customFormat="1" hidden="1" outlineLevel="2" x14ac:dyDescent="0.25">
      <c r="A51" s="27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400</v>
      </c>
      <c r="U51" s="2"/>
      <c r="V51" s="7">
        <f t="shared" si="21"/>
        <v>0</v>
      </c>
      <c r="W51" s="2"/>
      <c r="X51" s="6">
        <f t="shared" si="22"/>
        <v>-400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400</v>
      </c>
      <c r="U52" s="2"/>
      <c r="V52" s="7">
        <f t="shared" si="21"/>
        <v>0</v>
      </c>
      <c r="W52" s="2"/>
      <c r="X52" s="6">
        <f t="shared" si="22"/>
        <v>-400</v>
      </c>
      <c r="Y52" s="2"/>
      <c r="Z52" s="7">
        <f t="shared" si="23"/>
        <v>-1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6">
        <v>133.77000000000001</v>
      </c>
      <c r="E53" s="2"/>
      <c r="F53" s="7">
        <f t="shared" si="16"/>
        <v>0</v>
      </c>
      <c r="G53" s="2"/>
      <c r="H53" s="6">
        <v>200</v>
      </c>
      <c r="I53" s="2"/>
      <c r="J53" s="7">
        <f t="shared" si="17"/>
        <v>0</v>
      </c>
      <c r="K53" s="2"/>
      <c r="L53" s="6">
        <f t="shared" si="18"/>
        <v>-66.22999999999999</v>
      </c>
      <c r="M53" s="2"/>
      <c r="N53" s="7">
        <f t="shared" si="19"/>
        <v>-0.33114999999999994</v>
      </c>
      <c r="O53" s="11"/>
      <c r="P53" s="6">
        <v>2338.31</v>
      </c>
      <c r="Q53" s="2"/>
      <c r="R53" s="7">
        <f t="shared" si="20"/>
        <v>0</v>
      </c>
      <c r="S53" s="2"/>
      <c r="T53" s="6">
        <v>500</v>
      </c>
      <c r="U53" s="2"/>
      <c r="V53" s="7">
        <f t="shared" si="21"/>
        <v>0</v>
      </c>
      <c r="W53" s="2"/>
      <c r="X53" s="6">
        <f t="shared" si="22"/>
        <v>1838.31</v>
      </c>
      <c r="Y53" s="2"/>
      <c r="Z53" s="7">
        <f t="shared" si="23"/>
        <v>3.6766199999999998</v>
      </c>
    </row>
    <row r="54" spans="1:26" s="26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-700</v>
      </c>
      <c r="Q54" s="1"/>
      <c r="R54" s="5">
        <f t="shared" ref="R54:R59" si="28">IF(P$12=0,0,P54/P$12)</f>
        <v>0</v>
      </c>
      <c r="S54" s="1"/>
      <c r="T54" s="1">
        <f>SUM(OSRRefT22_8x_0)</f>
        <v>400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-1100</v>
      </c>
      <c r="Y54" s="1"/>
      <c r="Z54" s="5">
        <f t="shared" ref="Z54:Z59" si="31">IF(T54=0,0,X54/T54)</f>
        <v>-2.75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-700</v>
      </c>
      <c r="Q55" s="2"/>
      <c r="R55" s="7">
        <f t="shared" si="28"/>
        <v>0</v>
      </c>
      <c r="S55" s="2"/>
      <c r="T55" s="6">
        <v>400</v>
      </c>
      <c r="U55" s="2"/>
      <c r="V55" s="7">
        <f t="shared" si="29"/>
        <v>0</v>
      </c>
      <c r="W55" s="2"/>
      <c r="X55" s="6">
        <f t="shared" si="30"/>
        <v>-1100</v>
      </c>
      <c r="Y55" s="2"/>
      <c r="Z55" s="7">
        <f t="shared" si="31"/>
        <v>-2.75</v>
      </c>
    </row>
    <row r="56" spans="1:26" s="26" customFormat="1" outlineLevel="1" collapsed="1" x14ac:dyDescent="0.25">
      <c r="A56" s="25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1321.12</v>
      </c>
      <c r="Q56" s="1"/>
      <c r="R56" s="5">
        <f t="shared" si="28"/>
        <v>0</v>
      </c>
      <c r="S56" s="1"/>
      <c r="T56" s="1">
        <f>SUM(OSRRefT22_9x_0)</f>
        <v>1200</v>
      </c>
      <c r="U56" s="1"/>
      <c r="V56" s="5">
        <f t="shared" si="29"/>
        <v>0</v>
      </c>
      <c r="W56" s="1"/>
      <c r="X56" s="1">
        <f t="shared" si="30"/>
        <v>121.11999999999989</v>
      </c>
      <c r="Y56" s="1"/>
      <c r="Z56" s="5">
        <f t="shared" si="31"/>
        <v>0.10093333333333324</v>
      </c>
    </row>
    <row r="57" spans="1:26" s="24" customFormat="1" hidden="1" outlineLevel="2" x14ac:dyDescent="0.25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1321.12</v>
      </c>
      <c r="Q57" s="2"/>
      <c r="R57" s="7">
        <f t="shared" si="28"/>
        <v>0</v>
      </c>
      <c r="S57" s="2"/>
      <c r="T57" s="6">
        <v>1200</v>
      </c>
      <c r="U57" s="2"/>
      <c r="V57" s="7">
        <f t="shared" si="29"/>
        <v>0</v>
      </c>
      <c r="W57" s="2"/>
      <c r="X57" s="6">
        <f t="shared" si="30"/>
        <v>121.11999999999989</v>
      </c>
      <c r="Y57" s="2"/>
      <c r="Z57" s="7">
        <f t="shared" si="31"/>
        <v>0.10093333333333324</v>
      </c>
    </row>
    <row r="58" spans="1:26" s="26" customFormat="1" outlineLevel="1" collapsed="1" x14ac:dyDescent="0.25">
      <c r="A58" s="25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23.98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-276.02</v>
      </c>
      <c r="M58" s="1"/>
      <c r="N58" s="5">
        <f t="shared" si="27"/>
        <v>-0.92006666666666659</v>
      </c>
      <c r="O58" s="13"/>
      <c r="P58" s="1">
        <f>SUM(OSRRefP22_10x_0)</f>
        <v>143.88</v>
      </c>
      <c r="Q58" s="1"/>
      <c r="R58" s="5">
        <f t="shared" si="28"/>
        <v>0</v>
      </c>
      <c r="S58" s="1"/>
      <c r="T58" s="1">
        <f>SUM(OSRRefT22_10x_0)</f>
        <v>1200</v>
      </c>
      <c r="U58" s="1"/>
      <c r="V58" s="5">
        <f t="shared" si="29"/>
        <v>0</v>
      </c>
      <c r="W58" s="1"/>
      <c r="X58" s="1">
        <f t="shared" si="30"/>
        <v>-1056.1199999999999</v>
      </c>
      <c r="Y58" s="1"/>
      <c r="Z58" s="5">
        <f t="shared" si="31"/>
        <v>-0.88009999999999988</v>
      </c>
    </row>
    <row r="59" spans="1:26" s="24" customFormat="1" hidden="1" outlineLevel="2" x14ac:dyDescent="0.25">
      <c r="A59" s="27"/>
      <c r="B59" s="11" t="str">
        <f>CONCATENATE("          ", "6292", " - ", "TRAVEL/CONFERENCE")</f>
        <v xml:space="preserve">          6292 - TRAVEL/CONFERENCE</v>
      </c>
      <c r="C59" s="11"/>
      <c r="D59" s="6">
        <v>23.98</v>
      </c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-276.02</v>
      </c>
      <c r="M59" s="2"/>
      <c r="N59" s="7">
        <f t="shared" si="27"/>
        <v>-0.92006666666666659</v>
      </c>
      <c r="O59" s="11"/>
      <c r="P59" s="6">
        <v>143.88</v>
      </c>
      <c r="Q59" s="2"/>
      <c r="R59" s="7">
        <f t="shared" si="28"/>
        <v>0</v>
      </c>
      <c r="S59" s="2"/>
      <c r="T59" s="6">
        <v>1200</v>
      </c>
      <c r="U59" s="2"/>
      <c r="V59" s="7">
        <f t="shared" si="29"/>
        <v>0</v>
      </c>
      <c r="W59" s="2"/>
      <c r="X59" s="6">
        <f t="shared" si="30"/>
        <v>-1056.1199999999999</v>
      </c>
      <c r="Y59" s="2"/>
      <c r="Z59" s="7">
        <f t="shared" si="31"/>
        <v>-0.88009999999999988</v>
      </c>
    </row>
    <row r="60" spans="1:26" s="61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2">
        <f>+D16-D18+D61</f>
        <v>-16308.98</v>
      </c>
      <c r="E63" s="14"/>
      <c r="F63" s="20">
        <f>IF(D$12=0,0,D63/D$12)</f>
        <v>0</v>
      </c>
      <c r="G63" s="14"/>
      <c r="H63" s="22">
        <f>+H16-H18+H61</f>
        <v>-15959.563479525001</v>
      </c>
      <c r="I63" s="14"/>
      <c r="J63" s="20">
        <f>IF(H$12=0,0,H63/H$12)</f>
        <v>0</v>
      </c>
      <c r="K63" s="16"/>
      <c r="L63" s="22">
        <f>+D63-H63</f>
        <v>-349.41652047499883</v>
      </c>
      <c r="M63" s="16"/>
      <c r="N63" s="20">
        <f>IF(H63=0,0,L63/H63)</f>
        <v>2.1893864510973353E-2</v>
      </c>
      <c r="O63" s="29"/>
      <c r="P63" s="22">
        <f>+P16-P18+P61</f>
        <v>-64008.999999999993</v>
      </c>
      <c r="Q63" s="14"/>
      <c r="R63" s="20">
        <f>IF(P$12=0,0,P63/P$12)</f>
        <v>0</v>
      </c>
      <c r="S63" s="14"/>
      <c r="T63" s="22">
        <f>+T16-T18+T61</f>
        <v>-59035.228526289997</v>
      </c>
      <c r="U63" s="14"/>
      <c r="V63" s="20">
        <f>IF(T$12=0,0,T63/T$12)</f>
        <v>0</v>
      </c>
      <c r="W63" s="16"/>
      <c r="X63" s="22">
        <f>+P63-T63</f>
        <v>-4973.7714737099959</v>
      </c>
      <c r="Y63" s="16"/>
      <c r="Z63" s="20">
        <f>IF(T63=0,0,X63/T63)</f>
        <v>8.425090573664909E-2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-16308.98</v>
      </c>
      <c r="E67" s="14"/>
      <c r="F67" s="33">
        <f>IF(D$12=0,0,D67/D$12)</f>
        <v>0</v>
      </c>
      <c r="G67" s="14"/>
      <c r="H67" s="31">
        <f>+H63-H65</f>
        <v>-15959.563479525001</v>
      </c>
      <c r="I67" s="14"/>
      <c r="J67" s="33">
        <f>IF(H$12=0,0,H67/H$12)</f>
        <v>0</v>
      </c>
      <c r="K67" s="16"/>
      <c r="L67" s="31">
        <f>D67-H67</f>
        <v>-349.41652047499883</v>
      </c>
      <c r="M67" s="16"/>
      <c r="N67" s="33">
        <f>IF(H67=0,0,L67/H67)</f>
        <v>2.1893864510973353E-2</v>
      </c>
      <c r="O67" s="29"/>
      <c r="P67" s="31">
        <f>+P63-P65</f>
        <v>-64008.999999999993</v>
      </c>
      <c r="Q67" s="14"/>
      <c r="R67" s="33">
        <f>IF(P$12=0,0,P67/P$12)</f>
        <v>0</v>
      </c>
      <c r="S67" s="14"/>
      <c r="T67" s="31">
        <f>+T63-T65</f>
        <v>-59035.228526289997</v>
      </c>
      <c r="U67" s="14"/>
      <c r="V67" s="33">
        <f>IF(T$12=0,0,T67/T$12)</f>
        <v>0</v>
      </c>
      <c r="W67" s="16"/>
      <c r="X67" s="31">
        <f>P67-T67</f>
        <v>-4973.7714737099959</v>
      </c>
      <c r="Y67" s="16"/>
      <c r="Z67" s="33">
        <f>IF(T67=0,0,X67/T67)</f>
        <v>8.425090573664909E-2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-16308.98</v>
      </c>
      <c r="E70" s="14"/>
      <c r="F70" s="34">
        <f>IF(D$12=0,0,D70/D$12)</f>
        <v>0</v>
      </c>
      <c r="G70" s="14"/>
      <c r="H70" s="32">
        <f>SUM(H67:H69)</f>
        <v>-15959.563479525001</v>
      </c>
      <c r="I70" s="14"/>
      <c r="J70" s="34">
        <f>IF(H$12=0,0,H70/H$12)</f>
        <v>0</v>
      </c>
      <c r="K70" s="16"/>
      <c r="L70" s="32">
        <f>+D70-H70</f>
        <v>-349.41652047499883</v>
      </c>
      <c r="M70" s="16"/>
      <c r="N70" s="34">
        <f>IF(H70=0,0,L70/H70)</f>
        <v>2.1893864510973353E-2</v>
      </c>
      <c r="O70" s="29"/>
      <c r="P70" s="32">
        <f>SUM(P67:P69)</f>
        <v>-64008.999999999993</v>
      </c>
      <c r="Q70" s="14"/>
      <c r="R70" s="34">
        <f>IF(P$12=0,0,P70/P$12)</f>
        <v>0</v>
      </c>
      <c r="S70" s="14"/>
      <c r="T70" s="32">
        <f>SUM(T67:T69)</f>
        <v>-59035.228526289997</v>
      </c>
      <c r="U70" s="14"/>
      <c r="V70" s="34">
        <f>IF(T$12=0,0,T70/T$12)</f>
        <v>0</v>
      </c>
      <c r="W70" s="16"/>
      <c r="X70" s="32">
        <f>+P70-T70</f>
        <v>-4973.7714737099959</v>
      </c>
      <c r="Y70" s="16"/>
      <c r="Z70" s="34">
        <f>IF(T70=0,0,X70/T70)</f>
        <v>8.425090573664909E-2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0">
        <v>43791.348666747683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4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5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656256.06999999995</v>
      </c>
      <c r="E12" s="4"/>
      <c r="F12" s="12"/>
      <c r="G12" s="4"/>
      <c r="H12" s="4">
        <f>SUM(OSRRefH13x_0)</f>
        <v>670000</v>
      </c>
      <c r="I12" s="4"/>
      <c r="J12" s="12"/>
      <c r="K12" s="4"/>
      <c r="L12" s="4">
        <f t="shared" ref="L12:L16" si="0">+D12-H12</f>
        <v>-13743.930000000051</v>
      </c>
      <c r="M12" s="4"/>
      <c r="N12" s="12">
        <f t="shared" ref="N12:N16" si="1">IF(H12=0,0,L12/H12)</f>
        <v>-2.0513328358209033E-2</v>
      </c>
      <c r="O12" s="10"/>
      <c r="P12" s="4">
        <f>SUM(OSRRefP13x_0)</f>
        <v>1721506.65</v>
      </c>
      <c r="Q12" s="4"/>
      <c r="R12" s="12"/>
      <c r="S12" s="4"/>
      <c r="T12" s="4">
        <f>SUM(OSRRefT13x_0)</f>
        <v>1774670</v>
      </c>
      <c r="U12" s="4"/>
      <c r="V12" s="12"/>
      <c r="W12" s="4"/>
      <c r="X12" s="4">
        <f t="shared" ref="X12:X16" si="2">+P12-T12</f>
        <v>-53163.350000000093</v>
      </c>
      <c r="Y12" s="4"/>
      <c r="Z12" s="12">
        <f t="shared" ref="Z12:Z16" si="3">IF(T12=0,0,X12/T12)</f>
        <v>-2.9956752523004331E-2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--5537.86</f>
        <v>5537.86</v>
      </c>
      <c r="E13" s="2"/>
      <c r="F13" s="19"/>
      <c r="G13" s="2"/>
      <c r="H13" s="2"/>
      <c r="I13" s="2"/>
      <c r="J13" s="19"/>
      <c r="K13" s="2"/>
      <c r="L13" s="2">
        <f t="shared" si="0"/>
        <v>5537.86</v>
      </c>
      <c r="M13" s="2"/>
      <c r="N13" s="19">
        <f t="shared" si="1"/>
        <v>0</v>
      </c>
      <c r="O13" s="11"/>
      <c r="P13" s="2">
        <f>--7524.95</f>
        <v>7524.95</v>
      </c>
      <c r="Q13" s="2"/>
      <c r="R13" s="19"/>
      <c r="S13" s="2"/>
      <c r="T13" s="2"/>
      <c r="U13" s="2"/>
      <c r="V13" s="19"/>
      <c r="W13" s="2"/>
      <c r="X13" s="2">
        <f t="shared" si="2"/>
        <v>7524.95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670000</v>
      </c>
      <c r="I14" s="2"/>
      <c r="J14" s="19"/>
      <c r="K14" s="2"/>
      <c r="L14" s="2">
        <f t="shared" si="0"/>
        <v>-670000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1774670</v>
      </c>
      <c r="U14" s="2"/>
      <c r="V14" s="19"/>
      <c r="W14" s="2"/>
      <c r="X14" s="2">
        <f t="shared" si="2"/>
        <v>-1774670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--627986.26</f>
        <v>627986.26</v>
      </c>
      <c r="E15" s="2"/>
      <c r="F15" s="19"/>
      <c r="G15" s="2"/>
      <c r="H15" s="2"/>
      <c r="I15" s="2"/>
      <c r="J15" s="19"/>
      <c r="K15" s="2"/>
      <c r="L15" s="2">
        <f t="shared" si="0"/>
        <v>627986.26</v>
      </c>
      <c r="M15" s="2"/>
      <c r="N15" s="19">
        <f t="shared" si="1"/>
        <v>0</v>
      </c>
      <c r="O15" s="11"/>
      <c r="P15" s="2">
        <f>--1558168.79</f>
        <v>1558168.79</v>
      </c>
      <c r="Q15" s="2"/>
      <c r="R15" s="19"/>
      <c r="S15" s="2"/>
      <c r="T15" s="2"/>
      <c r="U15" s="2"/>
      <c r="V15" s="19"/>
      <c r="W15" s="2"/>
      <c r="X15" s="2">
        <f t="shared" si="2"/>
        <v>1558168.79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--22731.95</f>
        <v>22731.95</v>
      </c>
      <c r="E16" s="2"/>
      <c r="F16" s="19"/>
      <c r="G16" s="2"/>
      <c r="H16" s="2"/>
      <c r="I16" s="2"/>
      <c r="J16" s="19"/>
      <c r="K16" s="2"/>
      <c r="L16" s="2">
        <f t="shared" si="0"/>
        <v>22731.95</v>
      </c>
      <c r="M16" s="2"/>
      <c r="N16" s="19">
        <f t="shared" si="1"/>
        <v>0</v>
      </c>
      <c r="O16" s="11"/>
      <c r="P16" s="2">
        <f>--155812.91</f>
        <v>155812.91</v>
      </c>
      <c r="Q16" s="2"/>
      <c r="R16" s="19"/>
      <c r="S16" s="2"/>
      <c r="T16" s="2"/>
      <c r="U16" s="2"/>
      <c r="V16" s="19"/>
      <c r="W16" s="2"/>
      <c r="X16" s="2">
        <f t="shared" si="2"/>
        <v>155812.91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159318.32999999999</v>
      </c>
      <c r="E18" s="4"/>
      <c r="F18" s="12">
        <f t="shared" ref="F18:F21" si="4">IF(D$12=0,0,D18/D$12)</f>
        <v>0.24276854307800916</v>
      </c>
      <c r="G18" s="4"/>
      <c r="H18" s="4">
        <f>SUM(OSRRefH16x_0)</f>
        <v>167500</v>
      </c>
      <c r="I18" s="4"/>
      <c r="J18" s="12">
        <f t="shared" ref="J18:J21" si="5">IF(H$12=0,0,H18/H$12)</f>
        <v>0.25</v>
      </c>
      <c r="K18" s="4"/>
      <c r="L18" s="4">
        <f t="shared" ref="L18:L21" si="6">+D18-H18</f>
        <v>-8181.6700000000128</v>
      </c>
      <c r="M18" s="4"/>
      <c r="N18" s="12">
        <f t="shared" ref="N18:N21" si="7">IF(H18=0,0,L18/H18)</f>
        <v>-4.8845791044776196E-2</v>
      </c>
      <c r="O18" s="10"/>
      <c r="P18" s="4">
        <f>SUM(OSRRefP16x_0)</f>
        <v>408740.18</v>
      </c>
      <c r="Q18" s="4"/>
      <c r="R18" s="12">
        <f t="shared" ref="R18:R21" si="8">IF(P$12=0,0,P18/P$12)</f>
        <v>0.23743165906445962</v>
      </c>
      <c r="S18" s="4"/>
      <c r="T18" s="4">
        <f>SUM(OSRRefT16x_0)</f>
        <v>466834</v>
      </c>
      <c r="U18" s="4"/>
      <c r="V18" s="12">
        <f t="shared" ref="V18:V21" si="9">IF(T$12=0,0,T18/T$12)</f>
        <v>0.26305397623220089</v>
      </c>
      <c r="W18" s="4"/>
      <c r="X18" s="4">
        <f t="shared" ref="X18:X21" si="10">+P18-T18</f>
        <v>-58093.820000000007</v>
      </c>
      <c r="Y18" s="4"/>
      <c r="Z18" s="12">
        <f t="shared" ref="Z18:Z21" si="11">IF(T18=0,0,X18/T18)</f>
        <v>-0.12444213574846735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167500</v>
      </c>
      <c r="I19" s="2"/>
      <c r="J19" s="19">
        <f t="shared" si="5"/>
        <v>0.25</v>
      </c>
      <c r="K19" s="2"/>
      <c r="L19" s="2">
        <f t="shared" si="6"/>
        <v>-167500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466834</v>
      </c>
      <c r="U19" s="2"/>
      <c r="V19" s="19">
        <f t="shared" si="9"/>
        <v>0.26305397623220089</v>
      </c>
      <c r="W19" s="2"/>
      <c r="X19" s="2">
        <f t="shared" si="10"/>
        <v>-466834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160994.82999999999</v>
      </c>
      <c r="E20" s="2"/>
      <c r="F20" s="19">
        <f t="shared" si="4"/>
        <v>0.24532318611544424</v>
      </c>
      <c r="G20" s="2"/>
      <c r="H20" s="2"/>
      <c r="I20" s="2"/>
      <c r="J20" s="19">
        <f t="shared" si="5"/>
        <v>0</v>
      </c>
      <c r="K20" s="2"/>
      <c r="L20" s="2">
        <f t="shared" si="6"/>
        <v>160994.82999999999</v>
      </c>
      <c r="M20" s="2"/>
      <c r="N20" s="19">
        <f t="shared" si="7"/>
        <v>0</v>
      </c>
      <c r="O20" s="11"/>
      <c r="P20" s="2">
        <v>417890.93</v>
      </c>
      <c r="Q20" s="2"/>
      <c r="R20" s="19">
        <f t="shared" si="8"/>
        <v>0.24274720634974023</v>
      </c>
      <c r="S20" s="2"/>
      <c r="T20" s="2"/>
      <c r="U20" s="2"/>
      <c r="V20" s="19">
        <f t="shared" si="9"/>
        <v>0</v>
      </c>
      <c r="W20" s="2"/>
      <c r="X20" s="2">
        <f t="shared" si="10"/>
        <v>417890.93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-1676.5</v>
      </c>
      <c r="E21" s="2"/>
      <c r="F21" s="19">
        <f t="shared" si="4"/>
        <v>-2.5546430374350673E-3</v>
      </c>
      <c r="G21" s="2"/>
      <c r="H21" s="2"/>
      <c r="I21" s="2"/>
      <c r="J21" s="19">
        <f t="shared" si="5"/>
        <v>0</v>
      </c>
      <c r="K21" s="2"/>
      <c r="L21" s="2">
        <f t="shared" si="6"/>
        <v>-1676.5</v>
      </c>
      <c r="M21" s="2"/>
      <c r="N21" s="19">
        <f t="shared" si="7"/>
        <v>0</v>
      </c>
      <c r="O21" s="11"/>
      <c r="P21" s="2">
        <v>-9150.75</v>
      </c>
      <c r="Q21" s="2"/>
      <c r="R21" s="19">
        <f t="shared" si="8"/>
        <v>-5.3155472852806007E-3</v>
      </c>
      <c r="S21" s="2"/>
      <c r="T21" s="2"/>
      <c r="U21" s="2"/>
      <c r="V21" s="19">
        <f t="shared" si="9"/>
        <v>0</v>
      </c>
      <c r="W21" s="2"/>
      <c r="X21" s="2">
        <f t="shared" si="10"/>
        <v>-9150.75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496937.74</v>
      </c>
      <c r="E23" s="14"/>
      <c r="F23" s="20">
        <f>IF(D$12=0,0,D23/D$12)</f>
        <v>0.7572314569219909</v>
      </c>
      <c r="G23" s="14"/>
      <c r="H23" s="22">
        <f>H12-H18</f>
        <v>502500</v>
      </c>
      <c r="I23" s="14"/>
      <c r="J23" s="20">
        <f>IF(H$12=0,0,H23/H$12)</f>
        <v>0.75</v>
      </c>
      <c r="K23" s="16"/>
      <c r="L23" s="22">
        <f>+D23-H23</f>
        <v>-5562.2600000000093</v>
      </c>
      <c r="M23" s="16"/>
      <c r="N23" s="20">
        <f>IF(H23=0,0,L23/H23)</f>
        <v>-1.1069174129353253E-2</v>
      </c>
      <c r="O23" s="29"/>
      <c r="P23" s="22">
        <f>P12-P18</f>
        <v>1312766.47</v>
      </c>
      <c r="Q23" s="14"/>
      <c r="R23" s="20">
        <f>IF(P$12=0,0,P23/P$12)</f>
        <v>0.76256834093554038</v>
      </c>
      <c r="S23" s="14"/>
      <c r="T23" s="22">
        <f>T12-T18</f>
        <v>1307836</v>
      </c>
      <c r="U23" s="14"/>
      <c r="V23" s="20">
        <f>IF(T$12=0,0,T23/T$12)</f>
        <v>0.73694602376779905</v>
      </c>
      <c r="W23" s="16"/>
      <c r="X23" s="22">
        <f>+P23-T23</f>
        <v>4930.4699999999721</v>
      </c>
      <c r="Y23" s="16"/>
      <c r="Z23" s="20">
        <f>IF(T23=0,0,X23/T23)</f>
        <v>3.7699451613198995E-3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229211.44000000006</v>
      </c>
      <c r="E25" s="21"/>
      <c r="F25" s="35">
        <f t="shared" ref="F25:F36" si="12">IF(D$12=0,0,D25/D$12)</f>
        <v>0.34927134464447707</v>
      </c>
      <c r="G25" s="21"/>
      <c r="H25" s="21">
        <f>SUM(OSRRefH22x_0)</f>
        <v>229270.12579935417</v>
      </c>
      <c r="I25" s="21"/>
      <c r="J25" s="35">
        <f t="shared" ref="J25:J36" si="13">IF(H$12=0,0,H25/H$12)</f>
        <v>0.34219421761097635</v>
      </c>
      <c r="K25" s="4"/>
      <c r="L25" s="21">
        <f t="shared" ref="L25:L36" si="14">+D25-H25</f>
        <v>-58.685799354105256</v>
      </c>
      <c r="M25" s="4"/>
      <c r="N25" s="35">
        <f t="shared" ref="N25:N36" si="15">IF(H25=0,0,L25/H25)</f>
        <v>-2.5596792931262296E-4</v>
      </c>
      <c r="O25" s="10"/>
      <c r="P25" s="21">
        <f>SUM(OSRRefP22x_0)</f>
        <v>691171.21000000008</v>
      </c>
      <c r="Q25" s="21"/>
      <c r="R25" s="35">
        <f t="shared" ref="R25:R36" si="16">IF(P$12=0,0,P25/P$12)</f>
        <v>0.40149203606038936</v>
      </c>
      <c r="S25" s="21"/>
      <c r="T25" s="21">
        <f>SUM(OSRRefT22x_0)</f>
        <v>759121.3332358289</v>
      </c>
      <c r="U25" s="21"/>
      <c r="V25" s="35">
        <f t="shared" ref="V25:V36" si="17">IF(T$12=0,0,T25/T$12)</f>
        <v>0.42775351656129246</v>
      </c>
      <c r="W25" s="4"/>
      <c r="X25" s="21">
        <f t="shared" ref="X25:X36" si="18">+P25-T25</f>
        <v>-67950.123235828825</v>
      </c>
      <c r="Y25" s="4"/>
      <c r="Z25" s="35">
        <f t="shared" ref="Z25:Z36" si="19">IF(T25=0,0,X25/T25)</f>
        <v>-8.9511544809556046E-2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28145.74</v>
      </c>
      <c r="E26" s="1"/>
      <c r="F26" s="5">
        <f t="shared" si="12"/>
        <v>4.2888349969852475E-2</v>
      </c>
      <c r="G26" s="1"/>
      <c r="H26" s="1">
        <f>SUM(OSRRefH22_0x_0)</f>
        <v>33793.977830892669</v>
      </c>
      <c r="I26" s="1"/>
      <c r="J26" s="5">
        <f t="shared" si="13"/>
        <v>5.0438772881929356E-2</v>
      </c>
      <c r="K26" s="1"/>
      <c r="L26" s="1">
        <f t="shared" si="14"/>
        <v>-5648.2378308926673</v>
      </c>
      <c r="M26" s="1"/>
      <c r="N26" s="5">
        <f t="shared" si="15"/>
        <v>-0.16713740711900885</v>
      </c>
      <c r="O26" s="13"/>
      <c r="P26" s="1">
        <f>SUM(OSRRefP22_0x_0)</f>
        <v>112637.24</v>
      </c>
      <c r="Q26" s="1"/>
      <c r="R26" s="5">
        <f t="shared" si="16"/>
        <v>6.5429453903067994E-2</v>
      </c>
      <c r="S26" s="1"/>
      <c r="T26" s="1">
        <f>SUM(OSRRefT22_0x_0)</f>
        <v>129255.68854936749</v>
      </c>
      <c r="U26" s="1"/>
      <c r="V26" s="5">
        <f t="shared" si="17"/>
        <v>7.2833647128405565E-2</v>
      </c>
      <c r="W26" s="1"/>
      <c r="X26" s="1">
        <f t="shared" si="18"/>
        <v>-16618.448549367487</v>
      </c>
      <c r="Y26" s="1"/>
      <c r="Z26" s="5">
        <f t="shared" si="19"/>
        <v>-0.12857034561399819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6572.71</v>
      </c>
      <c r="E27" s="2"/>
      <c r="F27" s="7">
        <f t="shared" si="12"/>
        <v>1.0015465456951889E-2</v>
      </c>
      <c r="G27" s="2"/>
      <c r="H27" s="6">
        <v>5086.4531179003907</v>
      </c>
      <c r="I27" s="2"/>
      <c r="J27" s="7">
        <f t="shared" si="13"/>
        <v>7.5917210714931205E-3</v>
      </c>
      <c r="K27" s="2"/>
      <c r="L27" s="6">
        <f t="shared" si="14"/>
        <v>1486.2568820996094</v>
      </c>
      <c r="M27" s="2"/>
      <c r="N27" s="7">
        <f t="shared" si="15"/>
        <v>0.29219907225117869</v>
      </c>
      <c r="O27" s="11"/>
      <c r="P27" s="6">
        <v>19799.769999999997</v>
      </c>
      <c r="Q27" s="2"/>
      <c r="R27" s="7">
        <f t="shared" si="16"/>
        <v>1.1501419410723739E-2</v>
      </c>
      <c r="S27" s="2"/>
      <c r="T27" s="6">
        <v>22737.603976441402</v>
      </c>
      <c r="U27" s="2"/>
      <c r="V27" s="7">
        <f t="shared" si="17"/>
        <v>1.2812299738228179E-2</v>
      </c>
      <c r="W27" s="2"/>
      <c r="X27" s="6">
        <f t="shared" si="18"/>
        <v>-2937.833976441405</v>
      </c>
      <c r="Y27" s="2"/>
      <c r="Z27" s="7">
        <f t="shared" si="19"/>
        <v>-0.12920596116834984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-728.59</v>
      </c>
      <c r="E28" s="2"/>
      <c r="F28" s="7">
        <f t="shared" si="12"/>
        <v>-1.1102221119265229E-3</v>
      </c>
      <c r="G28" s="2"/>
      <c r="H28" s="6">
        <v>4464.4645416769199</v>
      </c>
      <c r="I28" s="2"/>
      <c r="J28" s="7">
        <f t="shared" si="13"/>
        <v>6.6633799129506271E-3</v>
      </c>
      <c r="K28" s="2"/>
      <c r="L28" s="6">
        <f t="shared" si="14"/>
        <v>-5193.0545416769201</v>
      </c>
      <c r="M28" s="2"/>
      <c r="N28" s="7">
        <f t="shared" si="15"/>
        <v>-1.1631976227380521</v>
      </c>
      <c r="O28" s="11"/>
      <c r="P28" s="6">
        <v>7594.37</v>
      </c>
      <c r="Q28" s="2"/>
      <c r="R28" s="7">
        <f t="shared" si="16"/>
        <v>4.4114671296796911E-3</v>
      </c>
      <c r="S28" s="2"/>
      <c r="T28" s="6">
        <v>15299.114270036922</v>
      </c>
      <c r="U28" s="2"/>
      <c r="V28" s="7">
        <f t="shared" si="17"/>
        <v>8.6208220514444496E-3</v>
      </c>
      <c r="W28" s="2"/>
      <c r="X28" s="6">
        <f t="shared" si="18"/>
        <v>-7704.744270036922</v>
      </c>
      <c r="Y28" s="2"/>
      <c r="Z28" s="7">
        <f t="shared" si="19"/>
        <v>-0.50360721111329587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12745.03</v>
      </c>
      <c r="E29" s="2"/>
      <c r="F29" s="7">
        <f t="shared" si="12"/>
        <v>1.9420818461915335E-2</v>
      </c>
      <c r="G29" s="2"/>
      <c r="H29" s="6">
        <v>17552.769230769198</v>
      </c>
      <c r="I29" s="2"/>
      <c r="J29" s="7">
        <f t="shared" si="13"/>
        <v>2.6198163030998804E-2</v>
      </c>
      <c r="K29" s="2"/>
      <c r="L29" s="6">
        <f t="shared" si="14"/>
        <v>-4807.7392307691971</v>
      </c>
      <c r="M29" s="2"/>
      <c r="N29" s="7">
        <f t="shared" si="15"/>
        <v>-0.27390203605830193</v>
      </c>
      <c r="O29" s="11"/>
      <c r="P29" s="6">
        <v>50826.11</v>
      </c>
      <c r="Q29" s="2"/>
      <c r="R29" s="7">
        <f t="shared" si="16"/>
        <v>2.9524201954142903E-2</v>
      </c>
      <c r="S29" s="2"/>
      <c r="T29" s="6">
        <v>67623.923076923005</v>
      </c>
      <c r="U29" s="2"/>
      <c r="V29" s="7">
        <f t="shared" si="17"/>
        <v>3.8105069154785398E-2</v>
      </c>
      <c r="W29" s="2"/>
      <c r="X29" s="6">
        <f t="shared" si="18"/>
        <v>-16797.813076923005</v>
      </c>
      <c r="Y29" s="2"/>
      <c r="Z29" s="7">
        <f t="shared" si="19"/>
        <v>-0.24840045227508165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262.42</v>
      </c>
      <c r="E30" s="2"/>
      <c r="F30" s="7">
        <f t="shared" si="12"/>
        <v>3.9987439659034323E-4</v>
      </c>
      <c r="G30" s="2"/>
      <c r="H30" s="6">
        <v>299.16514969999997</v>
      </c>
      <c r="I30" s="2"/>
      <c r="J30" s="7">
        <f t="shared" si="13"/>
        <v>4.4651514880597013E-4</v>
      </c>
      <c r="K30" s="2"/>
      <c r="L30" s="6">
        <f t="shared" si="14"/>
        <v>-36.745149699999956</v>
      </c>
      <c r="M30" s="2"/>
      <c r="N30" s="7">
        <f t="shared" si="15"/>
        <v>-0.12282563572945462</v>
      </c>
      <c r="O30" s="11"/>
      <c r="P30" s="6">
        <v>820.13</v>
      </c>
      <c r="Q30" s="2"/>
      <c r="R30" s="7">
        <f t="shared" si="16"/>
        <v>4.7640245827688206E-4</v>
      </c>
      <c r="S30" s="2"/>
      <c r="T30" s="6">
        <v>1025.1983789199999</v>
      </c>
      <c r="U30" s="2"/>
      <c r="V30" s="7">
        <f t="shared" si="17"/>
        <v>5.7768395190091677E-4</v>
      </c>
      <c r="W30" s="2"/>
      <c r="X30" s="6">
        <f t="shared" si="18"/>
        <v>-205.06837891999987</v>
      </c>
      <c r="Y30" s="2"/>
      <c r="Z30" s="7">
        <f t="shared" si="19"/>
        <v>-0.20002799764083723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1630.79</v>
      </c>
      <c r="E31" s="2"/>
      <c r="F31" s="7">
        <f t="shared" si="12"/>
        <v>2.4849903483559399E-3</v>
      </c>
      <c r="G31" s="2"/>
      <c r="H31" s="6">
        <v>1588.03464392308</v>
      </c>
      <c r="I31" s="2"/>
      <c r="J31" s="7">
        <f t="shared" si="13"/>
        <v>2.3702009610792238E-3</v>
      </c>
      <c r="K31" s="2"/>
      <c r="L31" s="6">
        <f t="shared" si="14"/>
        <v>42.755356076919952</v>
      </c>
      <c r="M31" s="2"/>
      <c r="N31" s="7">
        <f t="shared" si="15"/>
        <v>2.6923440392520117E-2</v>
      </c>
      <c r="O31" s="11"/>
      <c r="P31" s="6">
        <v>5282.72</v>
      </c>
      <c r="Q31" s="2"/>
      <c r="R31" s="7">
        <f t="shared" si="16"/>
        <v>3.0686608152225266E-3</v>
      </c>
      <c r="S31" s="2"/>
      <c r="T31" s="6">
        <v>5716.9247181230803</v>
      </c>
      <c r="U31" s="2"/>
      <c r="V31" s="7">
        <f t="shared" si="17"/>
        <v>3.2214015665577717E-3</v>
      </c>
      <c r="W31" s="2"/>
      <c r="X31" s="6">
        <f t="shared" si="18"/>
        <v>-434.20471812308006</v>
      </c>
      <c r="Y31" s="2"/>
      <c r="Z31" s="7">
        <f t="shared" si="19"/>
        <v>-7.5950749665570819E-2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452.39</v>
      </c>
      <c r="E33" s="2"/>
      <c r="F33" s="7">
        <f t="shared" si="12"/>
        <v>6.8934981431866991E-4</v>
      </c>
      <c r="G33" s="2"/>
      <c r="H33" s="6"/>
      <c r="I33" s="2"/>
      <c r="J33" s="7">
        <f t="shared" si="13"/>
        <v>0</v>
      </c>
      <c r="K33" s="2"/>
      <c r="L33" s="6">
        <f t="shared" si="14"/>
        <v>452.39</v>
      </c>
      <c r="M33" s="2"/>
      <c r="N33" s="7">
        <f t="shared" si="15"/>
        <v>0</v>
      </c>
      <c r="O33" s="11"/>
      <c r="P33" s="6">
        <v>1680.7</v>
      </c>
      <c r="Q33" s="2"/>
      <c r="R33" s="7">
        <f t="shared" si="16"/>
        <v>9.7629596725635657E-4</v>
      </c>
      <c r="S33" s="2"/>
      <c r="T33" s="6"/>
      <c r="U33" s="2"/>
      <c r="V33" s="7">
        <f t="shared" si="17"/>
        <v>0</v>
      </c>
      <c r="W33" s="2"/>
      <c r="X33" s="6">
        <f t="shared" si="18"/>
        <v>1680.7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3431.36</v>
      </c>
      <c r="E34" s="2"/>
      <c r="F34" s="7">
        <f t="shared" si="12"/>
        <v>5.2286906847200674E-3</v>
      </c>
      <c r="G34" s="2"/>
      <c r="H34" s="6">
        <v>1616.9255734615401</v>
      </c>
      <c r="I34" s="2"/>
      <c r="J34" s="7">
        <f t="shared" si="13"/>
        <v>2.4133217514351346E-3</v>
      </c>
      <c r="K34" s="2"/>
      <c r="L34" s="6">
        <f t="shared" si="14"/>
        <v>1814.43442653846</v>
      </c>
      <c r="M34" s="2"/>
      <c r="N34" s="7">
        <f t="shared" si="15"/>
        <v>1.1221508623022702</v>
      </c>
      <c r="O34" s="11"/>
      <c r="P34" s="6">
        <v>11287.02</v>
      </c>
      <c r="Q34" s="2"/>
      <c r="R34" s="7">
        <f t="shared" si="16"/>
        <v>6.5564777225809731E-3</v>
      </c>
      <c r="S34" s="2"/>
      <c r="T34" s="6">
        <v>6033.5240644615396</v>
      </c>
      <c r="U34" s="2"/>
      <c r="V34" s="7">
        <f t="shared" si="17"/>
        <v>3.3998005626181427E-3</v>
      </c>
      <c r="W34" s="2"/>
      <c r="X34" s="6">
        <f t="shared" si="18"/>
        <v>5253.4959355384608</v>
      </c>
      <c r="Y34" s="2"/>
      <c r="Z34" s="7">
        <f t="shared" si="19"/>
        <v>0.87071765678079016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2413.02</v>
      </c>
      <c r="E35" s="2"/>
      <c r="F35" s="7">
        <f t="shared" si="12"/>
        <v>3.6769488471169497E-3</v>
      </c>
      <c r="G35" s="2"/>
      <c r="H35" s="6">
        <v>3186.1655734615401</v>
      </c>
      <c r="I35" s="2"/>
      <c r="J35" s="7">
        <f t="shared" si="13"/>
        <v>4.7554710051664782E-3</v>
      </c>
      <c r="K35" s="2"/>
      <c r="L35" s="6">
        <f t="shared" si="14"/>
        <v>-773.14557346154015</v>
      </c>
      <c r="M35" s="2"/>
      <c r="N35" s="7">
        <f t="shared" si="15"/>
        <v>-0.24265706085750371</v>
      </c>
      <c r="O35" s="11"/>
      <c r="P35" s="6">
        <v>11466.98</v>
      </c>
      <c r="Q35" s="2"/>
      <c r="R35" s="7">
        <f t="shared" si="16"/>
        <v>6.6610140599805412E-3</v>
      </c>
      <c r="S35" s="2"/>
      <c r="T35" s="6">
        <v>10819.400064461541</v>
      </c>
      <c r="U35" s="2"/>
      <c r="V35" s="7">
        <f t="shared" si="17"/>
        <v>6.0965701028706971E-3</v>
      </c>
      <c r="W35" s="2"/>
      <c r="X35" s="6">
        <f t="shared" si="18"/>
        <v>647.57993553845881</v>
      </c>
      <c r="Y35" s="2"/>
      <c r="Z35" s="7">
        <f t="shared" si="19"/>
        <v>5.9853590003161372E-2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1366.61</v>
      </c>
      <c r="E36" s="2"/>
      <c r="F36" s="7">
        <f t="shared" si="12"/>
        <v>2.0824340718098044E-3</v>
      </c>
      <c r="G36" s="2"/>
      <c r="H36" s="6"/>
      <c r="I36" s="2"/>
      <c r="J36" s="7">
        <f t="shared" si="13"/>
        <v>0</v>
      </c>
      <c r="K36" s="2"/>
      <c r="L36" s="6">
        <f t="shared" si="14"/>
        <v>1366.61</v>
      </c>
      <c r="M36" s="2"/>
      <c r="N36" s="7">
        <f t="shared" si="15"/>
        <v>0</v>
      </c>
      <c r="O36" s="11"/>
      <c r="P36" s="6">
        <v>3879.44</v>
      </c>
      <c r="Q36" s="2"/>
      <c r="R36" s="7">
        <f t="shared" si="16"/>
        <v>2.2535143852043791E-3</v>
      </c>
      <c r="S36" s="2"/>
      <c r="T36" s="6"/>
      <c r="U36" s="2"/>
      <c r="V36" s="7">
        <f t="shared" si="17"/>
        <v>0</v>
      </c>
      <c r="W36" s="2"/>
      <c r="X36" s="6">
        <f t="shared" si="18"/>
        <v>3879.44</v>
      </c>
      <c r="Y36" s="2"/>
      <c r="Z36" s="7">
        <f t="shared" si="19"/>
        <v>0</v>
      </c>
    </row>
    <row r="37" spans="1:26" s="26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116498.82</v>
      </c>
      <c r="E37" s="1"/>
      <c r="F37" s="5">
        <f t="shared" ref="F37:F47" si="20">IF(D$12=0,0,D37/D$12)</f>
        <v>0.17752036944968755</v>
      </c>
      <c r="G37" s="1"/>
      <c r="H37" s="1">
        <f>SUM(OSRRefH22_1x_0)</f>
        <v>112361.1479684615</v>
      </c>
      <c r="I37" s="1"/>
      <c r="J37" s="5">
        <f t="shared" ref="J37:J47" si="21">IF(H$12=0,0,H37/H$12)</f>
        <v>0.16770320592307686</v>
      </c>
      <c r="K37" s="1"/>
      <c r="L37" s="1">
        <f t="shared" ref="L37:L47" si="22">+D37-H37</f>
        <v>4137.6720315385028</v>
      </c>
      <c r="M37" s="1"/>
      <c r="N37" s="5">
        <f t="shared" ref="N37:N47" si="23">IF(H37=0,0,L37/H37)</f>
        <v>3.6824757546086127E-2</v>
      </c>
      <c r="O37" s="13"/>
      <c r="P37" s="1">
        <f>SUM(OSRRefP22_1x_0)</f>
        <v>351081.57999999996</v>
      </c>
      <c r="Q37" s="1"/>
      <c r="R37" s="5">
        <f t="shared" ref="R37:R47" si="24">IF(P$12=0,0,P37/P$12)</f>
        <v>0.20393855579936329</v>
      </c>
      <c r="S37" s="1"/>
      <c r="T37" s="1">
        <f>SUM(OSRRefT22_1x_0)</f>
        <v>384259.64468646143</v>
      </c>
      <c r="U37" s="1"/>
      <c r="V37" s="5">
        <f t="shared" ref="V37:V47" si="25">IF(T$12=0,0,T37/T$12)</f>
        <v>0.2165245621363191</v>
      </c>
      <c r="W37" s="1"/>
      <c r="X37" s="1">
        <f t="shared" ref="X37:X47" si="26">+P37-T37</f>
        <v>-33178.064686461468</v>
      </c>
      <c r="Y37" s="1"/>
      <c r="Z37" s="5">
        <f t="shared" ref="Z37:Z47" si="27">IF(T37=0,0,X37/T37)</f>
        <v>-8.6342828723357815E-2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16527.080000000002</v>
      </c>
      <c r="E39" s="2"/>
      <c r="F39" s="7">
        <f t="shared" si="20"/>
        <v>2.5183888965781304E-2</v>
      </c>
      <c r="G39" s="2"/>
      <c r="H39" s="6">
        <v>17357.587968461503</v>
      </c>
      <c r="I39" s="2"/>
      <c r="J39" s="7">
        <f t="shared" si="21"/>
        <v>2.5906847714121647E-2</v>
      </c>
      <c r="K39" s="2"/>
      <c r="L39" s="6">
        <f t="shared" si="22"/>
        <v>-830.50796846150115</v>
      </c>
      <c r="M39" s="2"/>
      <c r="N39" s="7">
        <f t="shared" si="23"/>
        <v>-4.7846968713079412E-2</v>
      </c>
      <c r="O39" s="11"/>
      <c r="P39" s="6">
        <v>60667.590000000004</v>
      </c>
      <c r="Q39" s="2"/>
      <c r="R39" s="7">
        <f t="shared" si="24"/>
        <v>3.5240984982544216E-2</v>
      </c>
      <c r="S39" s="2"/>
      <c r="T39" s="6">
        <v>62487.316686461403</v>
      </c>
      <c r="U39" s="2"/>
      <c r="V39" s="7">
        <f t="shared" si="25"/>
        <v>3.5210668285631359E-2</v>
      </c>
      <c r="W39" s="2"/>
      <c r="X39" s="6">
        <f t="shared" si="26"/>
        <v>-1819.7266864613994</v>
      </c>
      <c r="Y39" s="2"/>
      <c r="Z39" s="7">
        <f t="shared" si="27"/>
        <v>-2.9121536704674409E-2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29811.79</v>
      </c>
      <c r="E41" s="2"/>
      <c r="F41" s="7">
        <f t="shared" si="20"/>
        <v>4.5427069345050024E-2</v>
      </c>
      <c r="G41" s="2"/>
      <c r="H41" s="6">
        <v>46403.56</v>
      </c>
      <c r="I41" s="2"/>
      <c r="J41" s="7">
        <f t="shared" si="21"/>
        <v>6.9259044776119397E-2</v>
      </c>
      <c r="K41" s="2"/>
      <c r="L41" s="6">
        <f t="shared" si="22"/>
        <v>-16591.769999999997</v>
      </c>
      <c r="M41" s="2"/>
      <c r="N41" s="7">
        <f t="shared" si="23"/>
        <v>-0.3575538169916273</v>
      </c>
      <c r="O41" s="11"/>
      <c r="P41" s="6">
        <v>72618.81</v>
      </c>
      <c r="Q41" s="2"/>
      <c r="R41" s="7">
        <f t="shared" si="24"/>
        <v>4.2183287528979339E-2</v>
      </c>
      <c r="S41" s="2"/>
      <c r="T41" s="6">
        <v>177322.32800000001</v>
      </c>
      <c r="U41" s="2"/>
      <c r="V41" s="7">
        <f t="shared" si="25"/>
        <v>9.9918479491961892E-2</v>
      </c>
      <c r="W41" s="2"/>
      <c r="X41" s="6">
        <f t="shared" si="26"/>
        <v>-104703.51800000001</v>
      </c>
      <c r="Y41" s="2"/>
      <c r="Z41" s="7">
        <f t="shared" si="27"/>
        <v>-0.59047001683848865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21276.43</v>
      </c>
      <c r="E42" s="2"/>
      <c r="F42" s="7">
        <f t="shared" si="20"/>
        <v>3.2420926788532416E-2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21276.43</v>
      </c>
      <c r="M42" s="2"/>
      <c r="N42" s="7">
        <f t="shared" si="23"/>
        <v>0</v>
      </c>
      <c r="O42" s="11"/>
      <c r="P42" s="6">
        <v>61894.009999999995</v>
      </c>
      <c r="Q42" s="2"/>
      <c r="R42" s="7">
        <f t="shared" si="24"/>
        <v>3.5953395823362051E-2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61894.009999999995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>
        <v>1806</v>
      </c>
      <c r="E43" s="2"/>
      <c r="F43" s="7">
        <f t="shared" si="20"/>
        <v>2.7519745455459178E-3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1806</v>
      </c>
      <c r="M43" s="2"/>
      <c r="N43" s="7">
        <f t="shared" si="23"/>
        <v>0</v>
      </c>
      <c r="O43" s="11"/>
      <c r="P43" s="6">
        <v>8513.07</v>
      </c>
      <c r="Q43" s="2"/>
      <c r="R43" s="7">
        <f t="shared" si="24"/>
        <v>4.9451275718278521E-3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8513.07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42141.020000000004</v>
      </c>
      <c r="E44" s="2"/>
      <c r="F44" s="7">
        <f t="shared" si="20"/>
        <v>6.4214293667409439E-2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42141.020000000004</v>
      </c>
      <c r="M44" s="2"/>
      <c r="N44" s="7">
        <f t="shared" si="23"/>
        <v>0</v>
      </c>
      <c r="O44" s="11"/>
      <c r="P44" s="6">
        <v>136021.1</v>
      </c>
      <c r="Q44" s="2"/>
      <c r="R44" s="7">
        <f t="shared" si="24"/>
        <v>7.9012822866527999E-2</v>
      </c>
      <c r="S44" s="2"/>
      <c r="T44" s="6">
        <v>47250</v>
      </c>
      <c r="U44" s="2"/>
      <c r="V44" s="7">
        <f t="shared" si="25"/>
        <v>2.6624668248181351E-2</v>
      </c>
      <c r="W44" s="2"/>
      <c r="X44" s="6">
        <f t="shared" si="26"/>
        <v>88771.1</v>
      </c>
      <c r="Y44" s="2"/>
      <c r="Z44" s="7">
        <f t="shared" si="27"/>
        <v>1.8787534391534393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4936.5</v>
      </c>
      <c r="E45" s="2"/>
      <c r="F45" s="7">
        <f t="shared" si="20"/>
        <v>7.5222161373684517E-3</v>
      </c>
      <c r="G45" s="2"/>
      <c r="H45" s="6">
        <v>48600</v>
      </c>
      <c r="I45" s="2"/>
      <c r="J45" s="7">
        <f t="shared" si="21"/>
        <v>7.2537313432835815E-2</v>
      </c>
      <c r="K45" s="2"/>
      <c r="L45" s="6">
        <f t="shared" si="22"/>
        <v>-43663.5</v>
      </c>
      <c r="M45" s="2"/>
      <c r="N45" s="7">
        <f t="shared" si="23"/>
        <v>-0.89842592592592596</v>
      </c>
      <c r="O45" s="11"/>
      <c r="P45" s="6">
        <v>11367</v>
      </c>
      <c r="Q45" s="2"/>
      <c r="R45" s="7">
        <f t="shared" si="24"/>
        <v>6.602937026121857E-3</v>
      </c>
      <c r="S45" s="2"/>
      <c r="T45" s="6">
        <v>97200</v>
      </c>
      <c r="U45" s="2"/>
      <c r="V45" s="7">
        <f t="shared" si="25"/>
        <v>5.4770746110544492E-2</v>
      </c>
      <c r="W45" s="2"/>
      <c r="X45" s="6">
        <f t="shared" si="26"/>
        <v>-85833</v>
      </c>
      <c r="Y45" s="2"/>
      <c r="Z45" s="7">
        <f t="shared" si="27"/>
        <v>-0.88305555555555559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474</v>
      </c>
      <c r="E48" s="1"/>
      <c r="F48" s="5">
        <f t="shared" ref="F48:F66" si="28">IF(D$12=0,0,D48/D$12)</f>
        <v>7.2227903354859645E-4</v>
      </c>
      <c r="G48" s="1"/>
      <c r="H48" s="1">
        <f>SUM(OSRRefH22_2x_0)</f>
        <v>450</v>
      </c>
      <c r="I48" s="1"/>
      <c r="J48" s="5">
        <f t="shared" ref="J48:J66" si="29">IF(H$12=0,0,H48/H$12)</f>
        <v>6.7164179104477607E-4</v>
      </c>
      <c r="K48" s="1"/>
      <c r="L48" s="1">
        <f t="shared" ref="L48:L66" si="30">+D48-H48</f>
        <v>24</v>
      </c>
      <c r="M48" s="1"/>
      <c r="N48" s="5">
        <f t="shared" ref="N48:N66" si="31">IF(H48=0,0,L48/H48)</f>
        <v>5.3333333333333337E-2</v>
      </c>
      <c r="O48" s="13"/>
      <c r="P48" s="1">
        <f>SUM(OSRRefP22_2x_0)</f>
        <v>2543.6799999999998</v>
      </c>
      <c r="Q48" s="1"/>
      <c r="R48" s="5">
        <f t="shared" ref="R48:R66" si="32">IF(P$12=0,0,P48/P$12)</f>
        <v>1.4775894127391259E-3</v>
      </c>
      <c r="S48" s="1"/>
      <c r="T48" s="1">
        <f>SUM(OSRRefT22_2x_0)</f>
        <v>3050</v>
      </c>
      <c r="U48" s="1"/>
      <c r="V48" s="5">
        <f t="shared" ref="V48:V66" si="33">IF(T$12=0,0,T48/T$12)</f>
        <v>1.718629378983135E-3</v>
      </c>
      <c r="W48" s="1"/>
      <c r="X48" s="1">
        <f t="shared" ref="X48:X66" si="34">+P48-T48</f>
        <v>-506.32000000000016</v>
      </c>
      <c r="Y48" s="1"/>
      <c r="Z48" s="5">
        <f t="shared" ref="Z48:Z66" si="35">IF(T48=0,0,X48/T48)</f>
        <v>-0.16600655737704922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474</v>
      </c>
      <c r="E49" s="2"/>
      <c r="F49" s="7">
        <f t="shared" si="28"/>
        <v>7.2227903354859645E-4</v>
      </c>
      <c r="G49" s="2"/>
      <c r="H49" s="6">
        <v>450</v>
      </c>
      <c r="I49" s="2"/>
      <c r="J49" s="7">
        <f t="shared" si="29"/>
        <v>6.7164179104477607E-4</v>
      </c>
      <c r="K49" s="2"/>
      <c r="L49" s="6">
        <f t="shared" si="30"/>
        <v>24</v>
      </c>
      <c r="M49" s="2"/>
      <c r="N49" s="7">
        <f t="shared" si="31"/>
        <v>5.3333333333333337E-2</v>
      </c>
      <c r="O49" s="11"/>
      <c r="P49" s="6">
        <v>2543.6799999999998</v>
      </c>
      <c r="Q49" s="2"/>
      <c r="R49" s="7">
        <f t="shared" si="32"/>
        <v>1.4775894127391259E-3</v>
      </c>
      <c r="S49" s="2"/>
      <c r="T49" s="6">
        <v>3050</v>
      </c>
      <c r="U49" s="2"/>
      <c r="V49" s="7">
        <f t="shared" si="33"/>
        <v>1.718629378983135E-3</v>
      </c>
      <c r="W49" s="2"/>
      <c r="X49" s="6">
        <f t="shared" si="34"/>
        <v>-506.32000000000016</v>
      </c>
      <c r="Y49" s="2"/>
      <c r="Z49" s="7">
        <f t="shared" si="35"/>
        <v>-0.16600655737704922</v>
      </c>
    </row>
    <row r="50" spans="1:26" s="26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1.4925373134328359E-5</v>
      </c>
      <c r="K50" s="1"/>
      <c r="L50" s="1">
        <f t="shared" si="30"/>
        <v>-10</v>
      </c>
      <c r="M50" s="1"/>
      <c r="N50" s="5">
        <f t="shared" si="31"/>
        <v>-1</v>
      </c>
      <c r="O50" s="13"/>
      <c r="P50" s="1">
        <f>SUM(OSRRefP22_3x_0)</f>
        <v>1</v>
      </c>
      <c r="Q50" s="1"/>
      <c r="R50" s="5">
        <f t="shared" si="32"/>
        <v>5.8088651589001999E-7</v>
      </c>
      <c r="S50" s="1"/>
      <c r="T50" s="1">
        <f>SUM(OSRRefT22_3x_0)</f>
        <v>42</v>
      </c>
      <c r="U50" s="1"/>
      <c r="V50" s="5">
        <f t="shared" si="33"/>
        <v>2.3666371776161201E-5</v>
      </c>
      <c r="W50" s="1"/>
      <c r="X50" s="1">
        <f t="shared" si="34"/>
        <v>-41</v>
      </c>
      <c r="Y50" s="1"/>
      <c r="Z50" s="5">
        <f t="shared" si="35"/>
        <v>-0.97619047619047616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10</v>
      </c>
      <c r="I51" s="2"/>
      <c r="J51" s="7">
        <f t="shared" si="29"/>
        <v>1.4925373134328359E-5</v>
      </c>
      <c r="K51" s="2"/>
      <c r="L51" s="6">
        <f t="shared" si="30"/>
        <v>-10</v>
      </c>
      <c r="M51" s="2"/>
      <c r="N51" s="7">
        <f t="shared" si="31"/>
        <v>-1</v>
      </c>
      <c r="O51" s="11"/>
      <c r="P51" s="6">
        <v>1</v>
      </c>
      <c r="Q51" s="2"/>
      <c r="R51" s="7">
        <f t="shared" si="32"/>
        <v>5.8088651589001999E-7</v>
      </c>
      <c r="S51" s="2"/>
      <c r="T51" s="6">
        <v>42</v>
      </c>
      <c r="U51" s="2"/>
      <c r="V51" s="7">
        <f t="shared" si="33"/>
        <v>2.3666371776161201E-5</v>
      </c>
      <c r="W51" s="2"/>
      <c r="X51" s="6">
        <f t="shared" si="34"/>
        <v>-41</v>
      </c>
      <c r="Y51" s="2"/>
      <c r="Z51" s="7">
        <f t="shared" si="35"/>
        <v>-0.97619047619047616</v>
      </c>
    </row>
    <row r="52" spans="1:26" s="26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510.6</v>
      </c>
      <c r="E52" s="1"/>
      <c r="F52" s="5">
        <f t="shared" si="28"/>
        <v>7.7804994626564001E-4</v>
      </c>
      <c r="G52" s="1"/>
      <c r="H52" s="1">
        <f>SUM(OSRRefH22_4x_0)</f>
        <v>225</v>
      </c>
      <c r="I52" s="1"/>
      <c r="J52" s="5">
        <f t="shared" si="29"/>
        <v>3.3582089552238804E-4</v>
      </c>
      <c r="K52" s="1"/>
      <c r="L52" s="1">
        <f t="shared" si="30"/>
        <v>285.60000000000002</v>
      </c>
      <c r="M52" s="1"/>
      <c r="N52" s="5">
        <f t="shared" si="31"/>
        <v>1.2693333333333334</v>
      </c>
      <c r="O52" s="13"/>
      <c r="P52" s="1">
        <f>SUM(OSRRefP22_4x_0)</f>
        <v>926.87</v>
      </c>
      <c r="Q52" s="1"/>
      <c r="R52" s="5">
        <f t="shared" si="32"/>
        <v>5.384062849829828E-4</v>
      </c>
      <c r="S52" s="1"/>
      <c r="T52" s="1">
        <f>SUM(OSRRefT22_4x_0)</f>
        <v>900</v>
      </c>
      <c r="U52" s="1"/>
      <c r="V52" s="5">
        <f t="shared" si="33"/>
        <v>5.0713653806059721E-4</v>
      </c>
      <c r="W52" s="1"/>
      <c r="X52" s="1">
        <f t="shared" si="34"/>
        <v>26.870000000000005</v>
      </c>
      <c r="Y52" s="1"/>
      <c r="Z52" s="5">
        <f t="shared" si="35"/>
        <v>2.9855555555555562E-2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510.6</v>
      </c>
      <c r="E53" s="2"/>
      <c r="F53" s="7">
        <f t="shared" si="28"/>
        <v>7.7804994626564001E-4</v>
      </c>
      <c r="G53" s="2"/>
      <c r="H53" s="6">
        <v>225</v>
      </c>
      <c r="I53" s="2"/>
      <c r="J53" s="7">
        <f t="shared" si="29"/>
        <v>3.3582089552238804E-4</v>
      </c>
      <c r="K53" s="2"/>
      <c r="L53" s="6">
        <f t="shared" si="30"/>
        <v>285.60000000000002</v>
      </c>
      <c r="M53" s="2"/>
      <c r="N53" s="7">
        <f t="shared" si="31"/>
        <v>1.2693333333333334</v>
      </c>
      <c r="O53" s="11"/>
      <c r="P53" s="6">
        <v>926.87</v>
      </c>
      <c r="Q53" s="2"/>
      <c r="R53" s="7">
        <f t="shared" si="32"/>
        <v>5.384062849829828E-4</v>
      </c>
      <c r="S53" s="2"/>
      <c r="T53" s="6">
        <v>900</v>
      </c>
      <c r="U53" s="2"/>
      <c r="V53" s="7">
        <f t="shared" si="33"/>
        <v>5.0713653806059721E-4</v>
      </c>
      <c r="W53" s="2"/>
      <c r="X53" s="6">
        <f t="shared" si="34"/>
        <v>26.870000000000005</v>
      </c>
      <c r="Y53" s="2"/>
      <c r="Z53" s="7">
        <f t="shared" si="35"/>
        <v>2.9855555555555562E-2</v>
      </c>
    </row>
    <row r="54" spans="1:26" s="26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14351.21</v>
      </c>
      <c r="E54" s="1"/>
      <c r="F54" s="5">
        <f t="shared" si="28"/>
        <v>2.1868308204753061E-2</v>
      </c>
      <c r="G54" s="1"/>
      <c r="H54" s="1">
        <f>SUM(OSRRefH22_5x_0)</f>
        <v>11000</v>
      </c>
      <c r="I54" s="1"/>
      <c r="J54" s="5">
        <f t="shared" si="29"/>
        <v>1.6417910447761194E-2</v>
      </c>
      <c r="K54" s="1"/>
      <c r="L54" s="1">
        <f t="shared" si="30"/>
        <v>3351.2099999999991</v>
      </c>
      <c r="M54" s="1"/>
      <c r="N54" s="5">
        <f t="shared" si="31"/>
        <v>0.30465545454545445</v>
      </c>
      <c r="O54" s="13"/>
      <c r="P54" s="1">
        <f>SUM(OSRRefP22_5x_0)</f>
        <v>29729</v>
      </c>
      <c r="Q54" s="1"/>
      <c r="R54" s="5">
        <f t="shared" si="32"/>
        <v>1.7269175230894405E-2</v>
      </c>
      <c r="S54" s="1"/>
      <c r="T54" s="1">
        <f>SUM(OSRRefT22_5x_0)</f>
        <v>27000</v>
      </c>
      <c r="U54" s="1"/>
      <c r="V54" s="5">
        <f t="shared" si="33"/>
        <v>1.5214096141817915E-2</v>
      </c>
      <c r="W54" s="1"/>
      <c r="X54" s="1">
        <f t="shared" si="34"/>
        <v>2729</v>
      </c>
      <c r="Y54" s="1"/>
      <c r="Z54" s="5">
        <f t="shared" si="35"/>
        <v>0.10107407407407408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14351.21</v>
      </c>
      <c r="E55" s="2"/>
      <c r="F55" s="7">
        <f t="shared" si="28"/>
        <v>2.1868308204753061E-2</v>
      </c>
      <c r="G55" s="2"/>
      <c r="H55" s="6">
        <v>11000</v>
      </c>
      <c r="I55" s="2"/>
      <c r="J55" s="7">
        <f t="shared" si="29"/>
        <v>1.6417910447761194E-2</v>
      </c>
      <c r="K55" s="2"/>
      <c r="L55" s="6">
        <f t="shared" si="30"/>
        <v>3351.2099999999991</v>
      </c>
      <c r="M55" s="2"/>
      <c r="N55" s="7">
        <f t="shared" si="31"/>
        <v>0.30465545454545445</v>
      </c>
      <c r="O55" s="11"/>
      <c r="P55" s="6">
        <v>29729</v>
      </c>
      <c r="Q55" s="2"/>
      <c r="R55" s="7">
        <f t="shared" si="32"/>
        <v>1.7269175230894405E-2</v>
      </c>
      <c r="S55" s="2"/>
      <c r="T55" s="6">
        <v>27000</v>
      </c>
      <c r="U55" s="2"/>
      <c r="V55" s="7">
        <f t="shared" si="33"/>
        <v>1.5214096141817915E-2</v>
      </c>
      <c r="W55" s="2"/>
      <c r="X55" s="6">
        <f t="shared" si="34"/>
        <v>2729</v>
      </c>
      <c r="Y55" s="2"/>
      <c r="Z55" s="7">
        <f t="shared" si="35"/>
        <v>0.10107407407407408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2.3880597014925374E-4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21.33</v>
      </c>
      <c r="Q56" s="1"/>
      <c r="R56" s="5">
        <f t="shared" si="32"/>
        <v>1.2390309383934124E-5</v>
      </c>
      <c r="S56" s="1"/>
      <c r="T56" s="1">
        <f>SUM(OSRRefT22_6x_0)</f>
        <v>620</v>
      </c>
      <c r="U56" s="1"/>
      <c r="V56" s="5">
        <f t="shared" si="33"/>
        <v>3.4936072621952251E-4</v>
      </c>
      <c r="W56" s="1"/>
      <c r="X56" s="1">
        <f t="shared" si="34"/>
        <v>-598.66999999999996</v>
      </c>
      <c r="Y56" s="1"/>
      <c r="Z56" s="5">
        <f t="shared" si="35"/>
        <v>-0.96559677419354828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2.3880597014925374E-4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>
        <v>21.33</v>
      </c>
      <c r="Q57" s="2"/>
      <c r="R57" s="7">
        <f t="shared" si="32"/>
        <v>1.2390309383934124E-5</v>
      </c>
      <c r="S57" s="2"/>
      <c r="T57" s="6">
        <v>620</v>
      </c>
      <c r="U57" s="2"/>
      <c r="V57" s="7">
        <f t="shared" si="33"/>
        <v>3.4936072621952251E-4</v>
      </c>
      <c r="W57" s="2"/>
      <c r="X57" s="6">
        <f t="shared" si="34"/>
        <v>-598.66999999999996</v>
      </c>
      <c r="Y57" s="2"/>
      <c r="Z57" s="7">
        <f t="shared" si="35"/>
        <v>-0.96559677419354828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83.78</v>
      </c>
      <c r="E58" s="1"/>
      <c r="F58" s="5">
        <f t="shared" si="28"/>
        <v>1.2766358107742912E-4</v>
      </c>
      <c r="G58" s="1"/>
      <c r="H58" s="1">
        <f>SUM(OSRRefH22_7x_0)</f>
        <v>400</v>
      </c>
      <c r="I58" s="1"/>
      <c r="J58" s="5">
        <f t="shared" si="29"/>
        <v>5.9701492537313433E-4</v>
      </c>
      <c r="K58" s="1"/>
      <c r="L58" s="1">
        <f t="shared" si="30"/>
        <v>-316.22000000000003</v>
      </c>
      <c r="M58" s="1"/>
      <c r="N58" s="5">
        <f t="shared" si="31"/>
        <v>-0.79055000000000009</v>
      </c>
      <c r="O58" s="13"/>
      <c r="P58" s="1">
        <f>SUM(OSRRefP22_7x_0)</f>
        <v>628.66</v>
      </c>
      <c r="Q58" s="1"/>
      <c r="R58" s="5">
        <f t="shared" si="32"/>
        <v>3.6518011707941994E-4</v>
      </c>
      <c r="S58" s="1"/>
      <c r="T58" s="1">
        <f>SUM(OSRRefT22_7x_0)</f>
        <v>1800</v>
      </c>
      <c r="U58" s="1"/>
      <c r="V58" s="5">
        <f t="shared" si="33"/>
        <v>1.0142730761211944E-3</v>
      </c>
      <c r="W58" s="1"/>
      <c r="X58" s="1">
        <f t="shared" si="34"/>
        <v>-1171.3400000000001</v>
      </c>
      <c r="Y58" s="1"/>
      <c r="Z58" s="5">
        <f t="shared" si="35"/>
        <v>-0.65074444444444457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83.78</v>
      </c>
      <c r="E59" s="2"/>
      <c r="F59" s="7">
        <f t="shared" si="28"/>
        <v>1.2766358107742912E-4</v>
      </c>
      <c r="G59" s="2"/>
      <c r="H59" s="6">
        <v>400</v>
      </c>
      <c r="I59" s="2"/>
      <c r="J59" s="7">
        <f t="shared" si="29"/>
        <v>5.9701492537313433E-4</v>
      </c>
      <c r="K59" s="2"/>
      <c r="L59" s="6">
        <f t="shared" si="30"/>
        <v>-316.22000000000003</v>
      </c>
      <c r="M59" s="2"/>
      <c r="N59" s="7">
        <f t="shared" si="31"/>
        <v>-0.79055000000000009</v>
      </c>
      <c r="O59" s="11"/>
      <c r="P59" s="6">
        <v>628.66</v>
      </c>
      <c r="Q59" s="2"/>
      <c r="R59" s="7">
        <f t="shared" si="32"/>
        <v>3.6518011707941994E-4</v>
      </c>
      <c r="S59" s="2"/>
      <c r="T59" s="6">
        <v>1800</v>
      </c>
      <c r="U59" s="2"/>
      <c r="V59" s="7">
        <f t="shared" si="33"/>
        <v>1.0142730761211944E-3</v>
      </c>
      <c r="W59" s="2"/>
      <c r="X59" s="6">
        <f t="shared" si="34"/>
        <v>-1171.3400000000001</v>
      </c>
      <c r="Y59" s="2"/>
      <c r="Z59" s="7">
        <f t="shared" si="35"/>
        <v>-0.65074444444444457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200</v>
      </c>
      <c r="I60" s="1"/>
      <c r="J60" s="5">
        <f t="shared" si="29"/>
        <v>2.9850746268656717E-4</v>
      </c>
      <c r="K60" s="1"/>
      <c r="L60" s="1">
        <f t="shared" si="30"/>
        <v>-200</v>
      </c>
      <c r="M60" s="1"/>
      <c r="N60" s="5">
        <f t="shared" si="31"/>
        <v>-1</v>
      </c>
      <c r="O60" s="13"/>
      <c r="P60" s="1">
        <f>SUM(OSRRefP22_8x_0)</f>
        <v>1499.55</v>
      </c>
      <c r="Q60" s="1"/>
      <c r="R60" s="5">
        <f t="shared" si="32"/>
        <v>8.7106837490287937E-4</v>
      </c>
      <c r="S60" s="1"/>
      <c r="T60" s="1">
        <f>SUM(OSRRefT22_8x_0)</f>
        <v>2100</v>
      </c>
      <c r="U60" s="1"/>
      <c r="V60" s="5">
        <f t="shared" si="33"/>
        <v>1.1833185888080601E-3</v>
      </c>
      <c r="W60" s="1"/>
      <c r="X60" s="1">
        <f t="shared" si="34"/>
        <v>-600.45000000000005</v>
      </c>
      <c r="Y60" s="1"/>
      <c r="Z60" s="5">
        <f t="shared" si="35"/>
        <v>-0.28592857142857148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>
        <v>200</v>
      </c>
      <c r="I61" s="2"/>
      <c r="J61" s="7">
        <f t="shared" si="29"/>
        <v>2.9850746268656717E-4</v>
      </c>
      <c r="K61" s="2"/>
      <c r="L61" s="6">
        <f t="shared" si="30"/>
        <v>-200</v>
      </c>
      <c r="M61" s="2"/>
      <c r="N61" s="7">
        <f t="shared" si="31"/>
        <v>-1</v>
      </c>
      <c r="O61" s="11"/>
      <c r="P61" s="6">
        <v>1499.55</v>
      </c>
      <c r="Q61" s="2"/>
      <c r="R61" s="7">
        <f t="shared" si="32"/>
        <v>8.7106837490287937E-4</v>
      </c>
      <c r="S61" s="2"/>
      <c r="T61" s="6">
        <v>2100</v>
      </c>
      <c r="U61" s="2"/>
      <c r="V61" s="7">
        <f t="shared" si="33"/>
        <v>1.1833185888080601E-3</v>
      </c>
      <c r="W61" s="2"/>
      <c r="X61" s="6">
        <f t="shared" si="34"/>
        <v>-600.45000000000005</v>
      </c>
      <c r="Y61" s="2"/>
      <c r="Z61" s="7">
        <f t="shared" si="35"/>
        <v>-0.28592857142857148</v>
      </c>
    </row>
    <row r="62" spans="1:26" s="26" customFormat="1" outlineLevel="1" collapsed="1" x14ac:dyDescent="0.25">
      <c r="A62" s="25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51274.86</v>
      </c>
      <c r="E62" s="1"/>
      <c r="F62" s="5">
        <f t="shared" si="28"/>
        <v>7.8132397312530771E-2</v>
      </c>
      <c r="G62" s="1"/>
      <c r="H62" s="1">
        <f>SUM(OSRRefH22_9x_0)</f>
        <v>53600</v>
      </c>
      <c r="I62" s="1"/>
      <c r="J62" s="5">
        <f t="shared" si="29"/>
        <v>0.08</v>
      </c>
      <c r="K62" s="1"/>
      <c r="L62" s="1">
        <f t="shared" si="30"/>
        <v>-2325.1399999999994</v>
      </c>
      <c r="M62" s="1"/>
      <c r="N62" s="5">
        <f t="shared" si="31"/>
        <v>-4.337947761194029E-2</v>
      </c>
      <c r="O62" s="13"/>
      <c r="P62" s="1">
        <f>SUM(OSRRefP22_9x_0)</f>
        <v>131719.14000000001</v>
      </c>
      <c r="Q62" s="1"/>
      <c r="R62" s="5">
        <f t="shared" si="32"/>
        <v>7.6513872310629769E-2</v>
      </c>
      <c r="S62" s="1"/>
      <c r="T62" s="1">
        <f>SUM(OSRRefT22_9x_0)</f>
        <v>141974</v>
      </c>
      <c r="U62" s="1"/>
      <c r="V62" s="5">
        <f t="shared" si="33"/>
        <v>8.0000225394016911E-2</v>
      </c>
      <c r="W62" s="1"/>
      <c r="X62" s="1">
        <f t="shared" si="34"/>
        <v>-10254.859999999986</v>
      </c>
      <c r="Y62" s="1"/>
      <c r="Z62" s="5">
        <f t="shared" si="35"/>
        <v>-7.2230549255497392E-2</v>
      </c>
    </row>
    <row r="63" spans="1:26" s="24" customFormat="1" hidden="1" outlineLevel="2" x14ac:dyDescent="0.25">
      <c r="A63" s="27"/>
      <c r="B63" s="11" t="str">
        <f>CONCATENATE("          ", "6387", " - ", "COMMISSION DUE HOUSING")</f>
        <v xml:space="preserve">          6387 - COMMISSION DUE HOUSING</v>
      </c>
      <c r="C63" s="11"/>
      <c r="D63" s="6">
        <v>51274.86</v>
      </c>
      <c r="E63" s="2"/>
      <c r="F63" s="7">
        <f t="shared" si="28"/>
        <v>7.8132397312530771E-2</v>
      </c>
      <c r="G63" s="2"/>
      <c r="H63" s="6">
        <v>53600</v>
      </c>
      <c r="I63" s="2"/>
      <c r="J63" s="7">
        <f t="shared" si="29"/>
        <v>0.08</v>
      </c>
      <c r="K63" s="2"/>
      <c r="L63" s="6">
        <f t="shared" si="30"/>
        <v>-2325.1399999999994</v>
      </c>
      <c r="M63" s="2"/>
      <c r="N63" s="7">
        <f t="shared" si="31"/>
        <v>-4.337947761194029E-2</v>
      </c>
      <c r="O63" s="11"/>
      <c r="P63" s="6">
        <v>131719.14000000001</v>
      </c>
      <c r="Q63" s="2"/>
      <c r="R63" s="7">
        <f t="shared" si="32"/>
        <v>7.6513872310629769E-2</v>
      </c>
      <c r="S63" s="2"/>
      <c r="T63" s="6">
        <v>141974</v>
      </c>
      <c r="U63" s="2"/>
      <c r="V63" s="7">
        <f t="shared" si="33"/>
        <v>8.0000225394016911E-2</v>
      </c>
      <c r="W63" s="2"/>
      <c r="X63" s="6">
        <f t="shared" si="34"/>
        <v>-10254.859999999986</v>
      </c>
      <c r="Y63" s="2"/>
      <c r="Z63" s="7">
        <f t="shared" si="35"/>
        <v>-7.2230549255497392E-2</v>
      </c>
    </row>
    <row r="64" spans="1:26" s="26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220.26</v>
      </c>
      <c r="E64" s="1"/>
      <c r="F64" s="5">
        <f t="shared" si="28"/>
        <v>3.3563118128568321E-4</v>
      </c>
      <c r="G64" s="1"/>
      <c r="H64" s="1">
        <f>SUM(OSRRefH22_10x_0)</f>
        <v>250</v>
      </c>
      <c r="I64" s="1"/>
      <c r="J64" s="5">
        <f t="shared" si="29"/>
        <v>3.7313432835820896E-4</v>
      </c>
      <c r="K64" s="1"/>
      <c r="L64" s="1">
        <f t="shared" si="30"/>
        <v>-29.740000000000009</v>
      </c>
      <c r="M64" s="1"/>
      <c r="N64" s="5">
        <f t="shared" si="31"/>
        <v>-0.11896000000000004</v>
      </c>
      <c r="O64" s="13"/>
      <c r="P64" s="1">
        <f>SUM(OSRRefP22_10x_0)</f>
        <v>220.26</v>
      </c>
      <c r="Q64" s="1"/>
      <c r="R64" s="5">
        <f t="shared" si="32"/>
        <v>1.2794606398993578E-4</v>
      </c>
      <c r="S64" s="1"/>
      <c r="T64" s="1">
        <f>SUM(OSRRefT22_10x_0)</f>
        <v>2800</v>
      </c>
      <c r="U64" s="1"/>
      <c r="V64" s="5">
        <f t="shared" si="33"/>
        <v>1.5777581184107468E-3</v>
      </c>
      <c r="W64" s="1"/>
      <c r="X64" s="1">
        <f t="shared" si="34"/>
        <v>-2579.7399999999998</v>
      </c>
      <c r="Y64" s="1"/>
      <c r="Z64" s="5">
        <f t="shared" si="35"/>
        <v>-0.92133571428571426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68.48</v>
      </c>
      <c r="E65" s="2"/>
      <c r="F65" s="7">
        <f t="shared" si="28"/>
        <v>1.0434951100718963E-4</v>
      </c>
      <c r="G65" s="2"/>
      <c r="H65" s="6"/>
      <c r="I65" s="2"/>
      <c r="J65" s="7">
        <f t="shared" si="29"/>
        <v>0</v>
      </c>
      <c r="K65" s="2"/>
      <c r="L65" s="6">
        <f t="shared" si="30"/>
        <v>68.48</v>
      </c>
      <c r="M65" s="2"/>
      <c r="N65" s="7">
        <f t="shared" si="31"/>
        <v>0</v>
      </c>
      <c r="O65" s="11"/>
      <c r="P65" s="6">
        <v>68.48</v>
      </c>
      <c r="Q65" s="2"/>
      <c r="R65" s="7">
        <f t="shared" si="32"/>
        <v>3.977910860814857E-5</v>
      </c>
      <c r="S65" s="2"/>
      <c r="T65" s="6">
        <v>1800</v>
      </c>
      <c r="U65" s="2"/>
      <c r="V65" s="7">
        <f t="shared" si="33"/>
        <v>1.0142730761211944E-3</v>
      </c>
      <c r="W65" s="2"/>
      <c r="X65" s="6">
        <f t="shared" si="34"/>
        <v>-1731.52</v>
      </c>
      <c r="Y65" s="2"/>
      <c r="Z65" s="7">
        <f t="shared" si="35"/>
        <v>-0.96195555555555556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151.78</v>
      </c>
      <c r="E66" s="2"/>
      <c r="F66" s="7">
        <f t="shared" si="28"/>
        <v>2.3128167027849361E-4</v>
      </c>
      <c r="G66" s="2"/>
      <c r="H66" s="6">
        <v>250</v>
      </c>
      <c r="I66" s="2"/>
      <c r="J66" s="7">
        <f t="shared" si="29"/>
        <v>3.7313432835820896E-4</v>
      </c>
      <c r="K66" s="2"/>
      <c r="L66" s="6">
        <f t="shared" si="30"/>
        <v>-98.22</v>
      </c>
      <c r="M66" s="2"/>
      <c r="N66" s="7">
        <f t="shared" si="31"/>
        <v>-0.39288000000000001</v>
      </c>
      <c r="O66" s="11"/>
      <c r="P66" s="6">
        <v>151.78</v>
      </c>
      <c r="Q66" s="2"/>
      <c r="R66" s="7">
        <f t="shared" si="32"/>
        <v>8.8166955381787228E-5</v>
      </c>
      <c r="S66" s="2"/>
      <c r="T66" s="6">
        <v>1000</v>
      </c>
      <c r="U66" s="2"/>
      <c r="V66" s="7">
        <f t="shared" si="33"/>
        <v>5.6348504228955246E-4</v>
      </c>
      <c r="W66" s="2"/>
      <c r="X66" s="6">
        <f t="shared" si="34"/>
        <v>-848.22</v>
      </c>
      <c r="Y66" s="2"/>
      <c r="Z66" s="7">
        <f t="shared" si="35"/>
        <v>-0.84821999999999997</v>
      </c>
    </row>
    <row r="67" spans="1:26" s="26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6495.56</v>
      </c>
      <c r="E67" s="1"/>
      <c r="F67" s="5">
        <f t="shared" ref="F67:F71" si="36">IF(D$12=0,0,D67/D$12)</f>
        <v>9.8979046395715631E-3</v>
      </c>
      <c r="G67" s="1"/>
      <c r="H67" s="1">
        <f>SUM(OSRRefH22_11x_0)</f>
        <v>6490</v>
      </c>
      <c r="I67" s="1"/>
      <c r="J67" s="5">
        <f t="shared" ref="J67:J71" si="37">IF(H$12=0,0,H67/H$12)</f>
        <v>9.6865671641791044E-3</v>
      </c>
      <c r="K67" s="1"/>
      <c r="L67" s="1">
        <f t="shared" ref="L67:L71" si="38">+D67-H67</f>
        <v>5.5600000000004002</v>
      </c>
      <c r="M67" s="1"/>
      <c r="N67" s="5">
        <f t="shared" ref="N67:N71" si="39">IF(H67=0,0,L67/H67)</f>
        <v>8.5670261941454546E-4</v>
      </c>
      <c r="O67" s="13"/>
      <c r="P67" s="1">
        <f>SUM(OSRRefP22_11x_0)</f>
        <v>26403.63</v>
      </c>
      <c r="Q67" s="1"/>
      <c r="R67" s="5">
        <f t="shared" ref="R67:R71" si="40">IF(P$12=0,0,P67/P$12)</f>
        <v>1.5337512637549209E-2</v>
      </c>
      <c r="S67" s="1"/>
      <c r="T67" s="1">
        <f>SUM(OSRRefT22_11x_0)</f>
        <v>25910</v>
      </c>
      <c r="U67" s="1"/>
      <c r="V67" s="5">
        <f t="shared" ref="V67:V71" si="41">IF(T$12=0,0,T67/T$12)</f>
        <v>1.4599897445722303E-2</v>
      </c>
      <c r="W67" s="1"/>
      <c r="X67" s="1">
        <f t="shared" ref="X67:X71" si="42">+P67-T67</f>
        <v>493.63000000000102</v>
      </c>
      <c r="Y67" s="1"/>
      <c r="Z67" s="5">
        <f t="shared" ref="Z67:Z71" si="43">IF(T67=0,0,X67/T67)</f>
        <v>1.9051717483597106E-2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417.32</v>
      </c>
      <c r="E68" s="2"/>
      <c r="F68" s="7">
        <f t="shared" si="36"/>
        <v>6.359103086086503E-4</v>
      </c>
      <c r="G68" s="2"/>
      <c r="H68" s="6">
        <v>450</v>
      </c>
      <c r="I68" s="2"/>
      <c r="J68" s="7">
        <f t="shared" si="37"/>
        <v>6.7164179104477607E-4</v>
      </c>
      <c r="K68" s="2"/>
      <c r="L68" s="6">
        <f t="shared" si="38"/>
        <v>-32.680000000000007</v>
      </c>
      <c r="M68" s="2"/>
      <c r="N68" s="7">
        <f t="shared" si="39"/>
        <v>-7.2622222222222241E-2</v>
      </c>
      <c r="O68" s="11"/>
      <c r="P68" s="6">
        <v>1789.28</v>
      </c>
      <c r="Q68" s="2"/>
      <c r="R68" s="7">
        <f t="shared" si="40"/>
        <v>1.0393686251516949E-3</v>
      </c>
      <c r="S68" s="2"/>
      <c r="T68" s="6">
        <v>1800</v>
      </c>
      <c r="U68" s="2"/>
      <c r="V68" s="7">
        <f t="shared" si="41"/>
        <v>1.0142730761211944E-3</v>
      </c>
      <c r="W68" s="2"/>
      <c r="X68" s="6">
        <f t="shared" si="42"/>
        <v>-10.720000000000027</v>
      </c>
      <c r="Y68" s="2"/>
      <c r="Z68" s="7">
        <f t="shared" si="43"/>
        <v>-5.9555555555555707E-3</v>
      </c>
    </row>
    <row r="69" spans="1:26" s="24" customFormat="1" hidden="1" outlineLevel="2" x14ac:dyDescent="0.25">
      <c r="A69" s="27"/>
      <c r="B69" s="11" t="str">
        <f>CONCATENATE("          ", "6284", " - ", "TRASH REMOVAL EXPENSE")</f>
        <v xml:space="preserve">          6284 - TRASH REMOVAL EXPENSE</v>
      </c>
      <c r="C69" s="11"/>
      <c r="D69" s="6"/>
      <c r="E69" s="2"/>
      <c r="F69" s="7">
        <f t="shared" si="36"/>
        <v>0</v>
      </c>
      <c r="G69" s="2"/>
      <c r="H69" s="6">
        <v>550</v>
      </c>
      <c r="I69" s="2"/>
      <c r="J69" s="7">
        <f t="shared" si="37"/>
        <v>8.2089552238805966E-4</v>
      </c>
      <c r="K69" s="2"/>
      <c r="L69" s="6">
        <f t="shared" si="38"/>
        <v>-550</v>
      </c>
      <c r="M69" s="2"/>
      <c r="N69" s="7">
        <f t="shared" si="39"/>
        <v>-1</v>
      </c>
      <c r="O69" s="11"/>
      <c r="P69" s="6"/>
      <c r="Q69" s="2"/>
      <c r="R69" s="7">
        <f t="shared" si="40"/>
        <v>0</v>
      </c>
      <c r="S69" s="2"/>
      <c r="T69" s="6">
        <v>2150</v>
      </c>
      <c r="U69" s="2"/>
      <c r="V69" s="7">
        <f t="shared" si="41"/>
        <v>1.2114928409225378E-3</v>
      </c>
      <c r="W69" s="2"/>
      <c r="X69" s="6">
        <f t="shared" si="42"/>
        <v>-2150</v>
      </c>
      <c r="Y69" s="2"/>
      <c r="Z69" s="7">
        <f t="shared" si="43"/>
        <v>-1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3882.07</v>
      </c>
      <c r="E70" s="2"/>
      <c r="F70" s="7">
        <f t="shared" si="36"/>
        <v>5.915480522717299E-3</v>
      </c>
      <c r="G70" s="2"/>
      <c r="H70" s="6">
        <v>3890</v>
      </c>
      <c r="I70" s="2"/>
      <c r="J70" s="7">
        <f t="shared" si="37"/>
        <v>5.8059701492537315E-3</v>
      </c>
      <c r="K70" s="2"/>
      <c r="L70" s="6">
        <f t="shared" si="38"/>
        <v>-7.9299999999998363</v>
      </c>
      <c r="M70" s="2"/>
      <c r="N70" s="7">
        <f t="shared" si="39"/>
        <v>-2.0385604113110118E-3</v>
      </c>
      <c r="O70" s="11"/>
      <c r="P70" s="6">
        <v>16785.240000000002</v>
      </c>
      <c r="Q70" s="2"/>
      <c r="R70" s="7">
        <f t="shared" si="40"/>
        <v>9.7503195819777996E-3</v>
      </c>
      <c r="S70" s="2"/>
      <c r="T70" s="6">
        <v>15560</v>
      </c>
      <c r="U70" s="2"/>
      <c r="V70" s="7">
        <f t="shared" si="41"/>
        <v>8.767827258025435E-3</v>
      </c>
      <c r="W70" s="2"/>
      <c r="X70" s="6">
        <f t="shared" si="42"/>
        <v>1225.2400000000016</v>
      </c>
      <c r="Y70" s="2"/>
      <c r="Z70" s="7">
        <f t="shared" si="43"/>
        <v>7.8742930591259738E-2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>
        <v>2196.17</v>
      </c>
      <c r="E71" s="2"/>
      <c r="F71" s="7">
        <f t="shared" si="36"/>
        <v>3.3465138082456138E-3</v>
      </c>
      <c r="G71" s="2"/>
      <c r="H71" s="6">
        <v>1600</v>
      </c>
      <c r="I71" s="2"/>
      <c r="J71" s="7">
        <f t="shared" si="37"/>
        <v>2.3880597014925373E-3</v>
      </c>
      <c r="K71" s="2"/>
      <c r="L71" s="6">
        <f t="shared" si="38"/>
        <v>596.17000000000007</v>
      </c>
      <c r="M71" s="2"/>
      <c r="N71" s="7">
        <f t="shared" si="39"/>
        <v>0.37260625000000003</v>
      </c>
      <c r="O71" s="11"/>
      <c r="P71" s="6">
        <v>7829.11</v>
      </c>
      <c r="Q71" s="2"/>
      <c r="R71" s="7">
        <f t="shared" si="40"/>
        <v>4.5478244304197144E-3</v>
      </c>
      <c r="S71" s="2"/>
      <c r="T71" s="6">
        <v>6400</v>
      </c>
      <c r="U71" s="2"/>
      <c r="V71" s="7">
        <f t="shared" si="41"/>
        <v>3.6063042706531356E-3</v>
      </c>
      <c r="W71" s="2"/>
      <c r="X71" s="6">
        <f t="shared" si="42"/>
        <v>1429.1099999999997</v>
      </c>
      <c r="Y71" s="2"/>
      <c r="Z71" s="7">
        <f t="shared" si="43"/>
        <v>0.22329843749999995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10919.51</v>
      </c>
      <c r="E72" s="1"/>
      <c r="F72" s="5">
        <f t="shared" ref="F72:F79" si="44">IF(D$12=0,0,D72/D$12)</f>
        <v>1.6639099429586992E-2</v>
      </c>
      <c r="G72" s="1"/>
      <c r="H72" s="1">
        <f>SUM(OSRRefH22_12x_0)</f>
        <v>10085</v>
      </c>
      <c r="I72" s="1"/>
      <c r="J72" s="5">
        <f t="shared" ref="J72:J79" si="45">IF(H$12=0,0,H72/H$12)</f>
        <v>1.5052238805970149E-2</v>
      </c>
      <c r="K72" s="1"/>
      <c r="L72" s="1">
        <f t="shared" ref="L72:L79" si="46">+D72-H72</f>
        <v>834.51000000000022</v>
      </c>
      <c r="M72" s="1"/>
      <c r="N72" s="5">
        <f t="shared" ref="N72:N79" si="47">IF(H72=0,0,L72/H72)</f>
        <v>8.2747645017352531E-2</v>
      </c>
      <c r="O72" s="13"/>
      <c r="P72" s="1">
        <f>SUM(OSRRefP22_12x_0)</f>
        <v>30967.64</v>
      </c>
      <c r="Q72" s="1"/>
      <c r="R72" s="5">
        <f t="shared" ref="R72:R79" si="48">IF(P$12=0,0,P72/P$12)</f>
        <v>1.7988684504936417E-2</v>
      </c>
      <c r="S72" s="1"/>
      <c r="T72" s="1">
        <f>SUM(OSRRefT22_12x_0)</f>
        <v>38430</v>
      </c>
      <c r="U72" s="1"/>
      <c r="V72" s="5">
        <f t="shared" ref="V72:V79" si="49">IF(T$12=0,0,T72/T$12)</f>
        <v>2.16547301751875E-2</v>
      </c>
      <c r="W72" s="1"/>
      <c r="X72" s="1">
        <f t="shared" ref="X72:X79" si="50">+P72-T72</f>
        <v>-7462.3600000000006</v>
      </c>
      <c r="Y72" s="1"/>
      <c r="Z72" s="5">
        <f t="shared" ref="Z72:Z79" si="51">IF(T72=0,0,X72/T72)</f>
        <v>-0.19418058808222743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6">
        <v>5326.32</v>
      </c>
      <c r="E73" s="2"/>
      <c r="F73" s="7">
        <f t="shared" si="44"/>
        <v>8.1162220716678481E-3</v>
      </c>
      <c r="G73" s="2"/>
      <c r="H73" s="6">
        <v>4100</v>
      </c>
      <c r="I73" s="2"/>
      <c r="J73" s="7">
        <f t="shared" si="45"/>
        <v>6.1194029850746273E-3</v>
      </c>
      <c r="K73" s="2"/>
      <c r="L73" s="6">
        <f t="shared" si="46"/>
        <v>1226.3199999999997</v>
      </c>
      <c r="M73" s="2"/>
      <c r="N73" s="7">
        <f t="shared" si="47"/>
        <v>0.29910243902439015</v>
      </c>
      <c r="O73" s="11"/>
      <c r="P73" s="6">
        <v>13602.08</v>
      </c>
      <c r="Q73" s="2"/>
      <c r="R73" s="7">
        <f t="shared" si="48"/>
        <v>7.9012648600573221E-3</v>
      </c>
      <c r="S73" s="2"/>
      <c r="T73" s="6">
        <v>16100</v>
      </c>
      <c r="U73" s="2"/>
      <c r="V73" s="7">
        <f t="shared" si="49"/>
        <v>9.0721091808617944E-3</v>
      </c>
      <c r="W73" s="2"/>
      <c r="X73" s="6">
        <f t="shared" si="50"/>
        <v>-2497.92</v>
      </c>
      <c r="Y73" s="2"/>
      <c r="Z73" s="7">
        <f t="shared" si="51"/>
        <v>-0.15515031055900622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6">
        <v>273.88</v>
      </c>
      <c r="E74" s="2"/>
      <c r="F74" s="7">
        <f t="shared" si="44"/>
        <v>4.1733709221158141E-4</v>
      </c>
      <c r="G74" s="2"/>
      <c r="H74" s="6">
        <v>1900</v>
      </c>
      <c r="I74" s="2"/>
      <c r="J74" s="7">
        <f t="shared" si="45"/>
        <v>2.8358208955223882E-3</v>
      </c>
      <c r="K74" s="2"/>
      <c r="L74" s="6">
        <f t="shared" si="46"/>
        <v>-1626.12</v>
      </c>
      <c r="M74" s="2"/>
      <c r="N74" s="7">
        <f t="shared" si="47"/>
        <v>-0.85585263157894731</v>
      </c>
      <c r="O74" s="11"/>
      <c r="P74" s="6">
        <v>2805.65</v>
      </c>
      <c r="Q74" s="2"/>
      <c r="R74" s="7">
        <f t="shared" si="48"/>
        <v>1.6297642533068346E-3</v>
      </c>
      <c r="S74" s="2"/>
      <c r="T74" s="6">
        <v>7450</v>
      </c>
      <c r="U74" s="2"/>
      <c r="V74" s="7">
        <f t="shared" si="49"/>
        <v>4.1979635650571659E-3</v>
      </c>
      <c r="W74" s="2"/>
      <c r="X74" s="6">
        <f t="shared" si="50"/>
        <v>-4644.3500000000004</v>
      </c>
      <c r="Y74" s="2"/>
      <c r="Z74" s="7">
        <f t="shared" si="51"/>
        <v>-0.62340268456375847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6">
        <v>28.6</v>
      </c>
      <c r="E75" s="2"/>
      <c r="F75" s="7">
        <f t="shared" si="44"/>
        <v>4.3580549281624172E-5</v>
      </c>
      <c r="G75" s="2"/>
      <c r="H75" s="6">
        <v>450</v>
      </c>
      <c r="I75" s="2"/>
      <c r="J75" s="7">
        <f t="shared" si="45"/>
        <v>6.7164179104477607E-4</v>
      </c>
      <c r="K75" s="2"/>
      <c r="L75" s="6">
        <f t="shared" si="46"/>
        <v>-421.4</v>
      </c>
      <c r="M75" s="2"/>
      <c r="N75" s="7">
        <f t="shared" si="47"/>
        <v>-0.93644444444444441</v>
      </c>
      <c r="O75" s="11"/>
      <c r="P75" s="6">
        <v>1151.5</v>
      </c>
      <c r="Q75" s="2"/>
      <c r="R75" s="7">
        <f t="shared" si="48"/>
        <v>6.6889082304735802E-4</v>
      </c>
      <c r="S75" s="2"/>
      <c r="T75" s="6">
        <v>1850</v>
      </c>
      <c r="U75" s="2"/>
      <c r="V75" s="7">
        <f t="shared" si="49"/>
        <v>1.0424473282356719E-3</v>
      </c>
      <c r="W75" s="2"/>
      <c r="X75" s="6">
        <f t="shared" si="50"/>
        <v>-698.5</v>
      </c>
      <c r="Y75" s="2"/>
      <c r="Z75" s="7">
        <f t="shared" si="51"/>
        <v>-0.37756756756756754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6">
        <v>5290.71</v>
      </c>
      <c r="E76" s="2"/>
      <c r="F76" s="7">
        <f t="shared" si="44"/>
        <v>8.0619597164259382E-3</v>
      </c>
      <c r="G76" s="2"/>
      <c r="H76" s="6">
        <v>1850</v>
      </c>
      <c r="I76" s="2"/>
      <c r="J76" s="7">
        <f t="shared" si="45"/>
        <v>2.7611940298507462E-3</v>
      </c>
      <c r="K76" s="2"/>
      <c r="L76" s="6">
        <f t="shared" si="46"/>
        <v>3440.71</v>
      </c>
      <c r="M76" s="2"/>
      <c r="N76" s="7">
        <f t="shared" si="47"/>
        <v>1.8598432432432432</v>
      </c>
      <c r="O76" s="11"/>
      <c r="P76" s="6">
        <v>11744.99</v>
      </c>
      <c r="Q76" s="2"/>
      <c r="R76" s="7">
        <f t="shared" si="48"/>
        <v>6.8225063202631258E-3</v>
      </c>
      <c r="S76" s="2"/>
      <c r="T76" s="6">
        <v>7400</v>
      </c>
      <c r="U76" s="2"/>
      <c r="V76" s="7">
        <f t="shared" si="49"/>
        <v>4.1697893129426875E-3</v>
      </c>
      <c r="W76" s="2"/>
      <c r="X76" s="6">
        <f t="shared" si="50"/>
        <v>4344.99</v>
      </c>
      <c r="Y76" s="2"/>
      <c r="Z76" s="7">
        <f t="shared" si="51"/>
        <v>0.58716081081081073</v>
      </c>
    </row>
    <row r="77" spans="1:26" s="24" customFormat="1" hidden="1" outlineLevel="2" x14ac:dyDescent="0.25">
      <c r="A77" s="27"/>
      <c r="B77" s="11" t="str">
        <f>CONCATENATE("          ", "6244", " - ", "SAFETY SUPPLY EXPENSE")</f>
        <v xml:space="preserve">          6244 - SAFETY SUPPLY EXPENSE</v>
      </c>
      <c r="C77" s="11"/>
      <c r="D77" s="6"/>
      <c r="E77" s="2"/>
      <c r="F77" s="7">
        <f t="shared" si="44"/>
        <v>0</v>
      </c>
      <c r="G77" s="2"/>
      <c r="H77" s="6">
        <v>125</v>
      </c>
      <c r="I77" s="2"/>
      <c r="J77" s="7">
        <f t="shared" si="45"/>
        <v>1.8656716417910448E-4</v>
      </c>
      <c r="K77" s="2"/>
      <c r="L77" s="6">
        <f t="shared" si="46"/>
        <v>-125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500</v>
      </c>
      <c r="U77" s="2"/>
      <c r="V77" s="7">
        <f t="shared" si="49"/>
        <v>2.8174252114477623E-4</v>
      </c>
      <c r="W77" s="2"/>
      <c r="X77" s="6">
        <f t="shared" si="50"/>
        <v>-500</v>
      </c>
      <c r="Y77" s="2"/>
      <c r="Z77" s="7">
        <f t="shared" si="51"/>
        <v>-1</v>
      </c>
    </row>
    <row r="78" spans="1:26" s="24" customFormat="1" hidden="1" outlineLevel="2" x14ac:dyDescent="0.25">
      <c r="A78" s="27"/>
      <c r="B78" s="11" t="str">
        <f>CONCATENATE("          ", "6245", " - ", "PRINTING")</f>
        <v xml:space="preserve">          6245 - PRINTING</v>
      </c>
      <c r="C78" s="11"/>
      <c r="D78" s="6"/>
      <c r="E78" s="2"/>
      <c r="F78" s="7">
        <f t="shared" si="44"/>
        <v>0</v>
      </c>
      <c r="G78" s="2"/>
      <c r="H78" s="6">
        <v>160</v>
      </c>
      <c r="I78" s="2"/>
      <c r="J78" s="7">
        <f t="shared" si="45"/>
        <v>2.3880597014925374E-4</v>
      </c>
      <c r="K78" s="2"/>
      <c r="L78" s="6">
        <f t="shared" si="46"/>
        <v>-160</v>
      </c>
      <c r="M78" s="2"/>
      <c r="N78" s="7">
        <f t="shared" si="47"/>
        <v>-1</v>
      </c>
      <c r="O78" s="11"/>
      <c r="P78" s="6">
        <v>441</v>
      </c>
      <c r="Q78" s="2"/>
      <c r="R78" s="7">
        <f t="shared" si="48"/>
        <v>2.5617095350749882E-4</v>
      </c>
      <c r="S78" s="2"/>
      <c r="T78" s="6">
        <v>630</v>
      </c>
      <c r="U78" s="2"/>
      <c r="V78" s="7">
        <f t="shared" si="49"/>
        <v>3.5499557664241805E-4</v>
      </c>
      <c r="W78" s="2"/>
      <c r="X78" s="6">
        <f t="shared" si="50"/>
        <v>-189</v>
      </c>
      <c r="Y78" s="2"/>
      <c r="Z78" s="7">
        <f t="shared" si="51"/>
        <v>-0.3</v>
      </c>
    </row>
    <row r="79" spans="1:26" s="24" customFormat="1" hidden="1" outlineLevel="2" x14ac:dyDescent="0.25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>
        <v>1500</v>
      </c>
      <c r="I79" s="2"/>
      <c r="J79" s="7">
        <f t="shared" si="45"/>
        <v>2.2388059701492539E-3</v>
      </c>
      <c r="K79" s="2"/>
      <c r="L79" s="6">
        <f t="shared" si="46"/>
        <v>-1500</v>
      </c>
      <c r="M79" s="2"/>
      <c r="N79" s="7">
        <f t="shared" si="47"/>
        <v>-1</v>
      </c>
      <c r="O79" s="11"/>
      <c r="P79" s="6">
        <v>1222.42</v>
      </c>
      <c r="Q79" s="2"/>
      <c r="R79" s="7">
        <f t="shared" si="48"/>
        <v>7.1008729475427826E-4</v>
      </c>
      <c r="S79" s="2"/>
      <c r="T79" s="6">
        <v>4500</v>
      </c>
      <c r="U79" s="2"/>
      <c r="V79" s="7">
        <f t="shared" si="49"/>
        <v>2.5356826903029858E-3</v>
      </c>
      <c r="W79" s="2"/>
      <c r="X79" s="6">
        <f t="shared" si="50"/>
        <v>-3277.58</v>
      </c>
      <c r="Y79" s="2"/>
      <c r="Z79" s="7">
        <f t="shared" si="51"/>
        <v>-0.72835111111111106</v>
      </c>
    </row>
    <row r="80" spans="1:26" s="26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SUM(OSRRefD22_13x_0)</f>
        <v>189.1</v>
      </c>
      <c r="E80" s="1"/>
      <c r="F80" s="5">
        <f t="shared" ref="F80:F86" si="52">IF(D$12=0,0,D80/D$12)</f>
        <v>2.8814971570472484E-4</v>
      </c>
      <c r="G80" s="1"/>
      <c r="H80" s="1">
        <f>SUM(OSRRefH22_13x_0)</f>
        <v>185</v>
      </c>
      <c r="I80" s="1"/>
      <c r="J80" s="5">
        <f t="shared" ref="J80:J86" si="53">IF(H$12=0,0,H80/H$12)</f>
        <v>2.7611940298507464E-4</v>
      </c>
      <c r="K80" s="1"/>
      <c r="L80" s="1">
        <f t="shared" ref="L80:L86" si="54">+D80-H80</f>
        <v>4.0999999999999943</v>
      </c>
      <c r="M80" s="1"/>
      <c r="N80" s="5">
        <f t="shared" ref="N80:N86" si="55">IF(H80=0,0,L80/H80)</f>
        <v>2.216216216216213E-2</v>
      </c>
      <c r="O80" s="13"/>
      <c r="P80" s="1">
        <f>SUM(OSRRefP22_13x_0)</f>
        <v>744.4</v>
      </c>
      <c r="Q80" s="1"/>
      <c r="R80" s="5">
        <f t="shared" ref="R80:R86" si="56">IF(P$12=0,0,P80/P$12)</f>
        <v>4.3241192242853086E-4</v>
      </c>
      <c r="S80" s="1"/>
      <c r="T80" s="1">
        <f>SUM(OSRRefT22_13x_0)</f>
        <v>740</v>
      </c>
      <c r="U80" s="1"/>
      <c r="V80" s="5">
        <f t="shared" ref="V80:V86" si="57">IF(T$12=0,0,T80/T$12)</f>
        <v>4.1697893129426878E-4</v>
      </c>
      <c r="W80" s="1"/>
      <c r="X80" s="1">
        <f t="shared" ref="X80:X86" si="58">+P80-T80</f>
        <v>4.3999999999999773</v>
      </c>
      <c r="Y80" s="1"/>
      <c r="Z80" s="5">
        <f t="shared" ref="Z80:Z86" si="59">IF(T80=0,0,X80/T80)</f>
        <v>5.9459459459459156E-3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6">
        <v>189.1</v>
      </c>
      <c r="E81" s="2"/>
      <c r="F81" s="7">
        <f t="shared" si="52"/>
        <v>2.8814971570472484E-4</v>
      </c>
      <c r="G81" s="2"/>
      <c r="H81" s="6">
        <v>185</v>
      </c>
      <c r="I81" s="2"/>
      <c r="J81" s="7">
        <f t="shared" si="53"/>
        <v>2.7611940298507464E-4</v>
      </c>
      <c r="K81" s="2"/>
      <c r="L81" s="6">
        <f t="shared" si="54"/>
        <v>4.0999999999999943</v>
      </c>
      <c r="M81" s="2"/>
      <c r="N81" s="7">
        <f t="shared" si="55"/>
        <v>2.216216216216213E-2</v>
      </c>
      <c r="O81" s="11"/>
      <c r="P81" s="6">
        <v>744.4</v>
      </c>
      <c r="Q81" s="2"/>
      <c r="R81" s="7">
        <f t="shared" si="56"/>
        <v>4.3241192242853086E-4</v>
      </c>
      <c r="S81" s="2"/>
      <c r="T81" s="6">
        <v>740</v>
      </c>
      <c r="U81" s="2"/>
      <c r="V81" s="7">
        <f t="shared" si="57"/>
        <v>4.1697893129426878E-4</v>
      </c>
      <c r="W81" s="2"/>
      <c r="X81" s="6">
        <f t="shared" si="58"/>
        <v>4.3999999999999773</v>
      </c>
      <c r="Y81" s="2"/>
      <c r="Z81" s="7">
        <f t="shared" si="59"/>
        <v>5.9459459459459156E-3</v>
      </c>
    </row>
    <row r="82" spans="1:26" s="26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SUM(OSRRefD22_14x_0)</f>
        <v>48</v>
      </c>
      <c r="E82" s="1"/>
      <c r="F82" s="5">
        <f t="shared" si="52"/>
        <v>7.3142180612516098E-5</v>
      </c>
      <c r="G82" s="1"/>
      <c r="H82" s="1">
        <f>SUM(OSRRefH22_14x_0)</f>
        <v>0</v>
      </c>
      <c r="I82" s="1"/>
      <c r="J82" s="5">
        <f t="shared" si="53"/>
        <v>0</v>
      </c>
      <c r="K82" s="1"/>
      <c r="L82" s="1">
        <f t="shared" si="54"/>
        <v>48</v>
      </c>
      <c r="M82" s="1"/>
      <c r="N82" s="5">
        <f t="shared" si="55"/>
        <v>0</v>
      </c>
      <c r="O82" s="13"/>
      <c r="P82" s="1">
        <f>SUM(OSRRefP22_14x_0)</f>
        <v>617.37</v>
      </c>
      <c r="Q82" s="1"/>
      <c r="R82" s="5">
        <f t="shared" si="56"/>
        <v>3.5862190831502161E-4</v>
      </c>
      <c r="S82" s="1"/>
      <c r="T82" s="1">
        <f>SUM(OSRRefT22_14x_0)</f>
        <v>0</v>
      </c>
      <c r="U82" s="1"/>
      <c r="V82" s="5">
        <f t="shared" si="57"/>
        <v>0</v>
      </c>
      <c r="W82" s="1"/>
      <c r="X82" s="1">
        <f t="shared" si="58"/>
        <v>617.37</v>
      </c>
      <c r="Y82" s="1"/>
      <c r="Z82" s="5">
        <f t="shared" si="59"/>
        <v>0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6">
        <v>48</v>
      </c>
      <c r="E83" s="2"/>
      <c r="F83" s="7">
        <f t="shared" si="52"/>
        <v>7.3142180612516098E-5</v>
      </c>
      <c r="G83" s="2"/>
      <c r="H83" s="6"/>
      <c r="I83" s="2"/>
      <c r="J83" s="7">
        <f t="shared" si="53"/>
        <v>0</v>
      </c>
      <c r="K83" s="2"/>
      <c r="L83" s="6">
        <f t="shared" si="54"/>
        <v>48</v>
      </c>
      <c r="M83" s="2"/>
      <c r="N83" s="7">
        <f t="shared" si="55"/>
        <v>0</v>
      </c>
      <c r="O83" s="11"/>
      <c r="P83" s="6">
        <v>617.37</v>
      </c>
      <c r="Q83" s="2"/>
      <c r="R83" s="7">
        <f t="shared" si="56"/>
        <v>3.5862190831502161E-4</v>
      </c>
      <c r="S83" s="2"/>
      <c r="T83" s="6"/>
      <c r="U83" s="2"/>
      <c r="V83" s="7">
        <f t="shared" si="57"/>
        <v>0</v>
      </c>
      <c r="W83" s="2"/>
      <c r="X83" s="6">
        <f t="shared" si="58"/>
        <v>617.37</v>
      </c>
      <c r="Y83" s="2"/>
      <c r="Z83" s="7">
        <f t="shared" si="59"/>
        <v>0</v>
      </c>
    </row>
    <row r="84" spans="1:26" s="26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SUM(OSRRefD22_15x_0)</f>
        <v>0</v>
      </c>
      <c r="E84" s="1"/>
      <c r="F84" s="5">
        <f t="shared" si="52"/>
        <v>0</v>
      </c>
      <c r="G84" s="1"/>
      <c r="H84" s="1">
        <f>SUM(OSRRefH22_15x_0)</f>
        <v>60</v>
      </c>
      <c r="I84" s="1"/>
      <c r="J84" s="5">
        <f t="shared" si="53"/>
        <v>8.9552238805970156E-5</v>
      </c>
      <c r="K84" s="1"/>
      <c r="L84" s="1">
        <f t="shared" si="54"/>
        <v>-60</v>
      </c>
      <c r="M84" s="1"/>
      <c r="N84" s="5">
        <f t="shared" si="55"/>
        <v>-1</v>
      </c>
      <c r="O84" s="13"/>
      <c r="P84" s="1">
        <f>SUM(OSRRefP22_15x_0)</f>
        <v>1429.86</v>
      </c>
      <c r="Q84" s="1"/>
      <c r="R84" s="5">
        <f t="shared" si="56"/>
        <v>8.3058639361050391E-4</v>
      </c>
      <c r="S84" s="1"/>
      <c r="T84" s="1">
        <f>SUM(OSRRefT22_15x_0)</f>
        <v>240</v>
      </c>
      <c r="U84" s="1"/>
      <c r="V84" s="5">
        <f t="shared" si="57"/>
        <v>1.3523641014949258E-4</v>
      </c>
      <c r="W84" s="1"/>
      <c r="X84" s="1">
        <f t="shared" si="58"/>
        <v>1189.8599999999999</v>
      </c>
      <c r="Y84" s="1"/>
      <c r="Z84" s="5">
        <f t="shared" si="59"/>
        <v>4.9577499999999999</v>
      </c>
    </row>
    <row r="85" spans="1:26" s="24" customFormat="1" hidden="1" outlineLevel="2" x14ac:dyDescent="0.25">
      <c r="A85" s="27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1429.86</v>
      </c>
      <c r="Q85" s="2"/>
      <c r="R85" s="7">
        <f t="shared" si="56"/>
        <v>8.3058639361050391E-4</v>
      </c>
      <c r="S85" s="2"/>
      <c r="T85" s="6"/>
      <c r="U85" s="2"/>
      <c r="V85" s="7">
        <f t="shared" si="57"/>
        <v>0</v>
      </c>
      <c r="W85" s="2"/>
      <c r="X85" s="6">
        <f t="shared" si="58"/>
        <v>1429.86</v>
      </c>
      <c r="Y85" s="2"/>
      <c r="Z85" s="7">
        <f t="shared" si="59"/>
        <v>0</v>
      </c>
    </row>
    <row r="86" spans="1:26" s="24" customFormat="1" hidden="1" outlineLevel="2" x14ac:dyDescent="0.25">
      <c r="A86" s="27"/>
      <c r="B86" s="11" t="str">
        <f>CONCATENATE("          ", "6298", " - ", "VEHICLE MILEAGE")</f>
        <v xml:space="preserve">          6298 - VEHICLE MILEAGE</v>
      </c>
      <c r="C86" s="11"/>
      <c r="D86" s="6"/>
      <c r="E86" s="2"/>
      <c r="F86" s="7">
        <f t="shared" si="52"/>
        <v>0</v>
      </c>
      <c r="G86" s="2"/>
      <c r="H86" s="6">
        <v>60</v>
      </c>
      <c r="I86" s="2"/>
      <c r="J86" s="7">
        <f t="shared" si="53"/>
        <v>8.9552238805970156E-5</v>
      </c>
      <c r="K86" s="2"/>
      <c r="L86" s="6">
        <f t="shared" si="54"/>
        <v>-60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240</v>
      </c>
      <c r="U86" s="2"/>
      <c r="V86" s="7">
        <f t="shared" si="57"/>
        <v>1.3523641014949258E-4</v>
      </c>
      <c r="W86" s="2"/>
      <c r="X86" s="6">
        <f t="shared" si="58"/>
        <v>-240</v>
      </c>
      <c r="Y86" s="2"/>
      <c r="Z86" s="7">
        <f t="shared" si="59"/>
        <v>-1</v>
      </c>
    </row>
    <row r="87" spans="1:26" s="61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9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8" t="s">
        <v>3</v>
      </c>
      <c r="C90" s="28"/>
      <c r="D90" s="22">
        <f>+D23-D25+D88</f>
        <v>267726.29999999993</v>
      </c>
      <c r="E90" s="14"/>
      <c r="F90" s="20">
        <f>IF(D$12=0,0,D90/D$12)</f>
        <v>0.40796011227751378</v>
      </c>
      <c r="G90" s="14"/>
      <c r="H90" s="22">
        <f>+H23-H25+H88</f>
        <v>273229.87420064583</v>
      </c>
      <c r="I90" s="14"/>
      <c r="J90" s="20">
        <f>IF(H$12=0,0,H90/H$12)</f>
        <v>0.40780578238902365</v>
      </c>
      <c r="K90" s="16"/>
      <c r="L90" s="22">
        <f>+D90-H90</f>
        <v>-5503.5742006459041</v>
      </c>
      <c r="M90" s="16"/>
      <c r="N90" s="20">
        <f>IF(H90=0,0,L90/H90)</f>
        <v>-2.0142651738749347E-2</v>
      </c>
      <c r="O90" s="29"/>
      <c r="P90" s="22">
        <f>+P23-P25+P88</f>
        <v>621595.25999999989</v>
      </c>
      <c r="Q90" s="14"/>
      <c r="R90" s="20">
        <f>IF(P$12=0,0,P90/P$12)</f>
        <v>0.36107630487515102</v>
      </c>
      <c r="S90" s="14"/>
      <c r="T90" s="22">
        <f>+T23-T25+T88</f>
        <v>548714.6667641711</v>
      </c>
      <c r="U90" s="14"/>
      <c r="V90" s="20">
        <f>IF(T$12=0,0,T90/T$12)</f>
        <v>0.30919250720650659</v>
      </c>
      <c r="W90" s="16"/>
      <c r="X90" s="22">
        <f>+P90-T90</f>
        <v>72880.593235828797</v>
      </c>
      <c r="Y90" s="16"/>
      <c r="Z90" s="20">
        <f>IF(T90=0,0,X90/T90)</f>
        <v>0.13282056713667492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58869.23</v>
      </c>
      <c r="E92" s="4"/>
      <c r="F92" s="12">
        <f>IF(D$12=0,0,D92/D$12)</f>
        <v>8.9704663607911475E-2</v>
      </c>
      <c r="G92" s="4"/>
      <c r="H92" s="4">
        <v>73988</v>
      </c>
      <c r="I92" s="4"/>
      <c r="J92" s="12">
        <f>IF(H$12=0,0,H92/H$12)</f>
        <v>0.11042985074626865</v>
      </c>
      <c r="K92" s="4"/>
      <c r="L92" s="4">
        <f>+D92-H92</f>
        <v>-15118.769999999997</v>
      </c>
      <c r="M92" s="4"/>
      <c r="N92" s="12">
        <f>IF(H92=0,0,L92/H92)</f>
        <v>-0.20434083905498185</v>
      </c>
      <c r="O92" s="10"/>
      <c r="P92" s="4">
        <v>173291.25</v>
      </c>
      <c r="Q92" s="4"/>
      <c r="R92" s="12">
        <f>IF(P$12=0,0,P92/P$12)</f>
        <v>0.10066255044672642</v>
      </c>
      <c r="S92" s="4"/>
      <c r="T92" s="4">
        <v>213712</v>
      </c>
      <c r="U92" s="4"/>
      <c r="V92" s="12">
        <f>IF(T$12=0,0,T92/T$12)</f>
        <v>0.12042351535778482</v>
      </c>
      <c r="W92" s="4"/>
      <c r="X92" s="4">
        <f>+P92-T92</f>
        <v>-40420.75</v>
      </c>
      <c r="Y92" s="4"/>
      <c r="Z92" s="12">
        <f>IF(T92=0,0,X92/T92)</f>
        <v>-0.18913654825185297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4</v>
      </c>
      <c r="C94" s="28"/>
      <c r="D94" s="31">
        <f>+D90-D92</f>
        <v>208857.06999999992</v>
      </c>
      <c r="E94" s="14"/>
      <c r="F94" s="33">
        <f>IF(D$12=0,0,D94/D$12)</f>
        <v>0.31825544866960231</v>
      </c>
      <c r="G94" s="14"/>
      <c r="H94" s="31">
        <f>+H90-H92</f>
        <v>199241.87420064583</v>
      </c>
      <c r="I94" s="14"/>
      <c r="J94" s="33">
        <f>IF(H$12=0,0,H94/H$12)</f>
        <v>0.297375931642755</v>
      </c>
      <c r="K94" s="16"/>
      <c r="L94" s="31">
        <f>D94-H94</f>
        <v>9615.1957993540855</v>
      </c>
      <c r="M94" s="16"/>
      <c r="N94" s="33">
        <f>IF(H94=0,0,L94/H94)</f>
        <v>4.8258910622729516E-2</v>
      </c>
      <c r="O94" s="29"/>
      <c r="P94" s="31">
        <f>+P90-P92</f>
        <v>448304.00999999989</v>
      </c>
      <c r="Q94" s="14"/>
      <c r="R94" s="33">
        <f>IF(P$12=0,0,P94/P$12)</f>
        <v>0.26041375442842463</v>
      </c>
      <c r="S94" s="14"/>
      <c r="T94" s="31">
        <f>+T90-T92</f>
        <v>335002.6667641711</v>
      </c>
      <c r="U94" s="14"/>
      <c r="V94" s="33">
        <f>IF(T$12=0,0,T94/T$12)</f>
        <v>0.18876899184872178</v>
      </c>
      <c r="W94" s="16"/>
      <c r="X94" s="31">
        <f>P94-T94</f>
        <v>113301.3432358288</v>
      </c>
      <c r="Y94" s="16"/>
      <c r="Z94" s="33">
        <f>IF(T94=0,0,X94/T94)</f>
        <v>0.33821027256355712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5</v>
      </c>
      <c r="C97" s="28"/>
      <c r="D97" s="32">
        <f>SUM(D94:D96)</f>
        <v>208857.06999999992</v>
      </c>
      <c r="E97" s="14"/>
      <c r="F97" s="34">
        <f>IF(D$12=0,0,D97/D$12)</f>
        <v>0.31825544866960231</v>
      </c>
      <c r="G97" s="14"/>
      <c r="H97" s="32">
        <f>SUM(H94:H96)</f>
        <v>199241.87420064583</v>
      </c>
      <c r="I97" s="14"/>
      <c r="J97" s="34">
        <f>IF(H$12=0,0,H97/H$12)</f>
        <v>0.297375931642755</v>
      </c>
      <c r="K97" s="16"/>
      <c r="L97" s="32">
        <f>+D97-H97</f>
        <v>9615.1957993540855</v>
      </c>
      <c r="M97" s="16"/>
      <c r="N97" s="34">
        <f>IF(H97=0,0,L97/H97)</f>
        <v>4.8258910622729516E-2</v>
      </c>
      <c r="O97" s="29"/>
      <c r="P97" s="32">
        <f>SUM(P94:P96)</f>
        <v>448304.00999999989</v>
      </c>
      <c r="Q97" s="14"/>
      <c r="R97" s="34">
        <f>IF(P$12=0,0,P97/P$12)</f>
        <v>0.26041375442842463</v>
      </c>
      <c r="S97" s="14"/>
      <c r="T97" s="32">
        <f>SUM(T94:T96)</f>
        <v>335002.6667641711</v>
      </c>
      <c r="U97" s="14"/>
      <c r="V97" s="34">
        <f>IF(T$12=0,0,T97/T$12)</f>
        <v>0.18876899184872178</v>
      </c>
      <c r="W97" s="16"/>
      <c r="X97" s="32">
        <f>+P97-T97</f>
        <v>113301.3432358288</v>
      </c>
      <c r="Y97" s="16"/>
      <c r="Z97" s="34">
        <f>IF(T97=0,0,X97/T97)</f>
        <v>0.33821027256355712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25">
      <c r="A99" s="9"/>
      <c r="B99" s="60">
        <v>43791.348681909723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4" t="s">
        <v>314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5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1755.17</v>
      </c>
      <c r="E12" s="4"/>
      <c r="F12" s="12"/>
      <c r="G12" s="4"/>
      <c r="H12" s="4">
        <f>SUM(OSRRefH13x_0)</f>
        <v>1803</v>
      </c>
      <c r="I12" s="4"/>
      <c r="J12" s="12"/>
      <c r="K12" s="4"/>
      <c r="L12" s="4">
        <f t="shared" ref="L12:L16" si="0">+D12-H12</f>
        <v>-47.829999999999927</v>
      </c>
      <c r="M12" s="4"/>
      <c r="N12" s="12">
        <f t="shared" ref="N12:N16" si="1">IF(H12=0,0,L12/H12)</f>
        <v>-2.6528008874098685E-2</v>
      </c>
      <c r="O12" s="10"/>
      <c r="P12" s="4">
        <f>SUM(OSRRefP13x_0)</f>
        <v>3265.88</v>
      </c>
      <c r="Q12" s="4"/>
      <c r="R12" s="12"/>
      <c r="S12" s="4"/>
      <c r="T12" s="4">
        <f>SUM(OSRRefT13x_0)</f>
        <v>3436</v>
      </c>
      <c r="U12" s="4"/>
      <c r="V12" s="12"/>
      <c r="W12" s="4"/>
      <c r="X12" s="4">
        <f t="shared" ref="X12:X16" si="2">+P12-T12</f>
        <v>-170.11999999999989</v>
      </c>
      <c r="Y12" s="4"/>
      <c r="Z12" s="12">
        <f t="shared" ref="Z12:Z16" si="3">IF(T12=0,0,X12/T12)</f>
        <v>-4.9511059371362014E-2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--371.82</f>
        <v>371.82</v>
      </c>
      <c r="E13" s="2"/>
      <c r="F13" s="19"/>
      <c r="G13" s="2"/>
      <c r="H13" s="2"/>
      <c r="I13" s="2"/>
      <c r="J13" s="19"/>
      <c r="K13" s="2"/>
      <c r="L13" s="2">
        <f t="shared" si="0"/>
        <v>371.82</v>
      </c>
      <c r="M13" s="2"/>
      <c r="N13" s="19">
        <f t="shared" si="1"/>
        <v>0</v>
      </c>
      <c r="O13" s="11"/>
      <c r="P13" s="2">
        <f>--651.14</f>
        <v>651.14</v>
      </c>
      <c r="Q13" s="2"/>
      <c r="R13" s="19"/>
      <c r="S13" s="2"/>
      <c r="T13" s="2"/>
      <c r="U13" s="2"/>
      <c r="V13" s="19"/>
      <c r="W13" s="2"/>
      <c r="X13" s="2">
        <f t="shared" si="2"/>
        <v>651.14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1803</v>
      </c>
      <c r="I14" s="2"/>
      <c r="J14" s="19"/>
      <c r="K14" s="2"/>
      <c r="L14" s="2">
        <f t="shared" si="0"/>
        <v>-1803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3436</v>
      </c>
      <c r="U14" s="2"/>
      <c r="V14" s="19"/>
      <c r="W14" s="2"/>
      <c r="X14" s="2">
        <f t="shared" si="2"/>
        <v>-3436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--211.35</f>
        <v>211.35</v>
      </c>
      <c r="E15" s="2"/>
      <c r="F15" s="19"/>
      <c r="G15" s="2"/>
      <c r="H15" s="2"/>
      <c r="I15" s="2"/>
      <c r="J15" s="19"/>
      <c r="K15" s="2"/>
      <c r="L15" s="2">
        <f t="shared" si="0"/>
        <v>211.35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--1172</f>
        <v>1172</v>
      </c>
      <c r="E16" s="2"/>
      <c r="F16" s="19"/>
      <c r="G16" s="2"/>
      <c r="H16" s="2"/>
      <c r="I16" s="2"/>
      <c r="J16" s="19"/>
      <c r="K16" s="2"/>
      <c r="L16" s="2">
        <f t="shared" si="0"/>
        <v>1172</v>
      </c>
      <c r="M16" s="2"/>
      <c r="N16" s="19">
        <f t="shared" si="1"/>
        <v>0</v>
      </c>
      <c r="O16" s="11"/>
      <c r="P16" s="2">
        <f>--2143.11</f>
        <v>2143.11</v>
      </c>
      <c r="Q16" s="2"/>
      <c r="R16" s="19"/>
      <c r="S16" s="2"/>
      <c r="T16" s="2"/>
      <c r="U16" s="2"/>
      <c r="V16" s="19"/>
      <c r="W16" s="2"/>
      <c r="X16" s="2">
        <f t="shared" si="2"/>
        <v>2143.11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730.53</v>
      </c>
      <c r="E18" s="4"/>
      <c r="F18" s="12">
        <f t="shared" ref="F18:F21" si="4">IF(D$12=0,0,D18/D$12)</f>
        <v>0.41621609302802576</v>
      </c>
      <c r="G18" s="4"/>
      <c r="H18" s="4">
        <f>SUM(OSRRefH16x_0)</f>
        <v>961.19</v>
      </c>
      <c r="I18" s="4"/>
      <c r="J18" s="12">
        <f t="shared" ref="J18:J21" si="5">IF(H$12=0,0,H18/H$12)</f>
        <v>0.53310593455352195</v>
      </c>
      <c r="K18" s="4"/>
      <c r="L18" s="4">
        <f t="shared" ref="L18:L21" si="6">+D18-H18</f>
        <v>-230.66000000000008</v>
      </c>
      <c r="M18" s="4"/>
      <c r="N18" s="12">
        <f t="shared" ref="N18:N21" si="7">IF(H18=0,0,L18/H18)</f>
        <v>-0.23997336634796457</v>
      </c>
      <c r="O18" s="10"/>
      <c r="P18" s="4">
        <f>SUM(OSRRefP16x_0)</f>
        <v>1171.1299999999997</v>
      </c>
      <c r="Q18" s="4"/>
      <c r="R18" s="12">
        <f t="shared" ref="R18:R21" si="8">IF(P$12=0,0,P18/P$12)</f>
        <v>0.35859553933396193</v>
      </c>
      <c r="S18" s="4"/>
      <c r="T18" s="4">
        <f>SUM(OSRRefT16x_0)</f>
        <v>1831.59</v>
      </c>
      <c r="U18" s="4"/>
      <c r="V18" s="12">
        <f t="shared" ref="V18:V21" si="9">IF(T$12=0,0,T18/T$12)</f>
        <v>0.53305878928987194</v>
      </c>
      <c r="W18" s="4"/>
      <c r="X18" s="4">
        <f t="shared" ref="X18:X21" si="10">+P18-T18</f>
        <v>-660.46000000000026</v>
      </c>
      <c r="Y18" s="4"/>
      <c r="Z18" s="12">
        <f t="shared" ref="Z18:Z21" si="11">IF(T18=0,0,X18/T18)</f>
        <v>-0.36059380101441935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961.19</v>
      </c>
      <c r="I19" s="2"/>
      <c r="J19" s="19">
        <f t="shared" si="5"/>
        <v>0.53310593455352195</v>
      </c>
      <c r="K19" s="2"/>
      <c r="L19" s="2">
        <f t="shared" si="6"/>
        <v>-961.19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1831.59</v>
      </c>
      <c r="U19" s="2"/>
      <c r="V19" s="19">
        <f t="shared" si="9"/>
        <v>0.53305878928987194</v>
      </c>
      <c r="W19" s="2"/>
      <c r="X19" s="2">
        <f t="shared" si="10"/>
        <v>-1831.59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1154.74</v>
      </c>
      <c r="E20" s="2"/>
      <c r="F20" s="19">
        <f t="shared" si="4"/>
        <v>0.65790778101266545</v>
      </c>
      <c r="G20" s="2"/>
      <c r="H20" s="2"/>
      <c r="I20" s="2"/>
      <c r="J20" s="19">
        <f t="shared" si="5"/>
        <v>0</v>
      </c>
      <c r="K20" s="2"/>
      <c r="L20" s="2">
        <f t="shared" si="6"/>
        <v>1154.74</v>
      </c>
      <c r="M20" s="2"/>
      <c r="N20" s="19">
        <f t="shared" si="7"/>
        <v>0</v>
      </c>
      <c r="O20" s="11"/>
      <c r="P20" s="2">
        <v>3859.14</v>
      </c>
      <c r="Q20" s="2"/>
      <c r="R20" s="19">
        <f t="shared" si="8"/>
        <v>1.1816539493184073</v>
      </c>
      <c r="S20" s="2"/>
      <c r="T20" s="2"/>
      <c r="U20" s="2"/>
      <c r="V20" s="19">
        <f t="shared" si="9"/>
        <v>0</v>
      </c>
      <c r="W20" s="2"/>
      <c r="X20" s="2">
        <f t="shared" si="10"/>
        <v>3859.14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-424.21</v>
      </c>
      <c r="E21" s="2"/>
      <c r="F21" s="19">
        <f t="shared" si="4"/>
        <v>-0.24169168798463964</v>
      </c>
      <c r="G21" s="2"/>
      <c r="H21" s="2"/>
      <c r="I21" s="2"/>
      <c r="J21" s="19">
        <f t="shared" si="5"/>
        <v>0</v>
      </c>
      <c r="K21" s="2"/>
      <c r="L21" s="2">
        <f t="shared" si="6"/>
        <v>-424.21</v>
      </c>
      <c r="M21" s="2"/>
      <c r="N21" s="19">
        <f t="shared" si="7"/>
        <v>0</v>
      </c>
      <c r="O21" s="11"/>
      <c r="P21" s="2">
        <v>-2688.01</v>
      </c>
      <c r="Q21" s="2"/>
      <c r="R21" s="19">
        <f t="shared" si="8"/>
        <v>-0.82305840998444524</v>
      </c>
      <c r="S21" s="2"/>
      <c r="T21" s="2"/>
      <c r="U21" s="2"/>
      <c r="V21" s="19">
        <f t="shared" si="9"/>
        <v>0</v>
      </c>
      <c r="W21" s="2"/>
      <c r="X21" s="2">
        <f t="shared" si="10"/>
        <v>-2688.01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1024.6400000000001</v>
      </c>
      <c r="E23" s="14"/>
      <c r="F23" s="20">
        <f>IF(D$12=0,0,D23/D$12)</f>
        <v>0.58378390697197424</v>
      </c>
      <c r="G23" s="14"/>
      <c r="H23" s="22">
        <f>H12-H18</f>
        <v>841.81</v>
      </c>
      <c r="I23" s="14"/>
      <c r="J23" s="20">
        <f>IF(H$12=0,0,H23/H$12)</f>
        <v>0.46689406544647805</v>
      </c>
      <c r="K23" s="16"/>
      <c r="L23" s="22">
        <f>+D23-H23</f>
        <v>182.83000000000015</v>
      </c>
      <c r="M23" s="16"/>
      <c r="N23" s="20">
        <f>IF(H23=0,0,L23/H23)</f>
        <v>0.21718677611337495</v>
      </c>
      <c r="O23" s="29"/>
      <c r="P23" s="22">
        <f>P12-P18</f>
        <v>2094.7500000000005</v>
      </c>
      <c r="Q23" s="14"/>
      <c r="R23" s="20">
        <f>IF(P$12=0,0,P23/P$12)</f>
        <v>0.64140446066603807</v>
      </c>
      <c r="S23" s="14"/>
      <c r="T23" s="22">
        <f>T12-T18</f>
        <v>1604.41</v>
      </c>
      <c r="U23" s="14"/>
      <c r="V23" s="20">
        <f>IF(T$12=0,0,T23/T$12)</f>
        <v>0.46694121071012806</v>
      </c>
      <c r="W23" s="16"/>
      <c r="X23" s="22">
        <f>+P23-T23</f>
        <v>490.34000000000037</v>
      </c>
      <c r="Y23" s="16"/>
      <c r="Z23" s="20">
        <f>IF(T23=0,0,X23/T23)</f>
        <v>0.30562013450427283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3621.0399999999995</v>
      </c>
      <c r="E25" s="21"/>
      <c r="F25" s="35">
        <f t="shared" ref="F25:F34" si="12">IF(D$12=0,0,D25/D$12)</f>
        <v>2.0630708136533777</v>
      </c>
      <c r="G25" s="21"/>
      <c r="H25" s="21">
        <f>SUM(OSRRefH22x_0)</f>
        <v>3434.9</v>
      </c>
      <c r="I25" s="21"/>
      <c r="J25" s="35">
        <f t="shared" ref="J25:J34" si="13">IF(H$12=0,0,H25/H$12)</f>
        <v>1.9051026067665002</v>
      </c>
      <c r="K25" s="4"/>
      <c r="L25" s="21">
        <f t="shared" ref="L25:L34" si="14">+D25-H25</f>
        <v>186.13999999999942</v>
      </c>
      <c r="M25" s="4"/>
      <c r="N25" s="35">
        <f t="shared" ref="N25:N34" si="15">IF(H25=0,0,L25/H25)</f>
        <v>5.4190806137005276E-2</v>
      </c>
      <c r="O25" s="10"/>
      <c r="P25" s="21">
        <f>SUM(OSRRefP22x_0)</f>
        <v>10129.640000000001</v>
      </c>
      <c r="Q25" s="21"/>
      <c r="R25" s="35">
        <f t="shared" ref="R25:R34" si="16">IF(P$12=0,0,P25/P$12)</f>
        <v>3.1016571337587422</v>
      </c>
      <c r="S25" s="21"/>
      <c r="T25" s="21">
        <f>SUM(OSRRefT22x_0)</f>
        <v>7764.6084000000001</v>
      </c>
      <c r="U25" s="21"/>
      <c r="V25" s="35">
        <f t="shared" ref="V25:V34" si="17">IF(T$12=0,0,T25/T$12)</f>
        <v>2.2597812572759022</v>
      </c>
      <c r="W25" s="4"/>
      <c r="X25" s="21">
        <f t="shared" ref="X25:X34" si="18">+P25-T25</f>
        <v>2365.0316000000012</v>
      </c>
      <c r="Y25" s="4"/>
      <c r="Z25" s="35">
        <f t="shared" ref="Z25:Z34" si="19">IF(T25=0,0,X25/T25)</f>
        <v>0.30459122703470803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217.45</v>
      </c>
      <c r="E26" s="1"/>
      <c r="F26" s="5">
        <f t="shared" si="12"/>
        <v>0.12389113305263877</v>
      </c>
      <c r="G26" s="1"/>
      <c r="H26" s="1">
        <f>SUM(OSRRefH22_0x_0)</f>
        <v>141.9</v>
      </c>
      <c r="I26" s="1"/>
      <c r="J26" s="5">
        <f t="shared" si="13"/>
        <v>7.8702163061564065E-2</v>
      </c>
      <c r="K26" s="1"/>
      <c r="L26" s="1">
        <f t="shared" si="14"/>
        <v>75.549999999999983</v>
      </c>
      <c r="M26" s="1"/>
      <c r="N26" s="5">
        <f t="shared" si="15"/>
        <v>0.53241719520789277</v>
      </c>
      <c r="O26" s="13"/>
      <c r="P26" s="1">
        <f>SUM(OSRRefP22_0x_0)</f>
        <v>485.15999999999997</v>
      </c>
      <c r="Q26" s="1"/>
      <c r="R26" s="5">
        <f t="shared" si="16"/>
        <v>0.14855414160961208</v>
      </c>
      <c r="S26" s="1"/>
      <c r="T26" s="1">
        <f>SUM(OSRRefT22_0x_0)</f>
        <v>327.60839999999996</v>
      </c>
      <c r="U26" s="1"/>
      <c r="V26" s="5">
        <f t="shared" si="17"/>
        <v>9.5345867287543642E-2</v>
      </c>
      <c r="W26" s="1"/>
      <c r="X26" s="1">
        <f t="shared" si="18"/>
        <v>157.55160000000001</v>
      </c>
      <c r="Y26" s="1"/>
      <c r="Z26" s="5">
        <f t="shared" si="19"/>
        <v>0.48091440878805314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196.92</v>
      </c>
      <c r="E27" s="2"/>
      <c r="F27" s="7">
        <f t="shared" si="12"/>
        <v>0.11219426038503391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196.92</v>
      </c>
      <c r="M27" s="2"/>
      <c r="N27" s="7">
        <f t="shared" si="15"/>
        <v>0</v>
      </c>
      <c r="O27" s="11"/>
      <c r="P27" s="6">
        <v>358.08</v>
      </c>
      <c r="Q27" s="2"/>
      <c r="R27" s="7">
        <f t="shared" si="16"/>
        <v>0.10964273029015149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358.08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13.99</v>
      </c>
      <c r="E28" s="2"/>
      <c r="F28" s="7">
        <f t="shared" si="12"/>
        <v>7.9707378772426608E-3</v>
      </c>
      <c r="G28" s="2"/>
      <c r="H28" s="6">
        <v>52.25</v>
      </c>
      <c r="I28" s="2"/>
      <c r="J28" s="7">
        <f t="shared" si="13"/>
        <v>2.8979478646699943E-2</v>
      </c>
      <c r="K28" s="2"/>
      <c r="L28" s="6">
        <f t="shared" si="14"/>
        <v>-38.26</v>
      </c>
      <c r="M28" s="2"/>
      <c r="N28" s="7">
        <f t="shared" si="15"/>
        <v>-0.73224880382775115</v>
      </c>
      <c r="O28" s="11"/>
      <c r="P28" s="6">
        <v>107.72</v>
      </c>
      <c r="Q28" s="2"/>
      <c r="R28" s="7">
        <f t="shared" si="16"/>
        <v>3.2983453158107461E-2</v>
      </c>
      <c r="S28" s="2"/>
      <c r="T28" s="6">
        <v>120.631</v>
      </c>
      <c r="U28" s="2"/>
      <c r="V28" s="7">
        <f t="shared" si="17"/>
        <v>3.5107974388824216E-2</v>
      </c>
      <c r="W28" s="2"/>
      <c r="X28" s="6">
        <f t="shared" si="18"/>
        <v>-12.911000000000001</v>
      </c>
      <c r="Y28" s="2"/>
      <c r="Z28" s="7">
        <f t="shared" si="19"/>
        <v>-0.10702887317522031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6.54</v>
      </c>
      <c r="E30" s="2"/>
      <c r="F30" s="7">
        <f t="shared" si="12"/>
        <v>3.726134790362187E-3</v>
      </c>
      <c r="G30" s="2"/>
      <c r="H30" s="6">
        <v>7.15</v>
      </c>
      <c r="I30" s="2"/>
      <c r="J30" s="7">
        <f t="shared" si="13"/>
        <v>3.9656128674431506E-3</v>
      </c>
      <c r="K30" s="2"/>
      <c r="L30" s="6">
        <f t="shared" si="14"/>
        <v>-0.61000000000000032</v>
      </c>
      <c r="M30" s="2"/>
      <c r="N30" s="7">
        <f t="shared" si="15"/>
        <v>-8.5314685314685348E-2</v>
      </c>
      <c r="O30" s="11"/>
      <c r="P30" s="6">
        <v>19.36</v>
      </c>
      <c r="Q30" s="2"/>
      <c r="R30" s="7">
        <f t="shared" si="16"/>
        <v>5.9279581613531415E-3</v>
      </c>
      <c r="S30" s="2"/>
      <c r="T30" s="6">
        <v>16.507400000000001</v>
      </c>
      <c r="U30" s="2"/>
      <c r="V30" s="7">
        <f t="shared" si="17"/>
        <v>4.804249126891735E-3</v>
      </c>
      <c r="W30" s="2"/>
      <c r="X30" s="6">
        <f t="shared" si="18"/>
        <v>2.8525999999999989</v>
      </c>
      <c r="Y30" s="2"/>
      <c r="Z30" s="7">
        <f t="shared" si="19"/>
        <v>0.17280734700800846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82.5</v>
      </c>
      <c r="I34" s="2"/>
      <c r="J34" s="7">
        <f t="shared" si="13"/>
        <v>4.5757071547420966E-2</v>
      </c>
      <c r="K34" s="2"/>
      <c r="L34" s="6">
        <f t="shared" si="14"/>
        <v>-82.5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190.47</v>
      </c>
      <c r="U34" s="2"/>
      <c r="V34" s="7">
        <f t="shared" si="17"/>
        <v>5.5433643771827704E-2</v>
      </c>
      <c r="W34" s="2"/>
      <c r="X34" s="6">
        <f t="shared" si="18"/>
        <v>-190.47</v>
      </c>
      <c r="Y34" s="2"/>
      <c r="Z34" s="7">
        <f t="shared" si="19"/>
        <v>-1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2955.97</v>
      </c>
      <c r="E35" s="1"/>
      <c r="F35" s="5">
        <f t="shared" ref="F35:F45" si="20">IF(D$12=0,0,D35/D$12)</f>
        <v>1.6841502532518215</v>
      </c>
      <c r="G35" s="1"/>
      <c r="H35" s="1">
        <f>SUM(OSRRefH22_1x_0)</f>
        <v>2750</v>
      </c>
      <c r="I35" s="1"/>
      <c r="J35" s="5">
        <f t="shared" ref="J35:J45" si="21">IF(H$12=0,0,H35/H$12)</f>
        <v>1.5252357182473655</v>
      </c>
      <c r="K35" s="1"/>
      <c r="L35" s="1">
        <f t="shared" ref="L35:L45" si="22">+D35-H35</f>
        <v>205.9699999999998</v>
      </c>
      <c r="M35" s="1"/>
      <c r="N35" s="5">
        <f t="shared" ref="N35:N45" si="23">IF(H35=0,0,L35/H35)</f>
        <v>7.4898181818181739E-2</v>
      </c>
      <c r="O35" s="13"/>
      <c r="P35" s="1">
        <f>SUM(OSRRefP22_1x_0)</f>
        <v>6378.63</v>
      </c>
      <c r="Q35" s="1"/>
      <c r="R35" s="5">
        <f t="shared" ref="R35:R45" si="24">IF(P$12=0,0,P35/P$12)</f>
        <v>1.9531121780347103</v>
      </c>
      <c r="S35" s="1"/>
      <c r="T35" s="1">
        <f>SUM(OSRRefT22_1x_0)</f>
        <v>6349</v>
      </c>
      <c r="U35" s="1"/>
      <c r="V35" s="5">
        <f t="shared" ref="V35:V45" si="25">IF(T$12=0,0,T35/T$12)</f>
        <v>1.8477881257275903</v>
      </c>
      <c r="W35" s="1"/>
      <c r="X35" s="1">
        <f t="shared" ref="X35:X45" si="26">+P35-T35</f>
        <v>29.630000000000109</v>
      </c>
      <c r="Y35" s="1"/>
      <c r="Z35" s="5">
        <f t="shared" ref="Z35:Z45" si="27">IF(T35=0,0,X35/T35)</f>
        <v>4.6668766734919058E-3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2573.9699999999998</v>
      </c>
      <c r="E40" s="2"/>
      <c r="F40" s="7">
        <f t="shared" si="20"/>
        <v>1.4665075177902993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2573.9699999999998</v>
      </c>
      <c r="M40" s="2"/>
      <c r="N40" s="7">
        <f t="shared" si="23"/>
        <v>0</v>
      </c>
      <c r="O40" s="11"/>
      <c r="P40" s="6">
        <v>4584.63</v>
      </c>
      <c r="Q40" s="2"/>
      <c r="R40" s="7">
        <f t="shared" si="24"/>
        <v>1.4037962203142798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4584.63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382</v>
      </c>
      <c r="E42" s="2"/>
      <c r="F42" s="7">
        <f t="shared" si="20"/>
        <v>0.21764273546152224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382</v>
      </c>
      <c r="M42" s="2"/>
      <c r="N42" s="7">
        <f t="shared" si="23"/>
        <v>0</v>
      </c>
      <c r="O42" s="11"/>
      <c r="P42" s="6">
        <v>1794</v>
      </c>
      <c r="Q42" s="2"/>
      <c r="R42" s="7">
        <f t="shared" si="24"/>
        <v>0.54931595772043063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1794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2750</v>
      </c>
      <c r="I43" s="2"/>
      <c r="J43" s="7">
        <f t="shared" si="21"/>
        <v>1.5252357182473655</v>
      </c>
      <c r="K43" s="2"/>
      <c r="L43" s="6">
        <f t="shared" si="22"/>
        <v>-2750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6349</v>
      </c>
      <c r="U43" s="2"/>
      <c r="V43" s="7">
        <f t="shared" si="25"/>
        <v>1.8477881257275903</v>
      </c>
      <c r="W43" s="2"/>
      <c r="X43" s="6">
        <f t="shared" si="26"/>
        <v>-6349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-0.55000000000000004</v>
      </c>
      <c r="E46" s="1"/>
      <c r="F46" s="5">
        <f t="shared" ref="F46:F57" si="28">IF(D$12=0,0,D46/D$12)</f>
        <v>-3.1335995943412891E-4</v>
      </c>
      <c r="G46" s="1"/>
      <c r="H46" s="1">
        <f>SUM(OSRRefH22_2x_0)</f>
        <v>25</v>
      </c>
      <c r="I46" s="1"/>
      <c r="J46" s="5">
        <f t="shared" ref="J46:J57" si="29">IF(H$12=0,0,H46/H$12)</f>
        <v>1.3865779256794232E-2</v>
      </c>
      <c r="K46" s="1"/>
      <c r="L46" s="1">
        <f t="shared" ref="L46:L57" si="30">+D46-H46</f>
        <v>-25.55</v>
      </c>
      <c r="M46" s="1"/>
      <c r="N46" s="5">
        <f t="shared" ref="N46:N57" si="31">IF(H46=0,0,L46/H46)</f>
        <v>-1.022</v>
      </c>
      <c r="O46" s="13"/>
      <c r="P46" s="1">
        <f>SUM(OSRRefP22_2x_0)</f>
        <v>-0.86</v>
      </c>
      <c r="Q46" s="1"/>
      <c r="R46" s="5">
        <f t="shared" ref="R46:R57" si="32">IF(P$12=0,0,P46/P$12)</f>
        <v>-2.6332871997746394E-4</v>
      </c>
      <c r="S46" s="1"/>
      <c r="T46" s="1">
        <f>SUM(OSRRefT22_2x_0)</f>
        <v>100</v>
      </c>
      <c r="U46" s="1"/>
      <c r="V46" s="5">
        <f t="shared" ref="V46:V57" si="33">IF(T$12=0,0,T46/T$12)</f>
        <v>2.9103608847497089E-2</v>
      </c>
      <c r="W46" s="1"/>
      <c r="X46" s="1">
        <f t="shared" ref="X46:X57" si="34">+P46-T46</f>
        <v>-100.86</v>
      </c>
      <c r="Y46" s="1"/>
      <c r="Z46" s="5">
        <f t="shared" ref="Z46:Z57" si="35">IF(T46=0,0,X46/T46)</f>
        <v>-1.0085999999999999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6">
        <v>-0.55000000000000004</v>
      </c>
      <c r="E47" s="2"/>
      <c r="F47" s="7">
        <f t="shared" si="28"/>
        <v>-3.1335995943412891E-4</v>
      </c>
      <c r="G47" s="2"/>
      <c r="H47" s="6">
        <v>25</v>
      </c>
      <c r="I47" s="2"/>
      <c r="J47" s="7">
        <f t="shared" si="29"/>
        <v>1.3865779256794232E-2</v>
      </c>
      <c r="K47" s="2"/>
      <c r="L47" s="6">
        <f t="shared" si="30"/>
        <v>-25.55</v>
      </c>
      <c r="M47" s="2"/>
      <c r="N47" s="7">
        <f t="shared" si="31"/>
        <v>-1.022</v>
      </c>
      <c r="O47" s="11"/>
      <c r="P47" s="6">
        <v>-0.86</v>
      </c>
      <c r="Q47" s="2"/>
      <c r="R47" s="7">
        <f t="shared" si="32"/>
        <v>-2.6332871997746394E-4</v>
      </c>
      <c r="S47" s="2"/>
      <c r="T47" s="6">
        <v>100</v>
      </c>
      <c r="U47" s="2"/>
      <c r="V47" s="7">
        <f t="shared" si="33"/>
        <v>2.9103608847497089E-2</v>
      </c>
      <c r="W47" s="2"/>
      <c r="X47" s="6">
        <f t="shared" si="34"/>
        <v>-100.86</v>
      </c>
      <c r="Y47" s="2"/>
      <c r="Z47" s="7">
        <f t="shared" si="35"/>
        <v>-1.0085999999999999</v>
      </c>
    </row>
    <row r="48" spans="1:26" s="26" customFormat="1" outlineLevel="1" collapsed="1" x14ac:dyDescent="0.25">
      <c r="A48" s="25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41.75</v>
      </c>
      <c r="E48" s="1"/>
      <c r="F48" s="5">
        <f t="shared" si="28"/>
        <v>2.3786869647954328E-2</v>
      </c>
      <c r="G48" s="1"/>
      <c r="H48" s="1">
        <f>SUM(OSRRefH22_3x_0)</f>
        <v>38</v>
      </c>
      <c r="I48" s="1"/>
      <c r="J48" s="5">
        <f t="shared" si="29"/>
        <v>2.1075984470327231E-2</v>
      </c>
      <c r="K48" s="1"/>
      <c r="L48" s="1">
        <f t="shared" si="30"/>
        <v>3.75</v>
      </c>
      <c r="M48" s="1"/>
      <c r="N48" s="5">
        <f t="shared" si="31"/>
        <v>9.8684210526315791E-2</v>
      </c>
      <c r="O48" s="13"/>
      <c r="P48" s="1">
        <f>SUM(OSRRefP22_3x_0)</f>
        <v>73.3</v>
      </c>
      <c r="Q48" s="1"/>
      <c r="R48" s="5">
        <f t="shared" si="32"/>
        <v>2.2444180435288497E-2</v>
      </c>
      <c r="S48" s="1"/>
      <c r="T48" s="1">
        <f>SUM(OSRRefT22_3x_0)</f>
        <v>73</v>
      </c>
      <c r="U48" s="1"/>
      <c r="V48" s="5">
        <f t="shared" si="33"/>
        <v>2.1245634458672877E-2</v>
      </c>
      <c r="W48" s="1"/>
      <c r="X48" s="1">
        <f t="shared" si="34"/>
        <v>0.29999999999999716</v>
      </c>
      <c r="Y48" s="1"/>
      <c r="Z48" s="5">
        <f t="shared" si="35"/>
        <v>4.1095890410958518E-3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6">
        <v>41.75</v>
      </c>
      <c r="E49" s="2"/>
      <c r="F49" s="7">
        <f t="shared" si="28"/>
        <v>2.3786869647954328E-2</v>
      </c>
      <c r="G49" s="2"/>
      <c r="H49" s="6">
        <v>38</v>
      </c>
      <c r="I49" s="2"/>
      <c r="J49" s="7">
        <f t="shared" si="29"/>
        <v>2.1075984470327231E-2</v>
      </c>
      <c r="K49" s="2"/>
      <c r="L49" s="6">
        <f t="shared" si="30"/>
        <v>3.75</v>
      </c>
      <c r="M49" s="2"/>
      <c r="N49" s="7">
        <f t="shared" si="31"/>
        <v>9.8684210526315791E-2</v>
      </c>
      <c r="O49" s="11"/>
      <c r="P49" s="6">
        <v>73.3</v>
      </c>
      <c r="Q49" s="2"/>
      <c r="R49" s="7">
        <f t="shared" si="32"/>
        <v>2.2444180435288497E-2</v>
      </c>
      <c r="S49" s="2"/>
      <c r="T49" s="6">
        <v>73</v>
      </c>
      <c r="U49" s="2"/>
      <c r="V49" s="7">
        <f t="shared" si="33"/>
        <v>2.1245634458672877E-2</v>
      </c>
      <c r="W49" s="2"/>
      <c r="X49" s="6">
        <f t="shared" si="34"/>
        <v>0.29999999999999716</v>
      </c>
      <c r="Y49" s="2"/>
      <c r="Z49" s="7">
        <f t="shared" si="35"/>
        <v>4.1095890410958518E-3</v>
      </c>
    </row>
    <row r="50" spans="1:26" s="26" customFormat="1" outlineLevel="1" collapsed="1" x14ac:dyDescent="0.25">
      <c r="A50" s="25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SUM(OSRRefD22_4x_0)</f>
        <v>33</v>
      </c>
      <c r="E50" s="1"/>
      <c r="F50" s="5">
        <f t="shared" si="28"/>
        <v>1.8801597566047733E-2</v>
      </c>
      <c r="G50" s="1"/>
      <c r="H50" s="1">
        <f>SUM(OSRRefH22_4x_0)</f>
        <v>330</v>
      </c>
      <c r="I50" s="1"/>
      <c r="J50" s="5">
        <f t="shared" si="29"/>
        <v>0.18302828618968386</v>
      </c>
      <c r="K50" s="1"/>
      <c r="L50" s="1">
        <f t="shared" si="30"/>
        <v>-297</v>
      </c>
      <c r="M50" s="1"/>
      <c r="N50" s="5">
        <f t="shared" si="31"/>
        <v>-0.9</v>
      </c>
      <c r="O50" s="13"/>
      <c r="P50" s="1">
        <f>SUM(OSRRefP22_4x_0)</f>
        <v>1146.55</v>
      </c>
      <c r="Q50" s="1"/>
      <c r="R50" s="5">
        <f t="shared" si="32"/>
        <v>0.35106923708158289</v>
      </c>
      <c r="S50" s="1"/>
      <c r="T50" s="1">
        <f>SUM(OSRRefT22_4x_0)</f>
        <v>629</v>
      </c>
      <c r="U50" s="1"/>
      <c r="V50" s="5">
        <f t="shared" si="33"/>
        <v>0.18306169965075669</v>
      </c>
      <c r="W50" s="1"/>
      <c r="X50" s="1">
        <f t="shared" si="34"/>
        <v>517.54999999999995</v>
      </c>
      <c r="Y50" s="1"/>
      <c r="Z50" s="5">
        <f t="shared" si="35"/>
        <v>0.82281399046104919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>
        <v>33</v>
      </c>
      <c r="E51" s="2"/>
      <c r="F51" s="7">
        <f t="shared" si="28"/>
        <v>1.8801597566047733E-2</v>
      </c>
      <c r="G51" s="2"/>
      <c r="H51" s="6">
        <v>330</v>
      </c>
      <c r="I51" s="2"/>
      <c r="J51" s="7">
        <f t="shared" si="29"/>
        <v>0.18302828618968386</v>
      </c>
      <c r="K51" s="2"/>
      <c r="L51" s="6">
        <f t="shared" si="30"/>
        <v>-297</v>
      </c>
      <c r="M51" s="2"/>
      <c r="N51" s="7">
        <f t="shared" si="31"/>
        <v>-0.9</v>
      </c>
      <c r="O51" s="11"/>
      <c r="P51" s="6">
        <v>1146.55</v>
      </c>
      <c r="Q51" s="2"/>
      <c r="R51" s="7">
        <f t="shared" si="32"/>
        <v>0.35106923708158289</v>
      </c>
      <c r="S51" s="2"/>
      <c r="T51" s="6">
        <v>629</v>
      </c>
      <c r="U51" s="2"/>
      <c r="V51" s="7">
        <f t="shared" si="33"/>
        <v>0.18306169965075669</v>
      </c>
      <c r="W51" s="2"/>
      <c r="X51" s="6">
        <f t="shared" si="34"/>
        <v>517.54999999999995</v>
      </c>
      <c r="Y51" s="2"/>
      <c r="Z51" s="7">
        <f t="shared" si="35"/>
        <v>0.82281399046104919</v>
      </c>
    </row>
    <row r="52" spans="1:26" s="26" customFormat="1" outlineLevel="1" collapsed="1" x14ac:dyDescent="0.25">
      <c r="A52" s="25"/>
      <c r="B52" s="13" t="str">
        <f>CONCATENATE("     ","R/H Commissions                                   ")</f>
        <v xml:space="preserve">     R/H Commissions                                   </v>
      </c>
      <c r="C52" s="13"/>
      <c r="D52" s="1">
        <f>SUM(OSRRefD22_5x_0)</f>
        <v>140.41</v>
      </c>
      <c r="E52" s="1"/>
      <c r="F52" s="5">
        <f t="shared" si="28"/>
        <v>7.9997948916629147E-2</v>
      </c>
      <c r="G52" s="1"/>
      <c r="H52" s="1">
        <f>SUM(OSRRefH22_5x_0)</f>
        <v>114</v>
      </c>
      <c r="I52" s="1"/>
      <c r="J52" s="5">
        <f t="shared" si="29"/>
        <v>6.3227953410981697E-2</v>
      </c>
      <c r="K52" s="1"/>
      <c r="L52" s="1">
        <f t="shared" si="30"/>
        <v>26.409999999999997</v>
      </c>
      <c r="M52" s="1"/>
      <c r="N52" s="5">
        <f t="shared" si="31"/>
        <v>0.23166666666666663</v>
      </c>
      <c r="O52" s="13"/>
      <c r="P52" s="1">
        <f>SUM(OSRRefP22_5x_0)</f>
        <v>261.27</v>
      </c>
      <c r="Q52" s="1"/>
      <c r="R52" s="5">
        <f t="shared" si="32"/>
        <v>7.9999877521525584E-2</v>
      </c>
      <c r="S52" s="1"/>
      <c r="T52" s="1">
        <f>SUM(OSRRefT22_5x_0)</f>
        <v>217</v>
      </c>
      <c r="U52" s="1"/>
      <c r="V52" s="5">
        <f t="shared" si="33"/>
        <v>6.3154831199068687E-2</v>
      </c>
      <c r="W52" s="1"/>
      <c r="X52" s="1">
        <f t="shared" si="34"/>
        <v>44.269999999999982</v>
      </c>
      <c r="Y52" s="1"/>
      <c r="Z52" s="5">
        <f t="shared" si="35"/>
        <v>0.20400921658986168</v>
      </c>
    </row>
    <row r="53" spans="1:26" s="24" customFormat="1" hidden="1" outlineLevel="2" x14ac:dyDescent="0.25">
      <c r="A53" s="27"/>
      <c r="B53" s="11" t="str">
        <f>CONCATENATE("          ", "6387", " - ", "COMMISSION DUE HOUSING")</f>
        <v xml:space="preserve">          6387 - COMMISSION DUE HOUSING</v>
      </c>
      <c r="C53" s="11"/>
      <c r="D53" s="6">
        <v>140.41</v>
      </c>
      <c r="E53" s="2"/>
      <c r="F53" s="7">
        <f t="shared" si="28"/>
        <v>7.9997948916629147E-2</v>
      </c>
      <c r="G53" s="2"/>
      <c r="H53" s="6">
        <v>114</v>
      </c>
      <c r="I53" s="2"/>
      <c r="J53" s="7">
        <f t="shared" si="29"/>
        <v>6.3227953410981697E-2</v>
      </c>
      <c r="K53" s="2"/>
      <c r="L53" s="6">
        <f t="shared" si="30"/>
        <v>26.409999999999997</v>
      </c>
      <c r="M53" s="2"/>
      <c r="N53" s="7">
        <f t="shared" si="31"/>
        <v>0.23166666666666663</v>
      </c>
      <c r="O53" s="11"/>
      <c r="P53" s="6">
        <v>261.27</v>
      </c>
      <c r="Q53" s="2"/>
      <c r="R53" s="7">
        <f t="shared" si="32"/>
        <v>7.9999877521525584E-2</v>
      </c>
      <c r="S53" s="2"/>
      <c r="T53" s="6">
        <v>217</v>
      </c>
      <c r="U53" s="2"/>
      <c r="V53" s="7">
        <f t="shared" si="33"/>
        <v>6.3154831199068687E-2</v>
      </c>
      <c r="W53" s="2"/>
      <c r="X53" s="6">
        <f t="shared" si="34"/>
        <v>44.269999999999982</v>
      </c>
      <c r="Y53" s="2"/>
      <c r="Z53" s="7">
        <f t="shared" si="35"/>
        <v>0.20400921658986168</v>
      </c>
    </row>
    <row r="54" spans="1:26" s="26" customFormat="1" outlineLevel="1" collapsed="1" x14ac:dyDescent="0.25">
      <c r="A54" s="25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SUM(OSRRefD22_6x_0)</f>
        <v>157.51</v>
      </c>
      <c r="E54" s="1"/>
      <c r="F54" s="5">
        <f t="shared" si="28"/>
        <v>8.974059492812661E-2</v>
      </c>
      <c r="G54" s="1"/>
      <c r="H54" s="1">
        <f>SUM(OSRRefH22_6x_0)</f>
        <v>36</v>
      </c>
      <c r="I54" s="1"/>
      <c r="J54" s="5">
        <f t="shared" si="29"/>
        <v>1.9966722129783693E-2</v>
      </c>
      <c r="K54" s="1"/>
      <c r="L54" s="1">
        <f t="shared" si="30"/>
        <v>121.50999999999999</v>
      </c>
      <c r="M54" s="1"/>
      <c r="N54" s="5">
        <f t="shared" si="31"/>
        <v>3.3752777777777774</v>
      </c>
      <c r="O54" s="13"/>
      <c r="P54" s="1">
        <f>SUM(OSRRefP22_6x_0)</f>
        <v>1523.59</v>
      </c>
      <c r="Q54" s="1"/>
      <c r="R54" s="5">
        <f t="shared" si="32"/>
        <v>0.46651744705867937</v>
      </c>
      <c r="S54" s="1"/>
      <c r="T54" s="1">
        <f>SUM(OSRRefT22_6x_0)</f>
        <v>69</v>
      </c>
      <c r="U54" s="1"/>
      <c r="V54" s="5">
        <f t="shared" si="33"/>
        <v>2.0081490104772993E-2</v>
      </c>
      <c r="W54" s="1"/>
      <c r="X54" s="1">
        <f t="shared" si="34"/>
        <v>1454.59</v>
      </c>
      <c r="Y54" s="1"/>
      <c r="Z54" s="5">
        <f t="shared" si="35"/>
        <v>21.081014492753621</v>
      </c>
    </row>
    <row r="55" spans="1:26" s="24" customFormat="1" hidden="1" outlineLevel="2" x14ac:dyDescent="0.25">
      <c r="A55" s="27"/>
      <c r="B55" s="11" t="str">
        <f>CONCATENATE("          ", "6237", " - ", "JANITORIAL SUPPLIES")</f>
        <v xml:space="preserve">          6237 - JANITORIAL SUPPLIES</v>
      </c>
      <c r="C55" s="11"/>
      <c r="D55" s="6">
        <v>47.13</v>
      </c>
      <c r="E55" s="2"/>
      <c r="F55" s="7">
        <f t="shared" si="28"/>
        <v>2.6852099796600901E-2</v>
      </c>
      <c r="G55" s="2"/>
      <c r="H55" s="6"/>
      <c r="I55" s="2"/>
      <c r="J55" s="7">
        <f t="shared" si="29"/>
        <v>0</v>
      </c>
      <c r="K55" s="2"/>
      <c r="L55" s="6">
        <f t="shared" si="30"/>
        <v>47.13</v>
      </c>
      <c r="M55" s="2"/>
      <c r="N55" s="7">
        <f t="shared" si="31"/>
        <v>0</v>
      </c>
      <c r="O55" s="11"/>
      <c r="P55" s="6">
        <v>47.13</v>
      </c>
      <c r="Q55" s="2"/>
      <c r="R55" s="7">
        <f t="shared" si="32"/>
        <v>1.4431026247137066E-2</v>
      </c>
      <c r="S55" s="2"/>
      <c r="T55" s="6"/>
      <c r="U55" s="2"/>
      <c r="V55" s="7">
        <f t="shared" si="33"/>
        <v>0</v>
      </c>
      <c r="W55" s="2"/>
      <c r="X55" s="6">
        <f t="shared" si="34"/>
        <v>47.13</v>
      </c>
      <c r="Y55" s="2"/>
      <c r="Z55" s="7">
        <f t="shared" si="35"/>
        <v>0</v>
      </c>
    </row>
    <row r="56" spans="1:26" s="24" customFormat="1" hidden="1" outlineLevel="2" x14ac:dyDescent="0.25">
      <c r="A56" s="27"/>
      <c r="B56" s="11" t="str">
        <f>CONCATENATE("          ", "6247", " - ", "STORE SUPPLIES")</f>
        <v xml:space="preserve">          6247 - STORE SUPPLIES</v>
      </c>
      <c r="C56" s="11"/>
      <c r="D56" s="6">
        <v>110.38</v>
      </c>
      <c r="E56" s="2"/>
      <c r="F56" s="7">
        <f t="shared" si="28"/>
        <v>6.288849513152571E-2</v>
      </c>
      <c r="G56" s="2"/>
      <c r="H56" s="6">
        <v>36</v>
      </c>
      <c r="I56" s="2"/>
      <c r="J56" s="7">
        <f t="shared" si="29"/>
        <v>1.9966722129783693E-2</v>
      </c>
      <c r="K56" s="2"/>
      <c r="L56" s="6">
        <f t="shared" si="30"/>
        <v>74.38</v>
      </c>
      <c r="M56" s="2"/>
      <c r="N56" s="7">
        <f t="shared" si="31"/>
        <v>2.0661111111111108</v>
      </c>
      <c r="O56" s="11"/>
      <c r="P56" s="6">
        <v>362.86</v>
      </c>
      <c r="Q56" s="2"/>
      <c r="R56" s="7">
        <f t="shared" si="32"/>
        <v>0.11110634805932858</v>
      </c>
      <c r="S56" s="2"/>
      <c r="T56" s="6">
        <v>69</v>
      </c>
      <c r="U56" s="2"/>
      <c r="V56" s="7">
        <f t="shared" si="33"/>
        <v>2.0081490104772993E-2</v>
      </c>
      <c r="W56" s="2"/>
      <c r="X56" s="6">
        <f t="shared" si="34"/>
        <v>293.86</v>
      </c>
      <c r="Y56" s="2"/>
      <c r="Z56" s="7">
        <f t="shared" si="35"/>
        <v>4.258840579710145</v>
      </c>
    </row>
    <row r="57" spans="1:26" s="24" customFormat="1" hidden="1" outlineLevel="2" x14ac:dyDescent="0.25">
      <c r="A57" s="27"/>
      <c r="B57" s="11" t="str">
        <f>CONCATENATE("          ", "6248", " - ", "UNIFORMS")</f>
        <v xml:space="preserve">          6248 - UNIFORMS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1113.5999999999999</v>
      </c>
      <c r="Q57" s="2"/>
      <c r="R57" s="7">
        <f t="shared" si="32"/>
        <v>0.34098007275221376</v>
      </c>
      <c r="S57" s="2"/>
      <c r="T57" s="6"/>
      <c r="U57" s="2"/>
      <c r="V57" s="7">
        <f t="shared" si="33"/>
        <v>0</v>
      </c>
      <c r="W57" s="2"/>
      <c r="X57" s="6">
        <f t="shared" si="34"/>
        <v>1113.5999999999999</v>
      </c>
      <c r="Y57" s="2"/>
      <c r="Z57" s="7">
        <f t="shared" si="35"/>
        <v>0</v>
      </c>
    </row>
    <row r="58" spans="1:26" s="26" customFormat="1" outlineLevel="1" collapsed="1" x14ac:dyDescent="0.25">
      <c r="A58" s="25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SUM(OSRRefD22_7x_0)</f>
        <v>75.5</v>
      </c>
      <c r="E58" s="1"/>
      <c r="F58" s="5">
        <f t="shared" ref="F58:F59" si="36">IF(D$12=0,0,D58/D$12)</f>
        <v>4.3015776249594052E-2</v>
      </c>
      <c r="G58" s="1"/>
      <c r="H58" s="1">
        <f>SUM(OSRRefH22_7x_0)</f>
        <v>0</v>
      </c>
      <c r="I58" s="1"/>
      <c r="J58" s="5">
        <f t="shared" ref="J58:J59" si="37">IF(H$12=0,0,H58/H$12)</f>
        <v>0</v>
      </c>
      <c r="K58" s="1"/>
      <c r="L58" s="1">
        <f t="shared" ref="L58:L59" si="38">+D58-H58</f>
        <v>75.5</v>
      </c>
      <c r="M58" s="1"/>
      <c r="N58" s="5">
        <f t="shared" ref="N58:N59" si="39">IF(H58=0,0,L58/H58)</f>
        <v>0</v>
      </c>
      <c r="O58" s="13"/>
      <c r="P58" s="1">
        <f>SUM(OSRRefP22_7x_0)</f>
        <v>262</v>
      </c>
      <c r="Q58" s="1"/>
      <c r="R58" s="5">
        <f t="shared" ref="R58:R59" si="40">IF(P$12=0,0,P58/P$12)</f>
        <v>8.0223400737320413E-2</v>
      </c>
      <c r="S58" s="1"/>
      <c r="T58" s="1">
        <f>SUM(OSRRefT22_7x_0)</f>
        <v>0</v>
      </c>
      <c r="U58" s="1"/>
      <c r="V58" s="5">
        <f t="shared" ref="V58:V59" si="41">IF(T$12=0,0,T58/T$12)</f>
        <v>0</v>
      </c>
      <c r="W58" s="1"/>
      <c r="X58" s="1">
        <f t="shared" ref="X58:X59" si="42">+P58-T58</f>
        <v>262</v>
      </c>
      <c r="Y58" s="1"/>
      <c r="Z58" s="5">
        <f t="shared" ref="Z58:Z59" si="43">IF(T58=0,0,X58/T58)</f>
        <v>0</v>
      </c>
    </row>
    <row r="59" spans="1:26" s="24" customFormat="1" hidden="1" outlineLevel="2" x14ac:dyDescent="0.25">
      <c r="A59" s="27"/>
      <c r="B59" s="11" t="str">
        <f>CONCATENATE("          ", "6309", " - ", "TELEPHONE")</f>
        <v xml:space="preserve">          6309 - TELEPHONE</v>
      </c>
      <c r="C59" s="11"/>
      <c r="D59" s="6">
        <v>75.5</v>
      </c>
      <c r="E59" s="2"/>
      <c r="F59" s="7">
        <f t="shared" si="36"/>
        <v>4.3015776249594052E-2</v>
      </c>
      <c r="G59" s="2"/>
      <c r="H59" s="6"/>
      <c r="I59" s="2"/>
      <c r="J59" s="7">
        <f t="shared" si="37"/>
        <v>0</v>
      </c>
      <c r="K59" s="2"/>
      <c r="L59" s="6">
        <f t="shared" si="38"/>
        <v>75.5</v>
      </c>
      <c r="M59" s="2"/>
      <c r="N59" s="7">
        <f t="shared" si="39"/>
        <v>0</v>
      </c>
      <c r="O59" s="11"/>
      <c r="P59" s="6">
        <v>262</v>
      </c>
      <c r="Q59" s="2"/>
      <c r="R59" s="7">
        <f t="shared" si="40"/>
        <v>8.0223400737320413E-2</v>
      </c>
      <c r="S59" s="2"/>
      <c r="T59" s="6"/>
      <c r="U59" s="2"/>
      <c r="V59" s="7">
        <f t="shared" si="41"/>
        <v>0</v>
      </c>
      <c r="W59" s="2"/>
      <c r="X59" s="6">
        <f t="shared" si="42"/>
        <v>262</v>
      </c>
      <c r="Y59" s="2"/>
      <c r="Z59" s="7">
        <f t="shared" si="43"/>
        <v>0</v>
      </c>
    </row>
    <row r="60" spans="1:26" s="61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2">
        <f>+D23-D25+D61</f>
        <v>-2596.3999999999996</v>
      </c>
      <c r="E63" s="14"/>
      <c r="F63" s="20">
        <f>IF(D$12=0,0,D63/D$12)</f>
        <v>-1.4792869066814038</v>
      </c>
      <c r="G63" s="14"/>
      <c r="H63" s="22">
        <f>+H23-H25+H61</f>
        <v>-2593.09</v>
      </c>
      <c r="I63" s="14"/>
      <c r="J63" s="20">
        <f>IF(H$12=0,0,H63/H$12)</f>
        <v>-1.4382085413200223</v>
      </c>
      <c r="K63" s="16"/>
      <c r="L63" s="22">
        <f>+D63-H63</f>
        <v>-3.3099999999994907</v>
      </c>
      <c r="M63" s="16"/>
      <c r="N63" s="20">
        <f>IF(H63=0,0,L63/H63)</f>
        <v>1.2764693859447572E-3</v>
      </c>
      <c r="O63" s="29"/>
      <c r="P63" s="22">
        <f>+P23-P25+P61</f>
        <v>-8034.8900000000012</v>
      </c>
      <c r="Q63" s="14"/>
      <c r="R63" s="20">
        <f>IF(P$12=0,0,P63/P$12)</f>
        <v>-2.4602526730927043</v>
      </c>
      <c r="S63" s="14"/>
      <c r="T63" s="22">
        <f>+T23-T25+T61</f>
        <v>-6160.1984000000002</v>
      </c>
      <c r="U63" s="14"/>
      <c r="V63" s="20">
        <f>IF(T$12=0,0,T63/T$12)</f>
        <v>-1.7928400465657741</v>
      </c>
      <c r="W63" s="16"/>
      <c r="X63" s="22">
        <f>+P63-T63</f>
        <v>-1874.691600000001</v>
      </c>
      <c r="Y63" s="16"/>
      <c r="Z63" s="20">
        <f>IF(T63=0,0,X63/T63)</f>
        <v>0.30432325036804025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>
        <v>166.48</v>
      </c>
      <c r="E65" s="4"/>
      <c r="F65" s="12">
        <f>IF(D$12=0,0,D65/D$12)</f>
        <v>9.4851210993806861E-2</v>
      </c>
      <c r="G65" s="4"/>
      <c r="H65" s="4">
        <v>207</v>
      </c>
      <c r="I65" s="4"/>
      <c r="J65" s="12">
        <f>IF(H$12=0,0,H65/H$12)</f>
        <v>0.11480865224625623</v>
      </c>
      <c r="K65" s="4"/>
      <c r="L65" s="4">
        <f>+D65-H65</f>
        <v>-40.52000000000001</v>
      </c>
      <c r="M65" s="4"/>
      <c r="N65" s="12">
        <f>IF(H65=0,0,L65/H65)</f>
        <v>-0.19574879227053146</v>
      </c>
      <c r="O65" s="10"/>
      <c r="P65" s="4">
        <v>328.75</v>
      </c>
      <c r="Q65" s="4"/>
      <c r="R65" s="12">
        <f>IF(P$12=0,0,P65/P$12)</f>
        <v>0.1006619961541759</v>
      </c>
      <c r="S65" s="4"/>
      <c r="T65" s="4">
        <v>414</v>
      </c>
      <c r="U65" s="4"/>
      <c r="V65" s="12">
        <f>IF(T$12=0,0,T65/T$12)</f>
        <v>0.12048894062863795</v>
      </c>
      <c r="W65" s="4"/>
      <c r="X65" s="4">
        <f>+P65-T65</f>
        <v>-85.25</v>
      </c>
      <c r="Y65" s="4"/>
      <c r="Z65" s="12">
        <f>IF(T65=0,0,X65/T65)</f>
        <v>-0.20591787439613526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1">
        <f>+D63-D65</f>
        <v>-2762.8799999999997</v>
      </c>
      <c r="E67" s="14"/>
      <c r="F67" s="33">
        <f>IF(D$12=0,0,D67/D$12)</f>
        <v>-1.5741381176752107</v>
      </c>
      <c r="G67" s="14"/>
      <c r="H67" s="31">
        <f>+H63-H65</f>
        <v>-2800.09</v>
      </c>
      <c r="I67" s="14"/>
      <c r="J67" s="33">
        <f>IF(H$12=0,0,H67/H$12)</f>
        <v>-1.5530171935662784</v>
      </c>
      <c r="K67" s="16"/>
      <c r="L67" s="31">
        <f>D67-H67</f>
        <v>37.210000000000491</v>
      </c>
      <c r="M67" s="16"/>
      <c r="N67" s="33">
        <f>IF(H67=0,0,L67/H67)</f>
        <v>-1.3288858572403205E-2</v>
      </c>
      <c r="O67" s="29"/>
      <c r="P67" s="31">
        <f>+P63-P65</f>
        <v>-8363.6400000000012</v>
      </c>
      <c r="Q67" s="14"/>
      <c r="R67" s="33">
        <f>IF(P$12=0,0,P67/P$12)</f>
        <v>-2.56091466924688</v>
      </c>
      <c r="S67" s="14"/>
      <c r="T67" s="31">
        <f>+T63-T65</f>
        <v>-6574.1984000000002</v>
      </c>
      <c r="U67" s="14"/>
      <c r="V67" s="33">
        <f>IF(T$12=0,0,T67/T$12)</f>
        <v>-1.9133289871944121</v>
      </c>
      <c r="W67" s="16"/>
      <c r="X67" s="31">
        <f>P67-T67</f>
        <v>-1789.441600000001</v>
      </c>
      <c r="Y67" s="16"/>
      <c r="Z67" s="33">
        <f>IF(T67=0,0,X67/T67)</f>
        <v>0.27219160285762001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2">
        <f>SUM(D67:D69)</f>
        <v>-2762.8799999999997</v>
      </c>
      <c r="E70" s="14"/>
      <c r="F70" s="34">
        <f>IF(D$12=0,0,D70/D$12)</f>
        <v>-1.5741381176752107</v>
      </c>
      <c r="G70" s="14"/>
      <c r="H70" s="32">
        <f>SUM(H67:H69)</f>
        <v>-2800.09</v>
      </c>
      <c r="I70" s="14"/>
      <c r="J70" s="34">
        <f>IF(H$12=0,0,H70/H$12)</f>
        <v>-1.5530171935662784</v>
      </c>
      <c r="K70" s="16"/>
      <c r="L70" s="32">
        <f>+D70-H70</f>
        <v>37.210000000000491</v>
      </c>
      <c r="M70" s="16"/>
      <c r="N70" s="34">
        <f>IF(H70=0,0,L70/H70)</f>
        <v>-1.3288858572403205E-2</v>
      </c>
      <c r="O70" s="29"/>
      <c r="P70" s="32">
        <f>SUM(P67:P69)</f>
        <v>-8363.6400000000012</v>
      </c>
      <c r="Q70" s="14"/>
      <c r="R70" s="34">
        <f>IF(P$12=0,0,P70/P$12)</f>
        <v>-2.56091466924688</v>
      </c>
      <c r="S70" s="14"/>
      <c r="T70" s="32">
        <f>SUM(T67:T69)</f>
        <v>-6574.1984000000002</v>
      </c>
      <c r="U70" s="14"/>
      <c r="V70" s="34">
        <f>IF(T$12=0,0,T70/T$12)</f>
        <v>-1.9133289871944121</v>
      </c>
      <c r="W70" s="16"/>
      <c r="X70" s="32">
        <f>+P70-T70</f>
        <v>-1789.441600000001</v>
      </c>
      <c r="Y70" s="16"/>
      <c r="Z70" s="34">
        <f>IF(T70=0,0,X70/T70)</f>
        <v>0.27219160285762001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0">
        <v>43791.348698032409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4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5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618690.34</v>
      </c>
      <c r="E12" s="4"/>
      <c r="F12" s="12"/>
      <c r="G12" s="4"/>
      <c r="H12" s="4">
        <f>SUM(OSRRefH13x_0)</f>
        <v>628455</v>
      </c>
      <c r="I12" s="4"/>
      <c r="J12" s="12"/>
      <c r="K12" s="4"/>
      <c r="L12" s="4">
        <f t="shared" ref="L12:L16" si="0">+D12-H12</f>
        <v>-9764.6600000000326</v>
      </c>
      <c r="M12" s="4"/>
      <c r="N12" s="12">
        <f t="shared" ref="N12:N16" si="1">IF(H12=0,0,L12/H12)</f>
        <v>-1.5537564344304736E-2</v>
      </c>
      <c r="O12" s="10"/>
      <c r="P12" s="4">
        <f>SUM(OSRRefP13x_0)</f>
        <v>1561153.27</v>
      </c>
      <c r="Q12" s="4"/>
      <c r="R12" s="12"/>
      <c r="S12" s="4"/>
      <c r="T12" s="4">
        <f>SUM(OSRRefT13x_0)</f>
        <v>1599355</v>
      </c>
      <c r="U12" s="4"/>
      <c r="V12" s="12"/>
      <c r="W12" s="4"/>
      <c r="X12" s="4">
        <f t="shared" ref="X12:X16" si="2">+P12-T12</f>
        <v>-38201.729999999981</v>
      </c>
      <c r="Y12" s="4"/>
      <c r="Z12" s="12">
        <f t="shared" ref="Z12:Z16" si="3">IF(T12=0,0,X12/T12)</f>
        <v>-2.3885710176915056E-2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--492.26</f>
        <v>492.26</v>
      </c>
      <c r="E13" s="2"/>
      <c r="F13" s="19"/>
      <c r="G13" s="2"/>
      <c r="H13" s="2"/>
      <c r="I13" s="2"/>
      <c r="J13" s="19"/>
      <c r="K13" s="2"/>
      <c r="L13" s="2">
        <f t="shared" si="0"/>
        <v>492.26</v>
      </c>
      <c r="M13" s="2"/>
      <c r="N13" s="19">
        <f t="shared" si="1"/>
        <v>0</v>
      </c>
      <c r="O13" s="11"/>
      <c r="P13" s="2">
        <f>--1770.29</f>
        <v>1770.29</v>
      </c>
      <c r="Q13" s="2"/>
      <c r="R13" s="19"/>
      <c r="S13" s="2"/>
      <c r="T13" s="2"/>
      <c r="U13" s="2"/>
      <c r="V13" s="19"/>
      <c r="W13" s="2"/>
      <c r="X13" s="2">
        <f t="shared" si="2"/>
        <v>1770.29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628455</v>
      </c>
      <c r="I14" s="2"/>
      <c r="J14" s="19"/>
      <c r="K14" s="2"/>
      <c r="L14" s="2">
        <f t="shared" si="0"/>
        <v>-628455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1599355</v>
      </c>
      <c r="U14" s="2"/>
      <c r="V14" s="19"/>
      <c r="W14" s="2"/>
      <c r="X14" s="2">
        <f t="shared" si="2"/>
        <v>-1599355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--612257.84</f>
        <v>612257.84</v>
      </c>
      <c r="E15" s="2"/>
      <c r="F15" s="19"/>
      <c r="G15" s="2"/>
      <c r="H15" s="2"/>
      <c r="I15" s="2"/>
      <c r="J15" s="19"/>
      <c r="K15" s="2"/>
      <c r="L15" s="2">
        <f t="shared" si="0"/>
        <v>612257.84</v>
      </c>
      <c r="M15" s="2"/>
      <c r="N15" s="19">
        <f t="shared" si="1"/>
        <v>0</v>
      </c>
      <c r="O15" s="11"/>
      <c r="P15" s="2">
        <f>--1529583.27</f>
        <v>1529583.27</v>
      </c>
      <c r="Q15" s="2"/>
      <c r="R15" s="19"/>
      <c r="S15" s="2"/>
      <c r="T15" s="2"/>
      <c r="U15" s="2"/>
      <c r="V15" s="19"/>
      <c r="W15" s="2"/>
      <c r="X15" s="2">
        <f t="shared" si="2"/>
        <v>1529583.27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--5940.24</f>
        <v>5940.24</v>
      </c>
      <c r="E16" s="2"/>
      <c r="F16" s="19"/>
      <c r="G16" s="2"/>
      <c r="H16" s="2"/>
      <c r="I16" s="2"/>
      <c r="J16" s="19"/>
      <c r="K16" s="2"/>
      <c r="L16" s="2">
        <f t="shared" si="0"/>
        <v>5940.24</v>
      </c>
      <c r="M16" s="2"/>
      <c r="N16" s="19">
        <f t="shared" si="1"/>
        <v>0</v>
      </c>
      <c r="O16" s="11"/>
      <c r="P16" s="2">
        <f>--29799.71</f>
        <v>29799.71</v>
      </c>
      <c r="Q16" s="2"/>
      <c r="R16" s="19"/>
      <c r="S16" s="2"/>
      <c r="T16" s="2"/>
      <c r="U16" s="2"/>
      <c r="V16" s="19"/>
      <c r="W16" s="2"/>
      <c r="X16" s="2">
        <f t="shared" si="2"/>
        <v>29799.71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156279.79</v>
      </c>
      <c r="E18" s="4"/>
      <c r="F18" s="12">
        <f t="shared" ref="F18:F21" si="4">IF(D$12=0,0,D18/D$12)</f>
        <v>0.25259775350622093</v>
      </c>
      <c r="G18" s="4"/>
      <c r="H18" s="4">
        <f>SUM(OSRRefH16x_0)</f>
        <v>163398</v>
      </c>
      <c r="I18" s="4"/>
      <c r="J18" s="12">
        <f t="shared" ref="J18:J21" si="5">IF(H$12=0,0,H18/H$12)</f>
        <v>0.2599995226388524</v>
      </c>
      <c r="K18" s="4"/>
      <c r="L18" s="4">
        <f t="shared" ref="L18:L21" si="6">+D18-H18</f>
        <v>-7118.2099999999919</v>
      </c>
      <c r="M18" s="4"/>
      <c r="N18" s="12">
        <f t="shared" ref="N18:N21" si="7">IF(H18=0,0,L18/H18)</f>
        <v>-4.356362990979077E-2</v>
      </c>
      <c r="O18" s="10"/>
      <c r="P18" s="4">
        <f>SUM(OSRRefP16x_0)</f>
        <v>408825.21</v>
      </c>
      <c r="Q18" s="4"/>
      <c r="R18" s="12">
        <f t="shared" ref="R18:R21" si="8">IF(P$12=0,0,P18/P$12)</f>
        <v>0.26187384535280128</v>
      </c>
      <c r="S18" s="4"/>
      <c r="T18" s="4">
        <f>SUM(OSRRefT16x_0)</f>
        <v>451810</v>
      </c>
      <c r="U18" s="4"/>
      <c r="V18" s="12">
        <f t="shared" ref="V18:V21" si="9">IF(T$12=0,0,T18/T$12)</f>
        <v>0.28249513084962374</v>
      </c>
      <c r="W18" s="4"/>
      <c r="X18" s="4">
        <f t="shared" ref="X18:X21" si="10">+P18-T18</f>
        <v>-42984.789999999979</v>
      </c>
      <c r="Y18" s="4"/>
      <c r="Z18" s="12">
        <f t="shared" ref="Z18:Z21" si="11">IF(T18=0,0,X18/T18)</f>
        <v>-9.5139085013611874E-2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163398</v>
      </c>
      <c r="I19" s="2"/>
      <c r="J19" s="19">
        <f t="shared" si="5"/>
        <v>0.2599995226388524</v>
      </c>
      <c r="K19" s="2"/>
      <c r="L19" s="2">
        <f t="shared" si="6"/>
        <v>-163398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451810</v>
      </c>
      <c r="U19" s="2"/>
      <c r="V19" s="19">
        <f t="shared" si="9"/>
        <v>0.28249513084962374</v>
      </c>
      <c r="W19" s="2"/>
      <c r="X19" s="2">
        <f t="shared" si="10"/>
        <v>-451810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160725.79</v>
      </c>
      <c r="E20" s="2"/>
      <c r="F20" s="19">
        <f t="shared" si="4"/>
        <v>0.25978390094146292</v>
      </c>
      <c r="G20" s="2"/>
      <c r="H20" s="2"/>
      <c r="I20" s="2"/>
      <c r="J20" s="19">
        <f t="shared" si="5"/>
        <v>0</v>
      </c>
      <c r="K20" s="2"/>
      <c r="L20" s="2">
        <f t="shared" si="6"/>
        <v>160725.79</v>
      </c>
      <c r="M20" s="2"/>
      <c r="N20" s="19">
        <f t="shared" si="7"/>
        <v>0</v>
      </c>
      <c r="O20" s="11"/>
      <c r="P20" s="2">
        <v>420669.96</v>
      </c>
      <c r="Q20" s="2"/>
      <c r="R20" s="19">
        <f t="shared" si="8"/>
        <v>0.26946102479739226</v>
      </c>
      <c r="S20" s="2"/>
      <c r="T20" s="2"/>
      <c r="U20" s="2"/>
      <c r="V20" s="19">
        <f t="shared" si="9"/>
        <v>0</v>
      </c>
      <c r="W20" s="2"/>
      <c r="X20" s="2">
        <f t="shared" si="10"/>
        <v>420669.96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-4446</v>
      </c>
      <c r="E21" s="2"/>
      <c r="F21" s="19">
        <f t="shared" si="4"/>
        <v>-7.1861474352419991E-3</v>
      </c>
      <c r="G21" s="2"/>
      <c r="H21" s="2"/>
      <c r="I21" s="2"/>
      <c r="J21" s="19">
        <f t="shared" si="5"/>
        <v>0</v>
      </c>
      <c r="K21" s="2"/>
      <c r="L21" s="2">
        <f t="shared" si="6"/>
        <v>-4446</v>
      </c>
      <c r="M21" s="2"/>
      <c r="N21" s="19">
        <f t="shared" si="7"/>
        <v>0</v>
      </c>
      <c r="O21" s="11"/>
      <c r="P21" s="2">
        <v>-11844.75</v>
      </c>
      <c r="Q21" s="2"/>
      <c r="R21" s="19">
        <f t="shared" si="8"/>
        <v>-7.587179444590985E-3</v>
      </c>
      <c r="S21" s="2"/>
      <c r="T21" s="2"/>
      <c r="U21" s="2"/>
      <c r="V21" s="19">
        <f t="shared" si="9"/>
        <v>0</v>
      </c>
      <c r="W21" s="2"/>
      <c r="X21" s="2">
        <f t="shared" si="10"/>
        <v>-11844.75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462410.54999999993</v>
      </c>
      <c r="E23" s="14"/>
      <c r="F23" s="20">
        <f>IF(D$12=0,0,D23/D$12)</f>
        <v>0.74740224649377907</v>
      </c>
      <c r="G23" s="14"/>
      <c r="H23" s="22">
        <f>H12-H18</f>
        <v>465057</v>
      </c>
      <c r="I23" s="14"/>
      <c r="J23" s="20">
        <f>IF(H$12=0,0,H23/H$12)</f>
        <v>0.7400004773611476</v>
      </c>
      <c r="K23" s="16"/>
      <c r="L23" s="22">
        <f>+D23-H23</f>
        <v>-2646.4500000000698</v>
      </c>
      <c r="M23" s="16"/>
      <c r="N23" s="20">
        <f>IF(H23=0,0,L23/H23)</f>
        <v>-5.6905927660481827E-3</v>
      </c>
      <c r="O23" s="29"/>
      <c r="P23" s="22">
        <f>P12-P18</f>
        <v>1152328.06</v>
      </c>
      <c r="Q23" s="14"/>
      <c r="R23" s="20">
        <f>IF(P$12=0,0,P23/P$12)</f>
        <v>0.73812615464719877</v>
      </c>
      <c r="S23" s="14"/>
      <c r="T23" s="22">
        <f>T12-T18</f>
        <v>1147545</v>
      </c>
      <c r="U23" s="14"/>
      <c r="V23" s="20">
        <f>IF(T$12=0,0,T23/T$12)</f>
        <v>0.71750486915037626</v>
      </c>
      <c r="W23" s="16"/>
      <c r="X23" s="22">
        <f>+P23-T23</f>
        <v>4783.0600000000559</v>
      </c>
      <c r="Y23" s="16"/>
      <c r="Z23" s="20">
        <f>IF(T23=0,0,X23/T23)</f>
        <v>4.1680805545752505E-3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244306.98</v>
      </c>
      <c r="E25" s="21"/>
      <c r="F25" s="35">
        <f t="shared" ref="F25:F36" si="12">IF(D$12=0,0,D25/D$12)</f>
        <v>0.39487763781797536</v>
      </c>
      <c r="G25" s="21"/>
      <c r="H25" s="21">
        <f>SUM(OSRRefH22x_0)</f>
        <v>244874.42326398075</v>
      </c>
      <c r="I25" s="21"/>
      <c r="J25" s="35">
        <f t="shared" ref="J25:J36" si="13">IF(H$12=0,0,H25/H$12)</f>
        <v>0.38964511900451226</v>
      </c>
      <c r="K25" s="4"/>
      <c r="L25" s="21">
        <f t="shared" ref="L25:L36" si="14">+D25-H25</f>
        <v>-567.44326398073463</v>
      </c>
      <c r="M25" s="4"/>
      <c r="N25" s="35">
        <f t="shared" ref="N25:N36" si="15">IF(H25=0,0,L25/H25)</f>
        <v>-2.3172826970541413E-3</v>
      </c>
      <c r="O25" s="10"/>
      <c r="P25" s="21">
        <f>SUM(OSRRefP22x_0)</f>
        <v>744593.5399999998</v>
      </c>
      <c r="Q25" s="21"/>
      <c r="R25" s="35">
        <f t="shared" ref="R25:R36" si="16">IF(P$12=0,0,P25/P$12)</f>
        <v>0.47695095306048957</v>
      </c>
      <c r="S25" s="21"/>
      <c r="T25" s="21">
        <f>SUM(OSRRefT22x_0)</f>
        <v>776306.78766717075</v>
      </c>
      <c r="U25" s="21"/>
      <c r="V25" s="35">
        <f t="shared" ref="V25:V36" si="17">IF(T$12=0,0,T25/T$12)</f>
        <v>0.48538741409328806</v>
      </c>
      <c r="W25" s="4"/>
      <c r="X25" s="21">
        <f t="shared" ref="X25:X36" si="18">+P25-T25</f>
        <v>-31713.247667170945</v>
      </c>
      <c r="Y25" s="4"/>
      <c r="Z25" s="35">
        <f t="shared" ref="Z25:Z36" si="19">IF(T25=0,0,X25/T25)</f>
        <v>-4.0851436791465356E-2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33648.870000000003</v>
      </c>
      <c r="E26" s="1"/>
      <c r="F26" s="5">
        <f t="shared" si="12"/>
        <v>5.4387256151437573E-2</v>
      </c>
      <c r="G26" s="1"/>
      <c r="H26" s="1">
        <f>SUM(OSRRefH22_0x_0)</f>
        <v>37185.269157826951</v>
      </c>
      <c r="I26" s="1"/>
      <c r="J26" s="5">
        <f t="shared" si="13"/>
        <v>5.916934252703368E-2</v>
      </c>
      <c r="K26" s="1"/>
      <c r="L26" s="1">
        <f t="shared" si="14"/>
        <v>-3536.3991578269488</v>
      </c>
      <c r="M26" s="1"/>
      <c r="N26" s="5">
        <f t="shared" si="15"/>
        <v>-9.5102153027782743E-2</v>
      </c>
      <c r="O26" s="13"/>
      <c r="P26" s="1">
        <f>SUM(OSRRefP22_0x_0)</f>
        <v>133852.91</v>
      </c>
      <c r="Q26" s="1"/>
      <c r="R26" s="5">
        <f t="shared" si="16"/>
        <v>8.5739762118296051E-2</v>
      </c>
      <c r="S26" s="1"/>
      <c r="T26" s="1">
        <f>SUM(OSRRefT22_0x_0)</f>
        <v>137561.38170301696</v>
      </c>
      <c r="U26" s="1"/>
      <c r="V26" s="5">
        <f t="shared" si="17"/>
        <v>8.6010536561937134E-2</v>
      </c>
      <c r="W26" s="1"/>
      <c r="X26" s="1">
        <f t="shared" si="18"/>
        <v>-3708.4717030169559</v>
      </c>
      <c r="Y26" s="1"/>
      <c r="Z26" s="5">
        <f t="shared" si="19"/>
        <v>-2.6958668611102084E-2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7196.61</v>
      </c>
      <c r="E27" s="2"/>
      <c r="F27" s="7">
        <f t="shared" si="12"/>
        <v>1.1632006408892694E-2</v>
      </c>
      <c r="G27" s="2"/>
      <c r="H27" s="6">
        <v>3585.78109570385</v>
      </c>
      <c r="I27" s="2"/>
      <c r="J27" s="7">
        <f t="shared" si="13"/>
        <v>5.7057085960074312E-3</v>
      </c>
      <c r="K27" s="2"/>
      <c r="L27" s="6">
        <f t="shared" si="14"/>
        <v>3610.8289042961496</v>
      </c>
      <c r="M27" s="2"/>
      <c r="N27" s="7">
        <f t="shared" si="15"/>
        <v>1.0069853144750831</v>
      </c>
      <c r="O27" s="11"/>
      <c r="P27" s="6">
        <v>21819.870000000003</v>
      </c>
      <c r="Q27" s="2"/>
      <c r="R27" s="7">
        <f t="shared" si="16"/>
        <v>1.3976763473070138E-2</v>
      </c>
      <c r="S27" s="2"/>
      <c r="T27" s="6">
        <v>18145.300664533861</v>
      </c>
      <c r="U27" s="2"/>
      <c r="V27" s="7">
        <f t="shared" si="17"/>
        <v>1.1345386524276262E-2</v>
      </c>
      <c r="W27" s="2"/>
      <c r="X27" s="6">
        <f t="shared" si="18"/>
        <v>3674.5693354661416</v>
      </c>
      <c r="Y27" s="2"/>
      <c r="Z27" s="7">
        <f t="shared" si="19"/>
        <v>0.20250804345437604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-1101.7</v>
      </c>
      <c r="E28" s="2"/>
      <c r="F28" s="7">
        <f t="shared" si="12"/>
        <v>-1.7806969476846853E-3</v>
      </c>
      <c r="G28" s="2"/>
      <c r="H28" s="6">
        <v>5278.5698291692297</v>
      </c>
      <c r="I28" s="2"/>
      <c r="J28" s="7">
        <f t="shared" si="13"/>
        <v>8.3992805040444107E-3</v>
      </c>
      <c r="K28" s="2"/>
      <c r="L28" s="6">
        <f t="shared" si="14"/>
        <v>-6380.2698291692295</v>
      </c>
      <c r="M28" s="2"/>
      <c r="N28" s="7">
        <f t="shared" si="15"/>
        <v>-1.2087118359052553</v>
      </c>
      <c r="O28" s="11"/>
      <c r="P28" s="6">
        <v>8478.31</v>
      </c>
      <c r="Q28" s="2"/>
      <c r="R28" s="7">
        <f t="shared" si="16"/>
        <v>5.4307992449709949E-3</v>
      </c>
      <c r="S28" s="2"/>
      <c r="T28" s="6">
        <v>16679.15743228923</v>
      </c>
      <c r="U28" s="2"/>
      <c r="V28" s="7">
        <f t="shared" si="17"/>
        <v>1.042867745578013E-2</v>
      </c>
      <c r="W28" s="2"/>
      <c r="X28" s="6">
        <f t="shared" si="18"/>
        <v>-8200.8474322892307</v>
      </c>
      <c r="Y28" s="2"/>
      <c r="Z28" s="7">
        <f t="shared" si="19"/>
        <v>-0.49168235659273685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16686.48</v>
      </c>
      <c r="E29" s="2"/>
      <c r="F29" s="7">
        <f t="shared" si="12"/>
        <v>2.6970649000273707E-2</v>
      </c>
      <c r="G29" s="2"/>
      <c r="H29" s="6">
        <v>19864.230769230802</v>
      </c>
      <c r="I29" s="2"/>
      <c r="J29" s="7">
        <f t="shared" si="13"/>
        <v>3.1608039985728177E-2</v>
      </c>
      <c r="K29" s="2"/>
      <c r="L29" s="6">
        <f t="shared" si="14"/>
        <v>-3177.7507692308027</v>
      </c>
      <c r="M29" s="2"/>
      <c r="N29" s="7">
        <f t="shared" si="15"/>
        <v>-0.15997351249830721</v>
      </c>
      <c r="O29" s="11"/>
      <c r="P29" s="6">
        <v>66745.919999999998</v>
      </c>
      <c r="Q29" s="2"/>
      <c r="R29" s="7">
        <f t="shared" si="16"/>
        <v>4.275423898641291E-2</v>
      </c>
      <c r="S29" s="2"/>
      <c r="T29" s="6">
        <v>73645.230769230795</v>
      </c>
      <c r="U29" s="2"/>
      <c r="V29" s="7">
        <f t="shared" si="17"/>
        <v>4.6046831859862754E-2</v>
      </c>
      <c r="W29" s="2"/>
      <c r="X29" s="6">
        <f t="shared" si="18"/>
        <v>-6899.3107692307967</v>
      </c>
      <c r="Y29" s="2"/>
      <c r="Z29" s="7">
        <f t="shared" si="19"/>
        <v>-9.3683062666338329E-2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302.36</v>
      </c>
      <c r="E30" s="2"/>
      <c r="F30" s="7">
        <f t="shared" si="12"/>
        <v>4.8870974775523407E-4</v>
      </c>
      <c r="G30" s="2"/>
      <c r="H30" s="6">
        <v>353.7185968</v>
      </c>
      <c r="I30" s="2"/>
      <c r="J30" s="7">
        <f t="shared" si="13"/>
        <v>5.6283838429163581E-4</v>
      </c>
      <c r="K30" s="2"/>
      <c r="L30" s="6">
        <f t="shared" si="14"/>
        <v>-51.358596799999987</v>
      </c>
      <c r="M30" s="2"/>
      <c r="N30" s="7">
        <f t="shared" si="15"/>
        <v>-0.14519620190916688</v>
      </c>
      <c r="O30" s="11"/>
      <c r="P30" s="6">
        <v>944.29</v>
      </c>
      <c r="Q30" s="2"/>
      <c r="R30" s="7">
        <f t="shared" si="16"/>
        <v>6.0486693916991243E-4</v>
      </c>
      <c r="S30" s="2"/>
      <c r="T30" s="6">
        <v>1117.6754980400001</v>
      </c>
      <c r="U30" s="2"/>
      <c r="V30" s="7">
        <f t="shared" si="17"/>
        <v>6.9882890167598819E-4</v>
      </c>
      <c r="W30" s="2"/>
      <c r="X30" s="6">
        <f t="shared" si="18"/>
        <v>-173.38549804000013</v>
      </c>
      <c r="Y30" s="2"/>
      <c r="Z30" s="7">
        <f t="shared" si="19"/>
        <v>-0.15513044559360548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1777.57</v>
      </c>
      <c r="E31" s="2"/>
      <c r="F31" s="7">
        <f t="shared" si="12"/>
        <v>2.8731174306034905E-3</v>
      </c>
      <c r="G31" s="2"/>
      <c r="H31" s="6">
        <v>1584.5088192307699</v>
      </c>
      <c r="I31" s="2"/>
      <c r="J31" s="7">
        <f t="shared" si="13"/>
        <v>2.5212764943086932E-3</v>
      </c>
      <c r="K31" s="2"/>
      <c r="L31" s="6">
        <f t="shared" si="14"/>
        <v>193.06118076923008</v>
      </c>
      <c r="M31" s="2"/>
      <c r="N31" s="7">
        <f t="shared" si="15"/>
        <v>0.12184291966450229</v>
      </c>
      <c r="O31" s="11"/>
      <c r="P31" s="6">
        <v>5427.55</v>
      </c>
      <c r="Q31" s="2"/>
      <c r="R31" s="7">
        <f t="shared" si="16"/>
        <v>3.4766285311627347E-3</v>
      </c>
      <c r="S31" s="2"/>
      <c r="T31" s="6">
        <v>5704.2317492307802</v>
      </c>
      <c r="U31" s="2"/>
      <c r="V31" s="7">
        <f t="shared" si="17"/>
        <v>3.5665826218886864E-3</v>
      </c>
      <c r="W31" s="2"/>
      <c r="X31" s="6">
        <f t="shared" si="18"/>
        <v>-276.68174923078004</v>
      </c>
      <c r="Y31" s="2"/>
      <c r="Z31" s="7">
        <f t="shared" si="19"/>
        <v>-4.8504647320489876E-2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700.37</v>
      </c>
      <c r="E33" s="2"/>
      <c r="F33" s="7">
        <f t="shared" si="12"/>
        <v>1.1320202607333421E-3</v>
      </c>
      <c r="G33" s="2"/>
      <c r="H33" s="6"/>
      <c r="I33" s="2"/>
      <c r="J33" s="7">
        <f t="shared" si="13"/>
        <v>0</v>
      </c>
      <c r="K33" s="2"/>
      <c r="L33" s="6">
        <f t="shared" si="14"/>
        <v>700.37</v>
      </c>
      <c r="M33" s="2"/>
      <c r="N33" s="7">
        <f t="shared" si="15"/>
        <v>0</v>
      </c>
      <c r="O33" s="11"/>
      <c r="P33" s="6">
        <v>2994.09</v>
      </c>
      <c r="Q33" s="2"/>
      <c r="R33" s="7">
        <f t="shared" si="16"/>
        <v>1.9178706265016504E-3</v>
      </c>
      <c r="S33" s="2"/>
      <c r="T33" s="6"/>
      <c r="U33" s="2"/>
      <c r="V33" s="7">
        <f t="shared" si="17"/>
        <v>0</v>
      </c>
      <c r="W33" s="2"/>
      <c r="X33" s="6">
        <f t="shared" si="18"/>
        <v>2994.09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3956.8</v>
      </c>
      <c r="E34" s="2"/>
      <c r="F34" s="7">
        <f t="shared" si="12"/>
        <v>6.3954449329207252E-3</v>
      </c>
      <c r="G34" s="2"/>
      <c r="H34" s="6">
        <v>1405.63743461538</v>
      </c>
      <c r="I34" s="2"/>
      <c r="J34" s="7">
        <f t="shared" si="13"/>
        <v>2.2366556628802062E-3</v>
      </c>
      <c r="K34" s="2"/>
      <c r="L34" s="6">
        <f t="shared" si="14"/>
        <v>2551.1625653846204</v>
      </c>
      <c r="M34" s="2"/>
      <c r="N34" s="7">
        <f t="shared" si="15"/>
        <v>1.8149506427186799</v>
      </c>
      <c r="O34" s="11"/>
      <c r="P34" s="6">
        <v>12687.92</v>
      </c>
      <c r="Q34" s="2"/>
      <c r="R34" s="7">
        <f t="shared" si="16"/>
        <v>8.1272737557664659E-3</v>
      </c>
      <c r="S34" s="2"/>
      <c r="T34" s="6">
        <v>5060.2947646153798</v>
      </c>
      <c r="U34" s="2"/>
      <c r="V34" s="7">
        <f t="shared" si="17"/>
        <v>3.1639596991383276E-3</v>
      </c>
      <c r="W34" s="2"/>
      <c r="X34" s="6">
        <f t="shared" si="18"/>
        <v>7627.6252353846203</v>
      </c>
      <c r="Y34" s="2"/>
      <c r="Z34" s="7">
        <f t="shared" si="19"/>
        <v>1.5073480084048774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2455.56</v>
      </c>
      <c r="E35" s="2"/>
      <c r="F35" s="7">
        <f t="shared" si="12"/>
        <v>3.9689645065413498E-3</v>
      </c>
      <c r="G35" s="2"/>
      <c r="H35" s="6">
        <v>3612.8226130769199</v>
      </c>
      <c r="I35" s="2"/>
      <c r="J35" s="7">
        <f t="shared" si="13"/>
        <v>5.7487371618921319E-3</v>
      </c>
      <c r="K35" s="2"/>
      <c r="L35" s="6">
        <f t="shared" si="14"/>
        <v>-1157.2626130769199</v>
      </c>
      <c r="M35" s="2"/>
      <c r="N35" s="7">
        <f t="shared" si="15"/>
        <v>-0.32032090612146558</v>
      </c>
      <c r="O35" s="11"/>
      <c r="P35" s="6">
        <v>9458.93</v>
      </c>
      <c r="Q35" s="2"/>
      <c r="R35" s="7">
        <f t="shared" si="16"/>
        <v>6.0589374418054415E-3</v>
      </c>
      <c r="S35" s="2"/>
      <c r="T35" s="6">
        <v>11209.49082507692</v>
      </c>
      <c r="U35" s="2"/>
      <c r="V35" s="7">
        <f t="shared" si="17"/>
        <v>7.0087571709075971E-3</v>
      </c>
      <c r="W35" s="2"/>
      <c r="X35" s="6">
        <f t="shared" si="18"/>
        <v>-1750.5608250769201</v>
      </c>
      <c r="Y35" s="2"/>
      <c r="Z35" s="7">
        <f t="shared" si="19"/>
        <v>-0.15616773789231481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1674.82</v>
      </c>
      <c r="E36" s="2"/>
      <c r="F36" s="7">
        <f t="shared" si="12"/>
        <v>2.7070408114017101E-3</v>
      </c>
      <c r="G36" s="2"/>
      <c r="H36" s="6">
        <v>1500</v>
      </c>
      <c r="I36" s="2"/>
      <c r="J36" s="7">
        <f t="shared" si="13"/>
        <v>2.3868057378809938E-3</v>
      </c>
      <c r="K36" s="2"/>
      <c r="L36" s="6">
        <f t="shared" si="14"/>
        <v>174.81999999999994</v>
      </c>
      <c r="M36" s="2"/>
      <c r="N36" s="7">
        <f t="shared" si="15"/>
        <v>0.11654666666666662</v>
      </c>
      <c r="O36" s="11"/>
      <c r="P36" s="6">
        <v>5296.03</v>
      </c>
      <c r="Q36" s="2"/>
      <c r="R36" s="7">
        <f t="shared" si="16"/>
        <v>3.3923831194357999E-3</v>
      </c>
      <c r="S36" s="2"/>
      <c r="T36" s="6">
        <v>6000</v>
      </c>
      <c r="U36" s="2"/>
      <c r="V36" s="7">
        <f t="shared" si="17"/>
        <v>3.7515123284073892E-3</v>
      </c>
      <c r="W36" s="2"/>
      <c r="X36" s="6">
        <f t="shared" si="18"/>
        <v>-703.97000000000025</v>
      </c>
      <c r="Y36" s="2"/>
      <c r="Z36" s="7">
        <f t="shared" si="19"/>
        <v>-0.11732833333333338</v>
      </c>
    </row>
    <row r="37" spans="1:26" s="26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131723.5</v>
      </c>
      <c r="E37" s="1"/>
      <c r="F37" s="5">
        <f t="shared" ref="F37:F47" si="20">IF(D$12=0,0,D37/D$12)</f>
        <v>0.21290699318175876</v>
      </c>
      <c r="G37" s="1"/>
      <c r="H37" s="1">
        <f>SUM(OSRRefH22_1x_0)</f>
        <v>131027.15410615379</v>
      </c>
      <c r="I37" s="1"/>
      <c r="J37" s="5">
        <f t="shared" ref="J37:J47" si="21">IF(H$12=0,0,H37/H$12)</f>
        <v>0.20849090882585672</v>
      </c>
      <c r="K37" s="1"/>
      <c r="L37" s="1">
        <f t="shared" ref="L37:L47" si="22">+D37-H37</f>
        <v>696.34589384621358</v>
      </c>
      <c r="M37" s="1"/>
      <c r="N37" s="5">
        <f t="shared" ref="N37:N47" si="23">IF(H37=0,0,L37/H37)</f>
        <v>5.3145159001321022E-3</v>
      </c>
      <c r="O37" s="13"/>
      <c r="P37" s="1">
        <f>SUM(OSRRefP22_1x_0)</f>
        <v>394856.61</v>
      </c>
      <c r="Q37" s="1"/>
      <c r="R37" s="5">
        <f t="shared" ref="R37:R47" si="24">IF(P$12=0,0,P37/P$12)</f>
        <v>0.25292622933813536</v>
      </c>
      <c r="S37" s="1"/>
      <c r="T37" s="1">
        <f>SUM(OSRRefT22_1x_0)</f>
        <v>413605.40596415382</v>
      </c>
      <c r="U37" s="1"/>
      <c r="V37" s="5">
        <f t="shared" ref="V37:V47" si="25">IF(T$12=0,0,T37/T$12)</f>
        <v>0.25860762992841102</v>
      </c>
      <c r="W37" s="1"/>
      <c r="X37" s="1">
        <f t="shared" ref="X37:X47" si="26">+P37-T37</f>
        <v>-18748.795964153833</v>
      </c>
      <c r="Y37" s="1"/>
      <c r="Z37" s="5">
        <f t="shared" ref="Z37:Z47" si="27">IF(T37=0,0,X37/T37)</f>
        <v>-4.5330152105842507E-2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16194.98</v>
      </c>
      <c r="E39" s="2"/>
      <c r="F39" s="7">
        <f t="shared" si="20"/>
        <v>2.6176228967790253E-2</v>
      </c>
      <c r="G39" s="2"/>
      <c r="H39" s="6">
        <v>17503.295096153801</v>
      </c>
      <c r="I39" s="2"/>
      <c r="J39" s="7">
        <f t="shared" si="21"/>
        <v>2.7851310111549437E-2</v>
      </c>
      <c r="K39" s="2"/>
      <c r="L39" s="6">
        <f t="shared" si="22"/>
        <v>-1308.3150961538013</v>
      </c>
      <c r="M39" s="2"/>
      <c r="N39" s="7">
        <f t="shared" si="23"/>
        <v>-7.4746788474205197E-2</v>
      </c>
      <c r="O39" s="11"/>
      <c r="P39" s="6">
        <v>62629.65</v>
      </c>
      <c r="Q39" s="2"/>
      <c r="R39" s="7">
        <f t="shared" si="24"/>
        <v>4.0117553608301382E-2</v>
      </c>
      <c r="S39" s="2"/>
      <c r="T39" s="6">
        <v>63011.862346153801</v>
      </c>
      <c r="U39" s="2"/>
      <c r="V39" s="7">
        <f t="shared" si="25"/>
        <v>3.9398296404584227E-2</v>
      </c>
      <c r="W39" s="2"/>
      <c r="X39" s="6">
        <f t="shared" si="26"/>
        <v>-382.21234615379944</v>
      </c>
      <c r="Y39" s="2"/>
      <c r="Z39" s="7">
        <f t="shared" si="27"/>
        <v>-6.0657205155138444E-3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30893.91</v>
      </c>
      <c r="E41" s="2"/>
      <c r="F41" s="7">
        <f t="shared" si="20"/>
        <v>4.9934366196827965E-2</v>
      </c>
      <c r="G41" s="2"/>
      <c r="H41" s="6">
        <v>27008.557000000001</v>
      </c>
      <c r="I41" s="2"/>
      <c r="J41" s="7">
        <f t="shared" si="21"/>
        <v>4.2976119212990591E-2</v>
      </c>
      <c r="K41" s="2"/>
      <c r="L41" s="6">
        <f t="shared" si="22"/>
        <v>3885.3529999999992</v>
      </c>
      <c r="M41" s="2"/>
      <c r="N41" s="7">
        <f t="shared" si="23"/>
        <v>0.14385637114933608</v>
      </c>
      <c r="O41" s="11"/>
      <c r="P41" s="6">
        <v>84906.18</v>
      </c>
      <c r="Q41" s="2"/>
      <c r="R41" s="7">
        <f t="shared" si="24"/>
        <v>5.4386831601742722E-2</v>
      </c>
      <c r="S41" s="2"/>
      <c r="T41" s="6">
        <v>97230.805200000003</v>
      </c>
      <c r="U41" s="2"/>
      <c r="V41" s="7">
        <f t="shared" si="25"/>
        <v>6.0793760734796219E-2</v>
      </c>
      <c r="W41" s="2"/>
      <c r="X41" s="6">
        <f t="shared" si="26"/>
        <v>-12324.625200000009</v>
      </c>
      <c r="Y41" s="2"/>
      <c r="Z41" s="7">
        <f t="shared" si="27"/>
        <v>-0.12675638317145202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29286.91</v>
      </c>
      <c r="E42" s="2"/>
      <c r="F42" s="7">
        <f t="shared" si="20"/>
        <v>4.7336944035686737E-2</v>
      </c>
      <c r="G42" s="2"/>
      <c r="H42" s="6">
        <v>29304.702009999997</v>
      </c>
      <c r="I42" s="2"/>
      <c r="J42" s="7">
        <f t="shared" si="21"/>
        <v>4.6629753936240456E-2</v>
      </c>
      <c r="K42" s="2"/>
      <c r="L42" s="6">
        <f t="shared" si="22"/>
        <v>-17.79200999999739</v>
      </c>
      <c r="M42" s="2"/>
      <c r="N42" s="7">
        <f t="shared" si="23"/>
        <v>-6.0713840372531372E-4</v>
      </c>
      <c r="O42" s="11"/>
      <c r="P42" s="6">
        <v>82642.87</v>
      </c>
      <c r="Q42" s="2"/>
      <c r="R42" s="7">
        <f t="shared" si="24"/>
        <v>5.2937063636294975E-2</v>
      </c>
      <c r="S42" s="2"/>
      <c r="T42" s="6">
        <v>82149.978417999999</v>
      </c>
      <c r="U42" s="2"/>
      <c r="V42" s="7">
        <f t="shared" si="25"/>
        <v>5.1364442802254655E-2</v>
      </c>
      <c r="W42" s="2"/>
      <c r="X42" s="6">
        <f t="shared" si="26"/>
        <v>492.89158199999656</v>
      </c>
      <c r="Y42" s="2"/>
      <c r="Z42" s="7">
        <f t="shared" si="27"/>
        <v>5.999899105171261E-3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>
        <v>1281</v>
      </c>
      <c r="E43" s="2"/>
      <c r="F43" s="7">
        <f t="shared" si="20"/>
        <v>2.070502668588619E-3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1281</v>
      </c>
      <c r="M43" s="2"/>
      <c r="N43" s="7">
        <f t="shared" si="23"/>
        <v>0</v>
      </c>
      <c r="O43" s="11"/>
      <c r="P43" s="6">
        <v>7209</v>
      </c>
      <c r="Q43" s="2"/>
      <c r="R43" s="7">
        <f t="shared" si="24"/>
        <v>4.6177400634083805E-3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7209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35433.699999999997</v>
      </c>
      <c r="E44" s="2"/>
      <c r="F44" s="7">
        <f t="shared" si="20"/>
        <v>5.7272108046813854E-2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35433.699999999997</v>
      </c>
      <c r="M44" s="2"/>
      <c r="N44" s="7">
        <f t="shared" si="23"/>
        <v>0</v>
      </c>
      <c r="O44" s="11"/>
      <c r="P44" s="6">
        <v>116209.91</v>
      </c>
      <c r="Q44" s="2"/>
      <c r="R44" s="7">
        <f t="shared" si="24"/>
        <v>7.4438501480383154E-2</v>
      </c>
      <c r="S44" s="2"/>
      <c r="T44" s="6">
        <v>66371.28</v>
      </c>
      <c r="U44" s="2"/>
      <c r="V44" s="7">
        <f t="shared" si="25"/>
        <v>4.1498779195363128E-2</v>
      </c>
      <c r="W44" s="2"/>
      <c r="X44" s="6">
        <f t="shared" si="26"/>
        <v>49838.630000000005</v>
      </c>
      <c r="Y44" s="2"/>
      <c r="Z44" s="7">
        <f t="shared" si="27"/>
        <v>0.75090656681624957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18633</v>
      </c>
      <c r="E45" s="2"/>
      <c r="F45" s="7">
        <f t="shared" si="20"/>
        <v>3.0116843266051321E-2</v>
      </c>
      <c r="G45" s="2"/>
      <c r="H45" s="6">
        <v>57210.6</v>
      </c>
      <c r="I45" s="2"/>
      <c r="J45" s="7">
        <f t="shared" si="21"/>
        <v>9.1033725565076259E-2</v>
      </c>
      <c r="K45" s="2"/>
      <c r="L45" s="6">
        <f t="shared" si="22"/>
        <v>-38577.599999999999</v>
      </c>
      <c r="M45" s="2"/>
      <c r="N45" s="7">
        <f t="shared" si="23"/>
        <v>-0.67430860714622809</v>
      </c>
      <c r="O45" s="11"/>
      <c r="P45" s="6">
        <v>41259</v>
      </c>
      <c r="Q45" s="2"/>
      <c r="R45" s="7">
        <f t="shared" si="24"/>
        <v>2.6428538948004766E-2</v>
      </c>
      <c r="S45" s="2"/>
      <c r="T45" s="6">
        <v>104841.48</v>
      </c>
      <c r="U45" s="2"/>
      <c r="V45" s="7">
        <f t="shared" si="25"/>
        <v>6.5552350791412792E-2</v>
      </c>
      <c r="W45" s="2"/>
      <c r="X45" s="6">
        <f t="shared" si="26"/>
        <v>-63582.479999999996</v>
      </c>
      <c r="Y45" s="2"/>
      <c r="Z45" s="7">
        <f t="shared" si="27"/>
        <v>-0.60646301444809825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201.6</v>
      </c>
      <c r="E48" s="1"/>
      <c r="F48" s="5">
        <f t="shared" ref="F48:F69" si="28">IF(D$12=0,0,D48/D$12)</f>
        <v>3.2584960030247121E-4</v>
      </c>
      <c r="G48" s="1"/>
      <c r="H48" s="1">
        <f>SUM(OSRRefH22_2x_0)</f>
        <v>100</v>
      </c>
      <c r="I48" s="1"/>
      <c r="J48" s="5">
        <f t="shared" ref="J48:J69" si="29">IF(H$12=0,0,H48/H$12)</f>
        <v>1.591203825253996E-4</v>
      </c>
      <c r="K48" s="1"/>
      <c r="L48" s="1">
        <f t="shared" ref="L48:L69" si="30">+D48-H48</f>
        <v>101.6</v>
      </c>
      <c r="M48" s="1"/>
      <c r="N48" s="5">
        <f t="shared" ref="N48:N69" si="31">IF(H48=0,0,L48/H48)</f>
        <v>1.016</v>
      </c>
      <c r="O48" s="13"/>
      <c r="P48" s="1">
        <f>SUM(OSRRefP22_2x_0)</f>
        <v>2362.48</v>
      </c>
      <c r="Q48" s="1"/>
      <c r="R48" s="5">
        <f t="shared" ref="R48:R69" si="32">IF(P$12=0,0,P48/P$12)</f>
        <v>1.5132915168540755E-3</v>
      </c>
      <c r="S48" s="1"/>
      <c r="T48" s="1">
        <f>SUM(OSRRefT22_2x_0)</f>
        <v>3100</v>
      </c>
      <c r="U48" s="1"/>
      <c r="V48" s="5">
        <f t="shared" ref="V48:V69" si="33">IF(T$12=0,0,T48/T$12)</f>
        <v>1.9382813696771511E-3</v>
      </c>
      <c r="W48" s="1"/>
      <c r="X48" s="1">
        <f t="shared" ref="X48:X69" si="34">+P48-T48</f>
        <v>-737.52</v>
      </c>
      <c r="Y48" s="1"/>
      <c r="Z48" s="5">
        <f t="shared" ref="Z48:Z69" si="35">IF(T48=0,0,X48/T48)</f>
        <v>-0.23790967741935484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201.6</v>
      </c>
      <c r="E49" s="2"/>
      <c r="F49" s="7">
        <f t="shared" si="28"/>
        <v>3.2584960030247121E-4</v>
      </c>
      <c r="G49" s="2"/>
      <c r="H49" s="6">
        <v>100</v>
      </c>
      <c r="I49" s="2"/>
      <c r="J49" s="7">
        <f t="shared" si="29"/>
        <v>1.591203825253996E-4</v>
      </c>
      <c r="K49" s="2"/>
      <c r="L49" s="6">
        <f t="shared" si="30"/>
        <v>101.6</v>
      </c>
      <c r="M49" s="2"/>
      <c r="N49" s="7">
        <f t="shared" si="31"/>
        <v>1.016</v>
      </c>
      <c r="O49" s="11"/>
      <c r="P49" s="6">
        <v>2362.48</v>
      </c>
      <c r="Q49" s="2"/>
      <c r="R49" s="7">
        <f t="shared" si="32"/>
        <v>1.5132915168540755E-3</v>
      </c>
      <c r="S49" s="2"/>
      <c r="T49" s="6">
        <v>3100</v>
      </c>
      <c r="U49" s="2"/>
      <c r="V49" s="7">
        <f t="shared" si="33"/>
        <v>1.9382813696771511E-3</v>
      </c>
      <c r="W49" s="2"/>
      <c r="X49" s="6">
        <f t="shared" si="34"/>
        <v>-737.52</v>
      </c>
      <c r="Y49" s="2"/>
      <c r="Z49" s="7">
        <f t="shared" si="35"/>
        <v>-0.23790967741935484</v>
      </c>
    </row>
    <row r="50" spans="1:26" s="26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13.29</v>
      </c>
      <c r="E50" s="1"/>
      <c r="F50" s="5">
        <f t="shared" si="28"/>
        <v>2.1480859067558739E-5</v>
      </c>
      <c r="G50" s="1"/>
      <c r="H50" s="1">
        <f>SUM(OSRRefH22_3x_0)</f>
        <v>8</v>
      </c>
      <c r="I50" s="1"/>
      <c r="J50" s="5">
        <f t="shared" si="29"/>
        <v>1.2729630602031967E-5</v>
      </c>
      <c r="K50" s="1"/>
      <c r="L50" s="1">
        <f t="shared" si="30"/>
        <v>5.2899999999999991</v>
      </c>
      <c r="M50" s="1"/>
      <c r="N50" s="5">
        <f t="shared" si="31"/>
        <v>0.66124999999999989</v>
      </c>
      <c r="O50" s="13"/>
      <c r="P50" s="1">
        <f>SUM(OSRRefP22_3x_0)</f>
        <v>16.239999999999998</v>
      </c>
      <c r="Q50" s="1"/>
      <c r="R50" s="5">
        <f t="shared" si="32"/>
        <v>1.0402566046574016E-5</v>
      </c>
      <c r="S50" s="1"/>
      <c r="T50" s="1">
        <f>SUM(OSRRefT22_3x_0)</f>
        <v>32</v>
      </c>
      <c r="U50" s="1"/>
      <c r="V50" s="5">
        <f t="shared" si="33"/>
        <v>2.0008065751506076E-5</v>
      </c>
      <c r="W50" s="1"/>
      <c r="X50" s="1">
        <f t="shared" si="34"/>
        <v>-15.760000000000002</v>
      </c>
      <c r="Y50" s="1"/>
      <c r="Z50" s="5">
        <f t="shared" si="35"/>
        <v>-0.49250000000000005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13.29</v>
      </c>
      <c r="E51" s="2"/>
      <c r="F51" s="7">
        <f t="shared" si="28"/>
        <v>2.1480859067558739E-5</v>
      </c>
      <c r="G51" s="2"/>
      <c r="H51" s="6">
        <v>8</v>
      </c>
      <c r="I51" s="2"/>
      <c r="J51" s="7">
        <f t="shared" si="29"/>
        <v>1.2729630602031967E-5</v>
      </c>
      <c r="K51" s="2"/>
      <c r="L51" s="6">
        <f t="shared" si="30"/>
        <v>5.2899999999999991</v>
      </c>
      <c r="M51" s="2"/>
      <c r="N51" s="7">
        <f t="shared" si="31"/>
        <v>0.66124999999999989</v>
      </c>
      <c r="O51" s="11"/>
      <c r="P51" s="6">
        <v>16.239999999999998</v>
      </c>
      <c r="Q51" s="2"/>
      <c r="R51" s="7">
        <f t="shared" si="32"/>
        <v>1.0402566046574016E-5</v>
      </c>
      <c r="S51" s="2"/>
      <c r="T51" s="6">
        <v>32</v>
      </c>
      <c r="U51" s="2"/>
      <c r="V51" s="7">
        <f t="shared" si="33"/>
        <v>2.0008065751506076E-5</v>
      </c>
      <c r="W51" s="2"/>
      <c r="X51" s="6">
        <f t="shared" si="34"/>
        <v>-15.760000000000002</v>
      </c>
      <c r="Y51" s="2"/>
      <c r="Z51" s="7">
        <f t="shared" si="35"/>
        <v>-0.49250000000000005</v>
      </c>
    </row>
    <row r="52" spans="1:26" s="26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185.95</v>
      </c>
      <c r="E52" s="1"/>
      <c r="F52" s="5">
        <f t="shared" si="28"/>
        <v>3.0055423202502243E-4</v>
      </c>
      <c r="G52" s="1"/>
      <c r="H52" s="1">
        <f>SUM(OSRRefH22_4x_0)</f>
        <v>170</v>
      </c>
      <c r="I52" s="1"/>
      <c r="J52" s="5">
        <f t="shared" si="29"/>
        <v>2.705046502931793E-4</v>
      </c>
      <c r="K52" s="1"/>
      <c r="L52" s="1">
        <f t="shared" si="30"/>
        <v>15.949999999999989</v>
      </c>
      <c r="M52" s="1"/>
      <c r="N52" s="5">
        <f t="shared" si="31"/>
        <v>9.3823529411764639E-2</v>
      </c>
      <c r="O52" s="13"/>
      <c r="P52" s="1">
        <f>SUM(OSRRefP22_4x_0)</f>
        <v>710.33</v>
      </c>
      <c r="Q52" s="1"/>
      <c r="R52" s="5">
        <f t="shared" si="32"/>
        <v>4.5500337068121445E-4</v>
      </c>
      <c r="S52" s="1"/>
      <c r="T52" s="1">
        <f>SUM(OSRRefT22_4x_0)</f>
        <v>680</v>
      </c>
      <c r="U52" s="1"/>
      <c r="V52" s="5">
        <f t="shared" si="33"/>
        <v>4.251713972195041E-4</v>
      </c>
      <c r="W52" s="1"/>
      <c r="X52" s="1">
        <f t="shared" si="34"/>
        <v>30.330000000000041</v>
      </c>
      <c r="Y52" s="1"/>
      <c r="Z52" s="5">
        <f t="shared" si="35"/>
        <v>4.4602941176470651E-2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185.95</v>
      </c>
      <c r="E53" s="2"/>
      <c r="F53" s="7">
        <f t="shared" si="28"/>
        <v>3.0055423202502243E-4</v>
      </c>
      <c r="G53" s="2"/>
      <c r="H53" s="6">
        <v>170</v>
      </c>
      <c r="I53" s="2"/>
      <c r="J53" s="7">
        <f t="shared" si="29"/>
        <v>2.705046502931793E-4</v>
      </c>
      <c r="K53" s="2"/>
      <c r="L53" s="6">
        <f t="shared" si="30"/>
        <v>15.949999999999989</v>
      </c>
      <c r="M53" s="2"/>
      <c r="N53" s="7">
        <f t="shared" si="31"/>
        <v>9.3823529411764639E-2</v>
      </c>
      <c r="O53" s="11"/>
      <c r="P53" s="6">
        <v>710.33</v>
      </c>
      <c r="Q53" s="2"/>
      <c r="R53" s="7">
        <f t="shared" si="32"/>
        <v>4.5500337068121445E-4</v>
      </c>
      <c r="S53" s="2"/>
      <c r="T53" s="6">
        <v>680</v>
      </c>
      <c r="U53" s="2"/>
      <c r="V53" s="7">
        <f t="shared" si="33"/>
        <v>4.251713972195041E-4</v>
      </c>
      <c r="W53" s="2"/>
      <c r="X53" s="6">
        <f t="shared" si="34"/>
        <v>30.330000000000041</v>
      </c>
      <c r="Y53" s="2"/>
      <c r="Z53" s="7">
        <f t="shared" si="35"/>
        <v>4.4602941176470651E-2</v>
      </c>
    </row>
    <row r="54" spans="1:26" s="26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5160.45</v>
      </c>
      <c r="E54" s="1"/>
      <c r="F54" s="5">
        <f t="shared" si="28"/>
        <v>8.3409254458377356E-3</v>
      </c>
      <c r="G54" s="1"/>
      <c r="H54" s="1">
        <f>SUM(OSRRefH22_5x_0)</f>
        <v>4100</v>
      </c>
      <c r="I54" s="1"/>
      <c r="J54" s="5">
        <f t="shared" si="29"/>
        <v>6.523935683541383E-3</v>
      </c>
      <c r="K54" s="1"/>
      <c r="L54" s="1">
        <f t="shared" si="30"/>
        <v>1060.4499999999998</v>
      </c>
      <c r="M54" s="1"/>
      <c r="N54" s="5">
        <f t="shared" si="31"/>
        <v>0.25864634146341459</v>
      </c>
      <c r="O54" s="13"/>
      <c r="P54" s="1">
        <f>SUM(OSRRefP22_5x_0)</f>
        <v>11346.48</v>
      </c>
      <c r="Q54" s="1"/>
      <c r="R54" s="5">
        <f t="shared" si="32"/>
        <v>7.2680115514859086E-3</v>
      </c>
      <c r="S54" s="1"/>
      <c r="T54" s="1">
        <f>SUM(OSRRefT22_5x_0)</f>
        <v>10300</v>
      </c>
      <c r="U54" s="1"/>
      <c r="V54" s="5">
        <f t="shared" si="33"/>
        <v>6.4400961637660183E-3</v>
      </c>
      <c r="W54" s="1"/>
      <c r="X54" s="1">
        <f t="shared" si="34"/>
        <v>1046.4799999999996</v>
      </c>
      <c r="Y54" s="1"/>
      <c r="Z54" s="5">
        <f t="shared" si="35"/>
        <v>0.10159999999999995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5160.45</v>
      </c>
      <c r="E55" s="2"/>
      <c r="F55" s="7">
        <f t="shared" si="28"/>
        <v>8.3409254458377356E-3</v>
      </c>
      <c r="G55" s="2"/>
      <c r="H55" s="6">
        <v>4100</v>
      </c>
      <c r="I55" s="2"/>
      <c r="J55" s="7">
        <f t="shared" si="29"/>
        <v>6.523935683541383E-3</v>
      </c>
      <c r="K55" s="2"/>
      <c r="L55" s="6">
        <f t="shared" si="30"/>
        <v>1060.4499999999998</v>
      </c>
      <c r="M55" s="2"/>
      <c r="N55" s="7">
        <f t="shared" si="31"/>
        <v>0.25864634146341459</v>
      </c>
      <c r="O55" s="11"/>
      <c r="P55" s="6">
        <v>11346.48</v>
      </c>
      <c r="Q55" s="2"/>
      <c r="R55" s="7">
        <f t="shared" si="32"/>
        <v>7.2680115514859086E-3</v>
      </c>
      <c r="S55" s="2"/>
      <c r="T55" s="6">
        <v>10300</v>
      </c>
      <c r="U55" s="2"/>
      <c r="V55" s="7">
        <f t="shared" si="33"/>
        <v>6.4400961637660183E-3</v>
      </c>
      <c r="W55" s="2"/>
      <c r="X55" s="6">
        <f t="shared" si="34"/>
        <v>1046.4799999999996</v>
      </c>
      <c r="Y55" s="2"/>
      <c r="Z55" s="7">
        <f t="shared" si="35"/>
        <v>0.10159999999999995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34.36</v>
      </c>
      <c r="E56" s="1"/>
      <c r="F56" s="5">
        <f t="shared" si="28"/>
        <v>5.5536667988060073E-5</v>
      </c>
      <c r="G56" s="1"/>
      <c r="H56" s="1">
        <f>SUM(OSRRefH22_6x_0)</f>
        <v>145</v>
      </c>
      <c r="I56" s="1"/>
      <c r="J56" s="5">
        <f t="shared" si="29"/>
        <v>2.307245546618294E-4</v>
      </c>
      <c r="K56" s="1"/>
      <c r="L56" s="1">
        <f t="shared" si="30"/>
        <v>-110.64</v>
      </c>
      <c r="M56" s="1"/>
      <c r="N56" s="5">
        <f t="shared" si="31"/>
        <v>-0.76303448275862074</v>
      </c>
      <c r="O56" s="13"/>
      <c r="P56" s="1">
        <f>SUM(OSRRefP22_6x_0)</f>
        <v>839.99</v>
      </c>
      <c r="Q56" s="1"/>
      <c r="R56" s="5">
        <f t="shared" si="32"/>
        <v>5.3805735550872596E-4</v>
      </c>
      <c r="S56" s="1"/>
      <c r="T56" s="1">
        <f>SUM(OSRRefT22_6x_0)</f>
        <v>580</v>
      </c>
      <c r="U56" s="1"/>
      <c r="V56" s="5">
        <f t="shared" si="33"/>
        <v>3.6264619174604764E-4</v>
      </c>
      <c r="W56" s="1"/>
      <c r="X56" s="1">
        <f t="shared" si="34"/>
        <v>259.99</v>
      </c>
      <c r="Y56" s="1"/>
      <c r="Z56" s="5">
        <f t="shared" si="35"/>
        <v>0.44825862068965516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34.36</v>
      </c>
      <c r="E57" s="2"/>
      <c r="F57" s="7">
        <f t="shared" si="28"/>
        <v>5.5536667988060073E-5</v>
      </c>
      <c r="G57" s="2"/>
      <c r="H57" s="6">
        <v>145</v>
      </c>
      <c r="I57" s="2"/>
      <c r="J57" s="7">
        <f t="shared" si="29"/>
        <v>2.307245546618294E-4</v>
      </c>
      <c r="K57" s="2"/>
      <c r="L57" s="6">
        <f t="shared" si="30"/>
        <v>-110.64</v>
      </c>
      <c r="M57" s="2"/>
      <c r="N57" s="7">
        <f t="shared" si="31"/>
        <v>-0.76303448275862074</v>
      </c>
      <c r="O57" s="11"/>
      <c r="P57" s="6">
        <v>839.99</v>
      </c>
      <c r="Q57" s="2"/>
      <c r="R57" s="7">
        <f t="shared" si="32"/>
        <v>5.3805735550872596E-4</v>
      </c>
      <c r="S57" s="2"/>
      <c r="T57" s="6">
        <v>580</v>
      </c>
      <c r="U57" s="2"/>
      <c r="V57" s="7">
        <f t="shared" si="33"/>
        <v>3.6264619174604764E-4</v>
      </c>
      <c r="W57" s="2"/>
      <c r="X57" s="6">
        <f t="shared" si="34"/>
        <v>259.99</v>
      </c>
      <c r="Y57" s="2"/>
      <c r="Z57" s="7">
        <f t="shared" si="35"/>
        <v>0.44825862068965516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3509.87</v>
      </c>
      <c r="E58" s="1"/>
      <c r="F58" s="5">
        <f t="shared" si="28"/>
        <v>5.6730641697104889E-3</v>
      </c>
      <c r="G58" s="1"/>
      <c r="H58" s="1">
        <f>SUM(OSRRefH22_7x_0)</f>
        <v>270</v>
      </c>
      <c r="I58" s="1"/>
      <c r="J58" s="5">
        <f t="shared" si="29"/>
        <v>4.296250328185789E-4</v>
      </c>
      <c r="K58" s="1"/>
      <c r="L58" s="1">
        <f t="shared" si="30"/>
        <v>3239.87</v>
      </c>
      <c r="M58" s="1"/>
      <c r="N58" s="5">
        <f t="shared" si="31"/>
        <v>11.999518518518519</v>
      </c>
      <c r="O58" s="13"/>
      <c r="P58" s="1">
        <f>SUM(OSRRefP22_7x_0)</f>
        <v>4210.2</v>
      </c>
      <c r="Q58" s="1"/>
      <c r="R58" s="5">
        <f t="shared" si="32"/>
        <v>2.6968524365323845E-3</v>
      </c>
      <c r="S58" s="1"/>
      <c r="T58" s="1">
        <f>SUM(OSRRefT22_7x_0)</f>
        <v>1080</v>
      </c>
      <c r="U58" s="1"/>
      <c r="V58" s="5">
        <f t="shared" si="33"/>
        <v>6.7527221911333011E-4</v>
      </c>
      <c r="W58" s="1"/>
      <c r="X58" s="1">
        <f t="shared" si="34"/>
        <v>3130.2</v>
      </c>
      <c r="Y58" s="1"/>
      <c r="Z58" s="5">
        <f t="shared" si="35"/>
        <v>2.898333333333333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3509.87</v>
      </c>
      <c r="E59" s="2"/>
      <c r="F59" s="7">
        <f t="shared" si="28"/>
        <v>5.6730641697104889E-3</v>
      </c>
      <c r="G59" s="2"/>
      <c r="H59" s="6">
        <v>270</v>
      </c>
      <c r="I59" s="2"/>
      <c r="J59" s="7">
        <f t="shared" si="29"/>
        <v>4.296250328185789E-4</v>
      </c>
      <c r="K59" s="2"/>
      <c r="L59" s="6">
        <f t="shared" si="30"/>
        <v>3239.87</v>
      </c>
      <c r="M59" s="2"/>
      <c r="N59" s="7">
        <f t="shared" si="31"/>
        <v>11.999518518518519</v>
      </c>
      <c r="O59" s="11"/>
      <c r="P59" s="6">
        <v>4210.2</v>
      </c>
      <c r="Q59" s="2"/>
      <c r="R59" s="7">
        <f t="shared" si="32"/>
        <v>2.6968524365323845E-3</v>
      </c>
      <c r="S59" s="2"/>
      <c r="T59" s="6">
        <v>1080</v>
      </c>
      <c r="U59" s="2"/>
      <c r="V59" s="7">
        <f t="shared" si="33"/>
        <v>6.7527221911333011E-4</v>
      </c>
      <c r="W59" s="2"/>
      <c r="X59" s="6">
        <f t="shared" si="34"/>
        <v>3130.2</v>
      </c>
      <c r="Y59" s="2"/>
      <c r="Z59" s="7">
        <f t="shared" si="35"/>
        <v>2.898333333333333</v>
      </c>
    </row>
    <row r="60" spans="1:26" s="26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1.5912038252539959E-6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4</v>
      </c>
      <c r="U60" s="1"/>
      <c r="V60" s="5">
        <f t="shared" si="33"/>
        <v>2.5010082189382595E-6</v>
      </c>
      <c r="W60" s="1"/>
      <c r="X60" s="1">
        <f t="shared" si="34"/>
        <v>-4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1.5912038252539959E-6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4</v>
      </c>
      <c r="U61" s="2"/>
      <c r="V61" s="7">
        <f t="shared" si="33"/>
        <v>2.5010082189382595E-6</v>
      </c>
      <c r="W61" s="2"/>
      <c r="X61" s="6">
        <f t="shared" si="34"/>
        <v>-4</v>
      </c>
      <c r="Y61" s="2"/>
      <c r="Z61" s="7">
        <f t="shared" si="35"/>
        <v>-1</v>
      </c>
    </row>
    <row r="62" spans="1:26" s="26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602.52</v>
      </c>
      <c r="E62" s="1"/>
      <c r="F62" s="5">
        <f t="shared" si="28"/>
        <v>9.7386359709446897E-4</v>
      </c>
      <c r="G62" s="1"/>
      <c r="H62" s="1">
        <f>SUM(OSRRefH22_9x_0)</f>
        <v>100</v>
      </c>
      <c r="I62" s="1"/>
      <c r="J62" s="5">
        <f t="shared" si="29"/>
        <v>1.591203825253996E-4</v>
      </c>
      <c r="K62" s="1"/>
      <c r="L62" s="1">
        <f t="shared" si="30"/>
        <v>502.52</v>
      </c>
      <c r="M62" s="1"/>
      <c r="N62" s="5">
        <f t="shared" si="31"/>
        <v>5.0251999999999999</v>
      </c>
      <c r="O62" s="13"/>
      <c r="P62" s="1">
        <f>SUM(OSRRefP22_9x_0)</f>
        <v>2539.62</v>
      </c>
      <c r="Q62" s="1"/>
      <c r="R62" s="5">
        <f t="shared" si="32"/>
        <v>1.6267589152216936E-3</v>
      </c>
      <c r="S62" s="1"/>
      <c r="T62" s="1">
        <f>SUM(OSRRefT22_9x_0)</f>
        <v>2250</v>
      </c>
      <c r="U62" s="1"/>
      <c r="V62" s="5">
        <f t="shared" si="33"/>
        <v>1.4068171231527711E-3</v>
      </c>
      <c r="W62" s="1"/>
      <c r="X62" s="1">
        <f t="shared" si="34"/>
        <v>289.61999999999989</v>
      </c>
      <c r="Y62" s="1"/>
      <c r="Z62" s="5">
        <f t="shared" si="35"/>
        <v>0.12871999999999995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602.52</v>
      </c>
      <c r="E63" s="2"/>
      <c r="F63" s="7">
        <f t="shared" si="28"/>
        <v>9.7386359709446897E-4</v>
      </c>
      <c r="G63" s="2"/>
      <c r="H63" s="6">
        <v>100</v>
      </c>
      <c r="I63" s="2"/>
      <c r="J63" s="7">
        <f t="shared" si="29"/>
        <v>1.591203825253996E-4</v>
      </c>
      <c r="K63" s="2"/>
      <c r="L63" s="6">
        <f t="shared" si="30"/>
        <v>502.52</v>
      </c>
      <c r="M63" s="2"/>
      <c r="N63" s="7">
        <f t="shared" si="31"/>
        <v>5.0251999999999999</v>
      </c>
      <c r="O63" s="11"/>
      <c r="P63" s="6">
        <v>2539.62</v>
      </c>
      <c r="Q63" s="2"/>
      <c r="R63" s="7">
        <f t="shared" si="32"/>
        <v>1.6267589152216936E-3</v>
      </c>
      <c r="S63" s="2"/>
      <c r="T63" s="6">
        <v>2250</v>
      </c>
      <c r="U63" s="2"/>
      <c r="V63" s="7">
        <f t="shared" si="33"/>
        <v>1.4068171231527711E-3</v>
      </c>
      <c r="W63" s="2"/>
      <c r="X63" s="6">
        <f t="shared" si="34"/>
        <v>289.61999999999989</v>
      </c>
      <c r="Y63" s="2"/>
      <c r="Z63" s="7">
        <f t="shared" si="35"/>
        <v>0.12871999999999995</v>
      </c>
    </row>
    <row r="64" spans="1:26" s="26" customFormat="1" outlineLevel="1" collapsed="1" x14ac:dyDescent="0.25">
      <c r="A64" s="25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48155.83</v>
      </c>
      <c r="E64" s="1"/>
      <c r="F64" s="5">
        <f t="shared" si="28"/>
        <v>7.7835108917330115E-2</v>
      </c>
      <c r="G64" s="1"/>
      <c r="H64" s="1">
        <f>SUM(OSRRefH22_10x_0)</f>
        <v>50276</v>
      </c>
      <c r="I64" s="1"/>
      <c r="J64" s="5">
        <f t="shared" si="29"/>
        <v>7.9999363518469896E-2</v>
      </c>
      <c r="K64" s="1"/>
      <c r="L64" s="1">
        <f t="shared" si="30"/>
        <v>-2120.1699999999983</v>
      </c>
      <c r="M64" s="1"/>
      <c r="N64" s="5">
        <f t="shared" si="31"/>
        <v>-4.217061818760439E-2</v>
      </c>
      <c r="O64" s="13"/>
      <c r="P64" s="1">
        <f>SUM(OSRRefP22_10x_0)</f>
        <v>120358.84000000001</v>
      </c>
      <c r="Q64" s="1"/>
      <c r="R64" s="5">
        <f t="shared" si="32"/>
        <v>7.7096107289965202E-2</v>
      </c>
      <c r="S64" s="1"/>
      <c r="T64" s="1">
        <f>SUM(OSRRefT22_10x_0)</f>
        <v>127945.99999999999</v>
      </c>
      <c r="U64" s="1"/>
      <c r="V64" s="5">
        <f t="shared" si="33"/>
        <v>7.9998499395068631E-2</v>
      </c>
      <c r="W64" s="1"/>
      <c r="X64" s="1">
        <f t="shared" si="34"/>
        <v>-7587.1599999999744</v>
      </c>
      <c r="Y64" s="1"/>
      <c r="Z64" s="5">
        <f t="shared" si="35"/>
        <v>-5.9299704562862265E-2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48155.83</v>
      </c>
      <c r="E65" s="2"/>
      <c r="F65" s="7">
        <f t="shared" si="28"/>
        <v>7.7835108917330115E-2</v>
      </c>
      <c r="G65" s="2"/>
      <c r="H65" s="6">
        <v>50276</v>
      </c>
      <c r="I65" s="2"/>
      <c r="J65" s="7">
        <f t="shared" si="29"/>
        <v>7.9999363518469896E-2</v>
      </c>
      <c r="K65" s="2"/>
      <c r="L65" s="6">
        <f t="shared" si="30"/>
        <v>-2120.1699999999983</v>
      </c>
      <c r="M65" s="2"/>
      <c r="N65" s="7">
        <f t="shared" si="31"/>
        <v>-4.217061818760439E-2</v>
      </c>
      <c r="O65" s="11"/>
      <c r="P65" s="6">
        <v>120358.84000000001</v>
      </c>
      <c r="Q65" s="2"/>
      <c r="R65" s="7">
        <f t="shared" si="32"/>
        <v>7.7096107289965202E-2</v>
      </c>
      <c r="S65" s="2"/>
      <c r="T65" s="6">
        <v>127945.99999999999</v>
      </c>
      <c r="U65" s="2"/>
      <c r="V65" s="7">
        <f t="shared" si="33"/>
        <v>7.9998499395068631E-2</v>
      </c>
      <c r="W65" s="2"/>
      <c r="X65" s="6">
        <f t="shared" si="34"/>
        <v>-7587.1599999999744</v>
      </c>
      <c r="Y65" s="2"/>
      <c r="Z65" s="7">
        <f t="shared" si="35"/>
        <v>-5.9299704562862265E-2</v>
      </c>
    </row>
    <row r="66" spans="1:26" s="26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75.69</v>
      </c>
      <c r="E66" s="1"/>
      <c r="F66" s="5">
        <f t="shared" si="28"/>
        <v>1.2233906868499029E-4</v>
      </c>
      <c r="G66" s="1"/>
      <c r="H66" s="1">
        <f>SUM(OSRRefH22_11x_0)</f>
        <v>1290</v>
      </c>
      <c r="I66" s="1"/>
      <c r="J66" s="5">
        <f t="shared" si="29"/>
        <v>2.0526529345776547E-3</v>
      </c>
      <c r="K66" s="1"/>
      <c r="L66" s="1">
        <f t="shared" si="30"/>
        <v>-1214.31</v>
      </c>
      <c r="M66" s="1"/>
      <c r="N66" s="5">
        <f t="shared" si="31"/>
        <v>-0.94132558139534883</v>
      </c>
      <c r="O66" s="13"/>
      <c r="P66" s="1">
        <f>SUM(OSRRefP22_11x_0)</f>
        <v>219.19</v>
      </c>
      <c r="Q66" s="1"/>
      <c r="R66" s="5">
        <f t="shared" si="32"/>
        <v>1.4040261402392605E-4</v>
      </c>
      <c r="S66" s="1"/>
      <c r="T66" s="1">
        <f>SUM(OSRRefT22_11x_0)</f>
        <v>5160</v>
      </c>
      <c r="U66" s="1"/>
      <c r="V66" s="5">
        <f t="shared" si="33"/>
        <v>3.2263006024303548E-3</v>
      </c>
      <c r="W66" s="1"/>
      <c r="X66" s="1">
        <f t="shared" si="34"/>
        <v>-4940.8100000000004</v>
      </c>
      <c r="Y66" s="1"/>
      <c r="Z66" s="5">
        <f t="shared" si="35"/>
        <v>-0.95752131782945749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1000</v>
      </c>
      <c r="I67" s="2"/>
      <c r="J67" s="7">
        <f t="shared" si="29"/>
        <v>1.591203825253996E-3</v>
      </c>
      <c r="K67" s="2"/>
      <c r="L67" s="6">
        <f t="shared" si="30"/>
        <v>-1000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4000</v>
      </c>
      <c r="U67" s="2"/>
      <c r="V67" s="7">
        <f t="shared" si="33"/>
        <v>2.5010082189382593E-3</v>
      </c>
      <c r="W67" s="2"/>
      <c r="X67" s="6">
        <f t="shared" si="34"/>
        <v>-4000</v>
      </c>
      <c r="Y67" s="2"/>
      <c r="Z67" s="7">
        <f t="shared" si="35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75.69</v>
      </c>
      <c r="E68" s="2"/>
      <c r="F68" s="7">
        <f t="shared" si="28"/>
        <v>1.2233906868499029E-4</v>
      </c>
      <c r="G68" s="2"/>
      <c r="H68" s="6">
        <v>30</v>
      </c>
      <c r="I68" s="2"/>
      <c r="J68" s="7">
        <f t="shared" si="29"/>
        <v>4.7736114757619875E-5</v>
      </c>
      <c r="K68" s="2"/>
      <c r="L68" s="6">
        <f t="shared" si="30"/>
        <v>45.69</v>
      </c>
      <c r="M68" s="2"/>
      <c r="N68" s="7">
        <f t="shared" si="31"/>
        <v>1.5229999999999999</v>
      </c>
      <c r="O68" s="11"/>
      <c r="P68" s="6">
        <v>113.7</v>
      </c>
      <c r="Q68" s="2"/>
      <c r="R68" s="7">
        <f t="shared" si="32"/>
        <v>7.2830773367947406E-5</v>
      </c>
      <c r="S68" s="2"/>
      <c r="T68" s="6">
        <v>120</v>
      </c>
      <c r="U68" s="2"/>
      <c r="V68" s="7">
        <f t="shared" si="33"/>
        <v>7.5030246568147781E-5</v>
      </c>
      <c r="W68" s="2"/>
      <c r="X68" s="6">
        <f t="shared" si="34"/>
        <v>-6.2999999999999972</v>
      </c>
      <c r="Y68" s="2"/>
      <c r="Z68" s="7">
        <f t="shared" si="35"/>
        <v>-5.2499999999999977E-2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260</v>
      </c>
      <c r="I69" s="2"/>
      <c r="J69" s="7">
        <f t="shared" si="29"/>
        <v>4.1371299456603895E-4</v>
      </c>
      <c r="K69" s="2"/>
      <c r="L69" s="6">
        <f t="shared" si="30"/>
        <v>-260</v>
      </c>
      <c r="M69" s="2"/>
      <c r="N69" s="7">
        <f t="shared" si="31"/>
        <v>-1</v>
      </c>
      <c r="O69" s="11"/>
      <c r="P69" s="6">
        <v>105.49</v>
      </c>
      <c r="Q69" s="2"/>
      <c r="R69" s="7">
        <f t="shared" si="32"/>
        <v>6.7571840655978634E-5</v>
      </c>
      <c r="S69" s="2"/>
      <c r="T69" s="6">
        <v>1040</v>
      </c>
      <c r="U69" s="2"/>
      <c r="V69" s="7">
        <f t="shared" si="33"/>
        <v>6.5026213692394742E-4</v>
      </c>
      <c r="W69" s="2"/>
      <c r="X69" s="6">
        <f t="shared" si="34"/>
        <v>-934.51</v>
      </c>
      <c r="Y69" s="2"/>
      <c r="Z69" s="7">
        <f t="shared" si="35"/>
        <v>-0.89856730769230764</v>
      </c>
    </row>
    <row r="70" spans="1:26" s="26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6022.22</v>
      </c>
      <c r="E70" s="1"/>
      <c r="F70" s="5">
        <f t="shared" ref="F70:F74" si="36">IF(D$12=0,0,D70/D$12)</f>
        <v>9.7338193449084728E-3</v>
      </c>
      <c r="G70" s="1"/>
      <c r="H70" s="1">
        <f>SUM(OSRRefH22_12x_0)</f>
        <v>8347</v>
      </c>
      <c r="I70" s="1"/>
      <c r="J70" s="5">
        <f t="shared" ref="J70:J74" si="37">IF(H$12=0,0,H70/H$12)</f>
        <v>1.3281778329395104E-2</v>
      </c>
      <c r="K70" s="1"/>
      <c r="L70" s="1">
        <f t="shared" ref="L70:L74" si="38">+D70-H70</f>
        <v>-2324.7799999999997</v>
      </c>
      <c r="M70" s="1"/>
      <c r="N70" s="5">
        <f t="shared" ref="N70:N74" si="39">IF(H70=0,0,L70/H70)</f>
        <v>-0.2785168323948724</v>
      </c>
      <c r="O70" s="13"/>
      <c r="P70" s="1">
        <f>SUM(OSRRefP22_12x_0)</f>
        <v>25909.300000000003</v>
      </c>
      <c r="Q70" s="1"/>
      <c r="R70" s="5">
        <f t="shared" ref="R70:R74" si="40">IF(P$12=0,0,P70/P$12)</f>
        <v>1.6596256432912574E-2</v>
      </c>
      <c r="S70" s="1"/>
      <c r="T70" s="1">
        <f>SUM(OSRRefT22_12x_0)</f>
        <v>28588</v>
      </c>
      <c r="U70" s="1"/>
      <c r="V70" s="5">
        <f t="shared" ref="V70:V74" si="41">IF(T$12=0,0,T70/T$12)</f>
        <v>1.7874705740751739E-2</v>
      </c>
      <c r="W70" s="1"/>
      <c r="X70" s="1">
        <f t="shared" ref="X70:X74" si="42">+P70-T70</f>
        <v>-2678.6999999999971</v>
      </c>
      <c r="Y70" s="1"/>
      <c r="Z70" s="5">
        <f t="shared" ref="Z70:Z74" si="43">IF(T70=0,0,X70/T70)</f>
        <v>-9.3700153910731679E-2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6"/>
        <v>6.810191993623175E-4</v>
      </c>
      <c r="G71" s="2"/>
      <c r="H71" s="6">
        <v>430</v>
      </c>
      <c r="I71" s="2"/>
      <c r="J71" s="7">
        <f t="shared" si="37"/>
        <v>6.842176448592182E-4</v>
      </c>
      <c r="K71" s="2"/>
      <c r="L71" s="6">
        <f t="shared" si="38"/>
        <v>-8.660000000000025</v>
      </c>
      <c r="M71" s="2"/>
      <c r="N71" s="7">
        <f t="shared" si="39"/>
        <v>-2.0139534883720989E-2</v>
      </c>
      <c r="O71" s="11"/>
      <c r="P71" s="6">
        <v>1685.36</v>
      </c>
      <c r="Q71" s="2"/>
      <c r="R71" s="7">
        <f t="shared" si="40"/>
        <v>1.0795608812964276E-3</v>
      </c>
      <c r="S71" s="2"/>
      <c r="T71" s="6">
        <v>1720</v>
      </c>
      <c r="U71" s="2"/>
      <c r="V71" s="7">
        <f t="shared" si="41"/>
        <v>1.0754335341434517E-3</v>
      </c>
      <c r="W71" s="2"/>
      <c r="X71" s="6">
        <f t="shared" si="42"/>
        <v>-34.6400000000001</v>
      </c>
      <c r="Y71" s="2"/>
      <c r="Z71" s="7">
        <f t="shared" si="43"/>
        <v>-2.0139534883720989E-2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3916.67</v>
      </c>
      <c r="E73" s="2"/>
      <c r="F73" s="7">
        <f t="shared" si="36"/>
        <v>6.3305821131779761E-3</v>
      </c>
      <c r="G73" s="2"/>
      <c r="H73" s="6">
        <v>6317</v>
      </c>
      <c r="I73" s="2"/>
      <c r="J73" s="7">
        <f t="shared" si="37"/>
        <v>1.0051634564129492E-2</v>
      </c>
      <c r="K73" s="2"/>
      <c r="L73" s="6">
        <f t="shared" si="38"/>
        <v>-2400.33</v>
      </c>
      <c r="M73" s="2"/>
      <c r="N73" s="7">
        <f t="shared" si="39"/>
        <v>-0.37997942061104956</v>
      </c>
      <c r="O73" s="11"/>
      <c r="P73" s="6">
        <v>18321.18</v>
      </c>
      <c r="Q73" s="2"/>
      <c r="R73" s="7">
        <f t="shared" si="40"/>
        <v>1.1735670258692793E-2</v>
      </c>
      <c r="S73" s="2"/>
      <c r="T73" s="6">
        <v>20468</v>
      </c>
      <c r="U73" s="2"/>
      <c r="V73" s="7">
        <f t="shared" si="41"/>
        <v>1.2797659056307073E-2</v>
      </c>
      <c r="W73" s="2"/>
      <c r="X73" s="6">
        <f t="shared" si="42"/>
        <v>-2146.8199999999997</v>
      </c>
      <c r="Y73" s="2"/>
      <c r="Z73" s="7">
        <f t="shared" si="43"/>
        <v>-0.10488665233535273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>
        <v>1684.21</v>
      </c>
      <c r="E74" s="2"/>
      <c r="F74" s="7">
        <f t="shared" si="36"/>
        <v>2.7222180323681795E-3</v>
      </c>
      <c r="G74" s="2"/>
      <c r="H74" s="6">
        <v>1600</v>
      </c>
      <c r="I74" s="2"/>
      <c r="J74" s="7">
        <f t="shared" si="37"/>
        <v>2.5459261204063936E-3</v>
      </c>
      <c r="K74" s="2"/>
      <c r="L74" s="6">
        <f t="shared" si="38"/>
        <v>84.210000000000036</v>
      </c>
      <c r="M74" s="2"/>
      <c r="N74" s="7">
        <f t="shared" si="39"/>
        <v>5.2631250000000025E-2</v>
      </c>
      <c r="O74" s="11"/>
      <c r="P74" s="6">
        <v>5902.76</v>
      </c>
      <c r="Q74" s="2"/>
      <c r="R74" s="7">
        <f t="shared" si="40"/>
        <v>3.781025292923353E-3</v>
      </c>
      <c r="S74" s="2"/>
      <c r="T74" s="6">
        <v>6400</v>
      </c>
      <c r="U74" s="2"/>
      <c r="V74" s="7">
        <f t="shared" si="41"/>
        <v>4.0016131503012153E-3</v>
      </c>
      <c r="W74" s="2"/>
      <c r="X74" s="6">
        <f t="shared" si="42"/>
        <v>-497.23999999999978</v>
      </c>
      <c r="Y74" s="2"/>
      <c r="Z74" s="7">
        <f t="shared" si="43"/>
        <v>-7.7693749999999964E-2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14345.55</v>
      </c>
      <c r="E75" s="1"/>
      <c r="F75" s="5">
        <f t="shared" ref="F75:F83" si="44">IF(D$12=0,0,D75/D$12)</f>
        <v>2.3186962964380532E-2</v>
      </c>
      <c r="G75" s="1"/>
      <c r="H75" s="1">
        <f>SUM(OSRRefH22_13x_0)</f>
        <v>10880</v>
      </c>
      <c r="I75" s="1"/>
      <c r="J75" s="5">
        <f t="shared" ref="J75:J83" si="45">IF(H$12=0,0,H75/H$12)</f>
        <v>1.7312297618763475E-2</v>
      </c>
      <c r="K75" s="1"/>
      <c r="L75" s="1">
        <f t="shared" ref="L75:L83" si="46">+D75-H75</f>
        <v>3465.5499999999993</v>
      </c>
      <c r="M75" s="1"/>
      <c r="N75" s="5">
        <f t="shared" ref="N75:N83" si="47">IF(H75=0,0,L75/H75)</f>
        <v>0.31852481617647055</v>
      </c>
      <c r="O75" s="13"/>
      <c r="P75" s="1">
        <f>SUM(OSRRefP22_13x_0)</f>
        <v>45064.480000000003</v>
      </c>
      <c r="Q75" s="1"/>
      <c r="R75" s="5">
        <f t="shared" ref="R75:R83" si="48">IF(P$12=0,0,P75/P$12)</f>
        <v>2.8866147140056277E-2</v>
      </c>
      <c r="S75" s="1"/>
      <c r="T75" s="1">
        <f>SUM(OSRRefT22_13x_0)</f>
        <v>41520</v>
      </c>
      <c r="U75" s="1"/>
      <c r="V75" s="5">
        <f t="shared" ref="V75:V83" si="49">IF(T$12=0,0,T75/T$12)</f>
        <v>2.5960465312579135E-2</v>
      </c>
      <c r="W75" s="1"/>
      <c r="X75" s="1">
        <f t="shared" ref="X75:X83" si="50">+P75-T75</f>
        <v>3544.4800000000032</v>
      </c>
      <c r="Y75" s="1"/>
      <c r="Z75" s="5">
        <f t="shared" ref="Z75:Z83" si="51">IF(T75=0,0,X75/T75)</f>
        <v>8.5368015414258272E-2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>
        <v>100</v>
      </c>
      <c r="E76" s="2"/>
      <c r="F76" s="7">
        <f t="shared" si="44"/>
        <v>1.6163174618178135E-4</v>
      </c>
      <c r="G76" s="2"/>
      <c r="H76" s="6"/>
      <c r="I76" s="2"/>
      <c r="J76" s="7">
        <f t="shared" si="45"/>
        <v>0</v>
      </c>
      <c r="K76" s="2"/>
      <c r="L76" s="6">
        <f t="shared" si="46"/>
        <v>100</v>
      </c>
      <c r="M76" s="2"/>
      <c r="N76" s="7">
        <f t="shared" si="47"/>
        <v>0</v>
      </c>
      <c r="O76" s="11"/>
      <c r="P76" s="6">
        <v>100</v>
      </c>
      <c r="Q76" s="2"/>
      <c r="R76" s="7">
        <f t="shared" si="48"/>
        <v>6.4055209646391727E-5</v>
      </c>
      <c r="S76" s="2"/>
      <c r="T76" s="6"/>
      <c r="U76" s="2"/>
      <c r="V76" s="7">
        <f t="shared" si="49"/>
        <v>0</v>
      </c>
      <c r="W76" s="2"/>
      <c r="X76" s="6">
        <f t="shared" si="50"/>
        <v>100</v>
      </c>
      <c r="Y76" s="2"/>
      <c r="Z76" s="7">
        <f t="shared" si="51"/>
        <v>0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6851.72</v>
      </c>
      <c r="E77" s="2"/>
      <c r="F77" s="7">
        <f t="shared" si="44"/>
        <v>1.1074554679486349E-2</v>
      </c>
      <c r="G77" s="2"/>
      <c r="H77" s="6">
        <v>4000</v>
      </c>
      <c r="I77" s="2"/>
      <c r="J77" s="7">
        <f t="shared" si="45"/>
        <v>6.3648153010159841E-3</v>
      </c>
      <c r="K77" s="2"/>
      <c r="L77" s="6">
        <f t="shared" si="46"/>
        <v>2851.7200000000003</v>
      </c>
      <c r="M77" s="2"/>
      <c r="N77" s="7">
        <f t="shared" si="47"/>
        <v>0.71293000000000006</v>
      </c>
      <c r="O77" s="11"/>
      <c r="P77" s="6">
        <v>17515.79</v>
      </c>
      <c r="Q77" s="2"/>
      <c r="R77" s="7">
        <f t="shared" si="48"/>
        <v>1.1219776005721719E-2</v>
      </c>
      <c r="S77" s="2"/>
      <c r="T77" s="6">
        <v>16000</v>
      </c>
      <c r="U77" s="2"/>
      <c r="V77" s="7">
        <f t="shared" si="49"/>
        <v>1.0004032875753037E-2</v>
      </c>
      <c r="W77" s="2"/>
      <c r="X77" s="6">
        <f t="shared" si="50"/>
        <v>1515.7900000000009</v>
      </c>
      <c r="Y77" s="2"/>
      <c r="Z77" s="7">
        <f t="shared" si="51"/>
        <v>9.4736875000000054E-2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>
        <v>3086.82</v>
      </c>
      <c r="E78" s="2"/>
      <c r="F78" s="7">
        <f t="shared" si="44"/>
        <v>4.9892810674884635E-3</v>
      </c>
      <c r="G78" s="2"/>
      <c r="H78" s="6">
        <v>3000</v>
      </c>
      <c r="I78" s="2"/>
      <c r="J78" s="7">
        <f t="shared" si="45"/>
        <v>4.7736114757619876E-3</v>
      </c>
      <c r="K78" s="2"/>
      <c r="L78" s="6">
        <f t="shared" si="46"/>
        <v>86.820000000000164</v>
      </c>
      <c r="M78" s="2"/>
      <c r="N78" s="7">
        <f t="shared" si="47"/>
        <v>2.8940000000000056E-2</v>
      </c>
      <c r="O78" s="11"/>
      <c r="P78" s="6">
        <v>13900.02</v>
      </c>
      <c r="Q78" s="2"/>
      <c r="R78" s="7">
        <f t="shared" si="48"/>
        <v>8.90368695189038E-3</v>
      </c>
      <c r="S78" s="2"/>
      <c r="T78" s="6">
        <v>10000</v>
      </c>
      <c r="U78" s="2"/>
      <c r="V78" s="7">
        <f t="shared" si="49"/>
        <v>6.252520547345649E-3</v>
      </c>
      <c r="W78" s="2"/>
      <c r="X78" s="6">
        <f t="shared" si="50"/>
        <v>3900.0200000000004</v>
      </c>
      <c r="Y78" s="2"/>
      <c r="Z78" s="7">
        <f t="shared" si="51"/>
        <v>0.39000200000000007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328.89</v>
      </c>
      <c r="E79" s="2"/>
      <c r="F79" s="7">
        <f t="shared" si="44"/>
        <v>5.3159065001726069E-4</v>
      </c>
      <c r="G79" s="2"/>
      <c r="H79" s="6">
        <v>305</v>
      </c>
      <c r="I79" s="2"/>
      <c r="J79" s="7">
        <f t="shared" si="45"/>
        <v>4.8531716670246875E-4</v>
      </c>
      <c r="K79" s="2"/>
      <c r="L79" s="6">
        <f t="shared" si="46"/>
        <v>23.889999999999986</v>
      </c>
      <c r="M79" s="2"/>
      <c r="N79" s="7">
        <f t="shared" si="47"/>
        <v>7.8327868852458973E-2</v>
      </c>
      <c r="O79" s="11"/>
      <c r="P79" s="6">
        <v>1309.46</v>
      </c>
      <c r="Q79" s="2"/>
      <c r="R79" s="7">
        <f t="shared" si="48"/>
        <v>8.3877734823564125E-4</v>
      </c>
      <c r="S79" s="2"/>
      <c r="T79" s="6">
        <v>1220</v>
      </c>
      <c r="U79" s="2"/>
      <c r="V79" s="7">
        <f t="shared" si="49"/>
        <v>7.628075067761691E-4</v>
      </c>
      <c r="W79" s="2"/>
      <c r="X79" s="6">
        <f t="shared" si="50"/>
        <v>89.460000000000036</v>
      </c>
      <c r="Y79" s="2"/>
      <c r="Z79" s="7">
        <f t="shared" si="51"/>
        <v>7.3327868852459052E-2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>
        <v>3978.12</v>
      </c>
      <c r="E80" s="2"/>
      <c r="F80" s="7">
        <f t="shared" si="44"/>
        <v>6.4299048212066801E-3</v>
      </c>
      <c r="G80" s="2"/>
      <c r="H80" s="6">
        <v>3200</v>
      </c>
      <c r="I80" s="2"/>
      <c r="J80" s="7">
        <f t="shared" si="45"/>
        <v>5.0918522408127873E-3</v>
      </c>
      <c r="K80" s="2"/>
      <c r="L80" s="6">
        <f t="shared" si="46"/>
        <v>778.11999999999989</v>
      </c>
      <c r="M80" s="2"/>
      <c r="N80" s="7">
        <f t="shared" si="47"/>
        <v>0.24316249999999998</v>
      </c>
      <c r="O80" s="11"/>
      <c r="P80" s="6">
        <v>10376.49</v>
      </c>
      <c r="Q80" s="2"/>
      <c r="R80" s="7">
        <f t="shared" si="48"/>
        <v>6.6466824234368733E-3</v>
      </c>
      <c r="S80" s="2"/>
      <c r="T80" s="6">
        <v>12800</v>
      </c>
      <c r="U80" s="2"/>
      <c r="V80" s="7">
        <f t="shared" si="49"/>
        <v>8.0032263006024305E-3</v>
      </c>
      <c r="W80" s="2"/>
      <c r="X80" s="6">
        <f t="shared" si="50"/>
        <v>-2423.5100000000002</v>
      </c>
      <c r="Y80" s="2"/>
      <c r="Z80" s="7">
        <f t="shared" si="51"/>
        <v>-0.18933671875000002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441</v>
      </c>
      <c r="Q81" s="2"/>
      <c r="R81" s="7">
        <f t="shared" si="48"/>
        <v>2.8248347454058753E-4</v>
      </c>
      <c r="S81" s="2"/>
      <c r="T81" s="6"/>
      <c r="U81" s="2"/>
      <c r="V81" s="7">
        <f t="shared" si="49"/>
        <v>0</v>
      </c>
      <c r="W81" s="2"/>
      <c r="X81" s="6">
        <f t="shared" si="50"/>
        <v>441</v>
      </c>
      <c r="Y81" s="2"/>
      <c r="Z81" s="7">
        <f t="shared" si="51"/>
        <v>0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153.87</v>
      </c>
      <c r="Q82" s="2"/>
      <c r="R82" s="7">
        <f t="shared" si="48"/>
        <v>9.8561751082902965E-5</v>
      </c>
      <c r="S82" s="2"/>
      <c r="T82" s="6"/>
      <c r="U82" s="2"/>
      <c r="V82" s="7">
        <f t="shared" si="49"/>
        <v>0</v>
      </c>
      <c r="W82" s="2"/>
      <c r="X82" s="6">
        <f t="shared" si="50"/>
        <v>153.87</v>
      </c>
      <c r="Y82" s="2"/>
      <c r="Z82" s="7">
        <f t="shared" si="51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>
        <v>375</v>
      </c>
      <c r="I83" s="2"/>
      <c r="J83" s="7">
        <f t="shared" si="45"/>
        <v>5.9670143447024845E-4</v>
      </c>
      <c r="K83" s="2"/>
      <c r="L83" s="6">
        <f t="shared" si="46"/>
        <v>-375</v>
      </c>
      <c r="M83" s="2"/>
      <c r="N83" s="7">
        <f t="shared" si="47"/>
        <v>-1</v>
      </c>
      <c r="O83" s="11"/>
      <c r="P83" s="6">
        <v>1267.8499999999999</v>
      </c>
      <c r="Q83" s="2"/>
      <c r="R83" s="7">
        <f t="shared" si="48"/>
        <v>8.1212397550177754E-4</v>
      </c>
      <c r="S83" s="2"/>
      <c r="T83" s="6">
        <v>1500</v>
      </c>
      <c r="U83" s="2"/>
      <c r="V83" s="7">
        <f t="shared" si="49"/>
        <v>9.378780821018473E-4</v>
      </c>
      <c r="W83" s="2"/>
      <c r="X83" s="6">
        <f t="shared" si="50"/>
        <v>-232.15000000000009</v>
      </c>
      <c r="Y83" s="2"/>
      <c r="Z83" s="7">
        <f t="shared" si="51"/>
        <v>-0.15476666666666672</v>
      </c>
    </row>
    <row r="84" spans="1:26" s="26" customFormat="1" outlineLevel="1" collapsed="1" x14ac:dyDescent="0.25">
      <c r="A84" s="25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312</v>
      </c>
      <c r="E84" s="1"/>
      <c r="F84" s="5">
        <f t="shared" ref="F84:F89" si="52">IF(D$12=0,0,D84/D$12)</f>
        <v>5.0429104808715776E-4</v>
      </c>
      <c r="G84" s="1"/>
      <c r="H84" s="1">
        <f>SUM(OSRRefH22_14x_0)</f>
        <v>275</v>
      </c>
      <c r="I84" s="1"/>
      <c r="J84" s="5">
        <f t="shared" ref="J84:J89" si="53">IF(H$12=0,0,H84/H$12)</f>
        <v>4.3758105194484885E-4</v>
      </c>
      <c r="K84" s="1"/>
      <c r="L84" s="1">
        <f t="shared" ref="L84:L89" si="54">+D84-H84</f>
        <v>37</v>
      </c>
      <c r="M84" s="1"/>
      <c r="N84" s="5">
        <f t="shared" ref="N84:N89" si="55">IF(H84=0,0,L84/H84)</f>
        <v>0.13454545454545455</v>
      </c>
      <c r="O84" s="13"/>
      <c r="P84" s="1">
        <f>SUM(OSRRefP22_14x_0)</f>
        <v>1342.45</v>
      </c>
      <c r="Q84" s="1"/>
      <c r="R84" s="5">
        <f t="shared" ref="R84:R89" si="56">IF(P$12=0,0,P84/P$12)</f>
        <v>8.5990916189798586E-4</v>
      </c>
      <c r="S84" s="1"/>
      <c r="T84" s="1">
        <f>SUM(OSRRefT22_14x_0)</f>
        <v>1100</v>
      </c>
      <c r="U84" s="1"/>
      <c r="V84" s="5">
        <f t="shared" ref="V84:V89" si="57">IF(T$12=0,0,T84/T$12)</f>
        <v>6.8777726020802135E-4</v>
      </c>
      <c r="W84" s="1"/>
      <c r="X84" s="1">
        <f t="shared" ref="X84:X89" si="58">+P84-T84</f>
        <v>242.45000000000005</v>
      </c>
      <c r="Y84" s="1"/>
      <c r="Z84" s="5">
        <f t="shared" ref="Z84:Z89" si="59">IF(T84=0,0,X84/T84)</f>
        <v>0.22040909090909094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312</v>
      </c>
      <c r="E85" s="2"/>
      <c r="F85" s="7">
        <f t="shared" si="52"/>
        <v>5.0429104808715776E-4</v>
      </c>
      <c r="G85" s="2"/>
      <c r="H85" s="6">
        <v>275</v>
      </c>
      <c r="I85" s="2"/>
      <c r="J85" s="7">
        <f t="shared" si="53"/>
        <v>4.3758105194484885E-4</v>
      </c>
      <c r="K85" s="2"/>
      <c r="L85" s="6">
        <f t="shared" si="54"/>
        <v>37</v>
      </c>
      <c r="M85" s="2"/>
      <c r="N85" s="7">
        <f t="shared" si="55"/>
        <v>0.13454545454545455</v>
      </c>
      <c r="O85" s="11"/>
      <c r="P85" s="6">
        <v>1342.45</v>
      </c>
      <c r="Q85" s="2"/>
      <c r="R85" s="7">
        <f t="shared" si="56"/>
        <v>8.5990916189798586E-4</v>
      </c>
      <c r="S85" s="2"/>
      <c r="T85" s="6">
        <v>1100</v>
      </c>
      <c r="U85" s="2"/>
      <c r="V85" s="7">
        <f t="shared" si="57"/>
        <v>6.8777726020802135E-4</v>
      </c>
      <c r="W85" s="2"/>
      <c r="X85" s="6">
        <f t="shared" si="58"/>
        <v>242.45000000000005</v>
      </c>
      <c r="Y85" s="2"/>
      <c r="Z85" s="7">
        <f t="shared" si="59"/>
        <v>0.22040909090909094</v>
      </c>
    </row>
    <row r="86" spans="1:26" s="26" customFormat="1" outlineLevel="1" collapsed="1" x14ac:dyDescent="0.25">
      <c r="A86" s="25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48</v>
      </c>
      <c r="E86" s="1"/>
      <c r="F86" s="5">
        <f t="shared" si="52"/>
        <v>7.7583238167255048E-5</v>
      </c>
      <c r="G86" s="1"/>
      <c r="H86" s="1">
        <f>SUM(OSRRefH22_15x_0)</f>
        <v>700</v>
      </c>
      <c r="I86" s="1"/>
      <c r="J86" s="5">
        <f t="shared" si="53"/>
        <v>1.1138426776777972E-3</v>
      </c>
      <c r="K86" s="1"/>
      <c r="L86" s="1">
        <f t="shared" si="54"/>
        <v>-652</v>
      </c>
      <c r="M86" s="1"/>
      <c r="N86" s="5">
        <f t="shared" si="55"/>
        <v>-0.93142857142857138</v>
      </c>
      <c r="O86" s="13"/>
      <c r="P86" s="1">
        <f>SUM(OSRRefP22_15x_0)</f>
        <v>638</v>
      </c>
      <c r="Q86" s="1"/>
      <c r="R86" s="5">
        <f t="shared" si="56"/>
        <v>4.0867223754397929E-4</v>
      </c>
      <c r="S86" s="1"/>
      <c r="T86" s="1">
        <f>SUM(OSRRefT22_15x_0)</f>
        <v>2800</v>
      </c>
      <c r="U86" s="1"/>
      <c r="V86" s="5">
        <f t="shared" si="57"/>
        <v>1.7507057532567816E-3</v>
      </c>
      <c r="W86" s="1"/>
      <c r="X86" s="1">
        <f t="shared" si="58"/>
        <v>-2162</v>
      </c>
      <c r="Y86" s="1"/>
      <c r="Z86" s="5">
        <f t="shared" si="59"/>
        <v>-0.77214285714285713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>
        <v>48</v>
      </c>
      <c r="E87" s="2"/>
      <c r="F87" s="7">
        <f t="shared" si="52"/>
        <v>7.7583238167255048E-5</v>
      </c>
      <c r="G87" s="2"/>
      <c r="H87" s="6">
        <v>700</v>
      </c>
      <c r="I87" s="2"/>
      <c r="J87" s="7">
        <f t="shared" si="53"/>
        <v>1.1138426776777972E-3</v>
      </c>
      <c r="K87" s="2"/>
      <c r="L87" s="6">
        <f t="shared" si="54"/>
        <v>-652</v>
      </c>
      <c r="M87" s="2"/>
      <c r="N87" s="7">
        <f t="shared" si="55"/>
        <v>-0.93142857142857138</v>
      </c>
      <c r="O87" s="11"/>
      <c r="P87" s="6">
        <v>638</v>
      </c>
      <c r="Q87" s="2"/>
      <c r="R87" s="7">
        <f t="shared" si="56"/>
        <v>4.0867223754397929E-4</v>
      </c>
      <c r="S87" s="2"/>
      <c r="T87" s="6">
        <v>2800</v>
      </c>
      <c r="U87" s="2"/>
      <c r="V87" s="7">
        <f t="shared" si="57"/>
        <v>1.7507057532567816E-3</v>
      </c>
      <c r="W87" s="2"/>
      <c r="X87" s="6">
        <f t="shared" si="58"/>
        <v>-2162</v>
      </c>
      <c r="Y87" s="2"/>
      <c r="Z87" s="7">
        <f t="shared" si="59"/>
        <v>-0.77214285714285713</v>
      </c>
    </row>
    <row r="88" spans="1:26" s="26" customFormat="1" outlineLevel="1" collapsed="1" x14ac:dyDescent="0.25">
      <c r="A88" s="25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267.27999999999997</v>
      </c>
      <c r="E88" s="1"/>
      <c r="F88" s="5">
        <f t="shared" si="52"/>
        <v>4.3200933119466513E-4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267.27999999999997</v>
      </c>
      <c r="M88" s="1"/>
      <c r="N88" s="5">
        <f t="shared" si="55"/>
        <v>0</v>
      </c>
      <c r="O88" s="13"/>
      <c r="P88" s="1">
        <f>SUM(OSRRefP22_16x_0)</f>
        <v>326.42</v>
      </c>
      <c r="Q88" s="1"/>
      <c r="R88" s="5">
        <f t="shared" si="56"/>
        <v>2.090890153277519E-4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326.42</v>
      </c>
      <c r="Y88" s="1"/>
      <c r="Z88" s="5">
        <f t="shared" si="59"/>
        <v>0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>
        <v>267.27999999999997</v>
      </c>
      <c r="E89" s="2"/>
      <c r="F89" s="7">
        <f t="shared" si="52"/>
        <v>4.3200933119466513E-4</v>
      </c>
      <c r="G89" s="2"/>
      <c r="H89" s="6"/>
      <c r="I89" s="2"/>
      <c r="J89" s="7">
        <f t="shared" si="53"/>
        <v>0</v>
      </c>
      <c r="K89" s="2"/>
      <c r="L89" s="6">
        <f t="shared" si="54"/>
        <v>267.27999999999997</v>
      </c>
      <c r="M89" s="2"/>
      <c r="N89" s="7">
        <f t="shared" si="55"/>
        <v>0</v>
      </c>
      <c r="O89" s="11"/>
      <c r="P89" s="6">
        <v>326.42</v>
      </c>
      <c r="Q89" s="2"/>
      <c r="R89" s="7">
        <f t="shared" si="56"/>
        <v>2.090890153277519E-4</v>
      </c>
      <c r="S89" s="2"/>
      <c r="T89" s="6"/>
      <c r="U89" s="2"/>
      <c r="V89" s="7">
        <f t="shared" si="57"/>
        <v>0</v>
      </c>
      <c r="W89" s="2"/>
      <c r="X89" s="6">
        <f t="shared" si="58"/>
        <v>326.42</v>
      </c>
      <c r="Y89" s="2"/>
      <c r="Z89" s="7">
        <f t="shared" si="59"/>
        <v>0</v>
      </c>
    </row>
    <row r="90" spans="1:26" s="61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2">
        <f>+D23-D25+D91</f>
        <v>218103.56999999992</v>
      </c>
      <c r="E93" s="14"/>
      <c r="F93" s="20">
        <f>IF(D$12=0,0,D93/D$12)</f>
        <v>0.35252460867580371</v>
      </c>
      <c r="G93" s="14"/>
      <c r="H93" s="22">
        <f>+H23-H25+H91</f>
        <v>220182.57673601925</v>
      </c>
      <c r="I93" s="14"/>
      <c r="J93" s="20">
        <f>IF(H$12=0,0,H93/H$12)</f>
        <v>0.35035535835663534</v>
      </c>
      <c r="K93" s="16"/>
      <c r="L93" s="22">
        <f>+D93-H93</f>
        <v>-2079.0067360193352</v>
      </c>
      <c r="M93" s="16"/>
      <c r="N93" s="20">
        <f>IF(H93=0,0,L93/H93)</f>
        <v>-9.442194595224003E-3</v>
      </c>
      <c r="O93" s="29"/>
      <c r="P93" s="22">
        <f>+P23-P25+P91</f>
        <v>407734.52000000025</v>
      </c>
      <c r="Q93" s="14"/>
      <c r="R93" s="20">
        <f>IF(P$12=0,0,P93/P$12)</f>
        <v>0.2611752015867092</v>
      </c>
      <c r="S93" s="14"/>
      <c r="T93" s="22">
        <f>+T23-T25+T91</f>
        <v>371238.21233282925</v>
      </c>
      <c r="U93" s="14"/>
      <c r="V93" s="20">
        <f>IF(T$12=0,0,T93/T$12)</f>
        <v>0.23211745505708817</v>
      </c>
      <c r="W93" s="16"/>
      <c r="X93" s="22">
        <f>+P93-T93</f>
        <v>36496.307667171001</v>
      </c>
      <c r="Y93" s="16"/>
      <c r="Z93" s="20">
        <f>IF(T93=0,0,X93/T93)</f>
        <v>9.830967409801733E-2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55916.68</v>
      </c>
      <c r="E95" s="4"/>
      <c r="F95" s="12">
        <f>IF(D$12=0,0,D95/D$12)</f>
        <v>9.0379106290878891E-2</v>
      </c>
      <c r="G95" s="4"/>
      <c r="H95" s="4">
        <v>69796</v>
      </c>
      <c r="I95" s="4"/>
      <c r="J95" s="12">
        <f>IF(H$12=0,0,H95/H$12)</f>
        <v>0.1110596621874279</v>
      </c>
      <c r="K95" s="4"/>
      <c r="L95" s="4">
        <f>+D95-H95</f>
        <v>-13879.32</v>
      </c>
      <c r="M95" s="4"/>
      <c r="N95" s="12">
        <f>IF(H95=0,0,L95/H95)</f>
        <v>-0.19885552180640723</v>
      </c>
      <c r="O95" s="10"/>
      <c r="P95" s="4">
        <v>157149.69</v>
      </c>
      <c r="Q95" s="4"/>
      <c r="R95" s="12">
        <f>IF(P$12=0,0,P95/P$12)</f>
        <v>0.10066256338815471</v>
      </c>
      <c r="S95" s="4"/>
      <c r="T95" s="4">
        <v>192601</v>
      </c>
      <c r="U95" s="4"/>
      <c r="V95" s="12">
        <f>IF(T$12=0,0,T95/T$12)</f>
        <v>0.12042417099393193</v>
      </c>
      <c r="W95" s="4"/>
      <c r="X95" s="4">
        <f>+P95-T95</f>
        <v>-35451.31</v>
      </c>
      <c r="Y95" s="4"/>
      <c r="Z95" s="12">
        <f>IF(T95=0,0,X95/T95)</f>
        <v>-0.18406607442328959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1">
        <f>+D93-D95</f>
        <v>162186.88999999993</v>
      </c>
      <c r="E97" s="14"/>
      <c r="F97" s="33">
        <f>IF(D$12=0,0,D97/D$12)</f>
        <v>0.26214550238492479</v>
      </c>
      <c r="G97" s="14"/>
      <c r="H97" s="31">
        <f>+H93-H95</f>
        <v>150386.57673601925</v>
      </c>
      <c r="I97" s="14"/>
      <c r="J97" s="33">
        <f>IF(H$12=0,0,H97/H$12)</f>
        <v>0.23929569616920743</v>
      </c>
      <c r="K97" s="16"/>
      <c r="L97" s="31">
        <f>D97-H97</f>
        <v>11800.313263980672</v>
      </c>
      <c r="M97" s="16"/>
      <c r="N97" s="33">
        <f>IF(H97=0,0,L97/H97)</f>
        <v>7.8466532852159571E-2</v>
      </c>
      <c r="O97" s="29"/>
      <c r="P97" s="31">
        <f>+P93-P95</f>
        <v>250584.83000000025</v>
      </c>
      <c r="Q97" s="14"/>
      <c r="R97" s="33">
        <f>IF(P$12=0,0,P97/P$12)</f>
        <v>0.16051263819855449</v>
      </c>
      <c r="S97" s="14"/>
      <c r="T97" s="31">
        <f>+T93-T95</f>
        <v>178637.21233282925</v>
      </c>
      <c r="U97" s="14"/>
      <c r="V97" s="33">
        <f>IF(T$12=0,0,T97/T$12)</f>
        <v>0.11169328406315625</v>
      </c>
      <c r="W97" s="16"/>
      <c r="X97" s="31">
        <f>P97-T97</f>
        <v>71947.617667170998</v>
      </c>
      <c r="Y97" s="16"/>
      <c r="Z97" s="33">
        <f>IF(T97=0,0,X97/T97)</f>
        <v>0.40275828718778517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2">
        <f>SUM(D97:D99)</f>
        <v>162186.88999999993</v>
      </c>
      <c r="E100" s="14"/>
      <c r="F100" s="34">
        <f>IF(D$12=0,0,D100/D$12)</f>
        <v>0.26214550238492479</v>
      </c>
      <c r="G100" s="14"/>
      <c r="H100" s="32">
        <f>SUM(H97:H99)</f>
        <v>150386.57673601925</v>
      </c>
      <c r="I100" s="14"/>
      <c r="J100" s="34">
        <f>IF(H$12=0,0,H100/H$12)</f>
        <v>0.23929569616920743</v>
      </c>
      <c r="K100" s="16"/>
      <c r="L100" s="32">
        <f>+D100-H100</f>
        <v>11800.313263980672</v>
      </c>
      <c r="M100" s="16"/>
      <c r="N100" s="34">
        <f>IF(H100=0,0,L100/H100)</f>
        <v>7.8466532852159571E-2</v>
      </c>
      <c r="O100" s="29"/>
      <c r="P100" s="32">
        <f>SUM(P97:P99)</f>
        <v>250584.83000000025</v>
      </c>
      <c r="Q100" s="14"/>
      <c r="R100" s="34">
        <f>IF(P$12=0,0,P100/P$12)</f>
        <v>0.16051263819855449</v>
      </c>
      <c r="S100" s="14"/>
      <c r="T100" s="32">
        <f>SUM(T97:T99)</f>
        <v>178637.21233282925</v>
      </c>
      <c r="U100" s="14"/>
      <c r="V100" s="34">
        <f>IF(T$12=0,0,T100/T$12)</f>
        <v>0.11169328406315625</v>
      </c>
      <c r="W100" s="16"/>
      <c r="X100" s="32">
        <f>+P100-T100</f>
        <v>71947.617667170998</v>
      </c>
      <c r="Y100" s="16"/>
      <c r="Z100" s="34">
        <f>IF(T100=0,0,X100/T100)</f>
        <v>0.40275828718778517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0">
        <v>43791.348712997686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4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5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393945.38999999996</v>
      </c>
      <c r="E12" s="4"/>
      <c r="F12" s="12"/>
      <c r="G12" s="4"/>
      <c r="H12" s="4">
        <f>SUM(OSRRefH13x_0)</f>
        <v>393085</v>
      </c>
      <c r="I12" s="4"/>
      <c r="J12" s="12"/>
      <c r="K12" s="4"/>
      <c r="L12" s="4">
        <f t="shared" ref="L12:L16" si="0">+D12-H12</f>
        <v>860.38999999995576</v>
      </c>
      <c r="M12" s="4"/>
      <c r="N12" s="12">
        <f t="shared" ref="N12:N16" si="1">IF(H12=0,0,L12/H12)</f>
        <v>2.1888141241715041E-3</v>
      </c>
      <c r="O12" s="10"/>
      <c r="P12" s="4">
        <f>SUM(OSRRefP13x_0)</f>
        <v>860039.2300000001</v>
      </c>
      <c r="Q12" s="4"/>
      <c r="R12" s="12"/>
      <c r="S12" s="4"/>
      <c r="T12" s="4">
        <f>SUM(OSRRefT13x_0)</f>
        <v>786170</v>
      </c>
      <c r="U12" s="4"/>
      <c r="V12" s="12"/>
      <c r="W12" s="4"/>
      <c r="X12" s="4">
        <f t="shared" ref="X12:X16" si="2">+P12-T12</f>
        <v>73869.230000000098</v>
      </c>
      <c r="Y12" s="4"/>
      <c r="Z12" s="12">
        <f t="shared" ref="Z12:Z16" si="3">IF(T12=0,0,X12/T12)</f>
        <v>9.3960886322296835E-2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--13.66</f>
        <v>13.66</v>
      </c>
      <c r="E13" s="2"/>
      <c r="F13" s="19"/>
      <c r="G13" s="2"/>
      <c r="H13" s="2"/>
      <c r="I13" s="2"/>
      <c r="J13" s="19"/>
      <c r="K13" s="2"/>
      <c r="L13" s="2">
        <f t="shared" si="0"/>
        <v>13.66</v>
      </c>
      <c r="M13" s="2"/>
      <c r="N13" s="19">
        <f t="shared" si="1"/>
        <v>0</v>
      </c>
      <c r="O13" s="11"/>
      <c r="P13" s="2">
        <f>--82.55</f>
        <v>82.55</v>
      </c>
      <c r="Q13" s="2"/>
      <c r="R13" s="19"/>
      <c r="S13" s="2"/>
      <c r="T13" s="2"/>
      <c r="U13" s="2"/>
      <c r="V13" s="19"/>
      <c r="W13" s="2"/>
      <c r="X13" s="2">
        <f t="shared" si="2"/>
        <v>82.55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393085</v>
      </c>
      <c r="I14" s="2"/>
      <c r="J14" s="19"/>
      <c r="K14" s="2"/>
      <c r="L14" s="2">
        <f t="shared" si="0"/>
        <v>-393085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786170</v>
      </c>
      <c r="U14" s="2"/>
      <c r="V14" s="19"/>
      <c r="W14" s="2"/>
      <c r="X14" s="2">
        <f t="shared" si="2"/>
        <v>-786170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--392312.79</f>
        <v>392312.79</v>
      </c>
      <c r="E15" s="2"/>
      <c r="F15" s="19"/>
      <c r="G15" s="2"/>
      <c r="H15" s="2"/>
      <c r="I15" s="2"/>
      <c r="J15" s="19"/>
      <c r="K15" s="2"/>
      <c r="L15" s="2">
        <f t="shared" si="0"/>
        <v>392312.79</v>
      </c>
      <c r="M15" s="2"/>
      <c r="N15" s="19">
        <f t="shared" si="1"/>
        <v>0</v>
      </c>
      <c r="O15" s="11"/>
      <c r="P15" s="2">
        <f>--856252.87</f>
        <v>856252.87</v>
      </c>
      <c r="Q15" s="2"/>
      <c r="R15" s="19"/>
      <c r="S15" s="2"/>
      <c r="T15" s="2"/>
      <c r="U15" s="2"/>
      <c r="V15" s="19"/>
      <c r="W15" s="2"/>
      <c r="X15" s="2">
        <f t="shared" si="2"/>
        <v>856252.87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--1618.94</f>
        <v>1618.94</v>
      </c>
      <c r="E16" s="2"/>
      <c r="F16" s="19"/>
      <c r="G16" s="2"/>
      <c r="H16" s="2"/>
      <c r="I16" s="2"/>
      <c r="J16" s="19"/>
      <c r="K16" s="2"/>
      <c r="L16" s="2">
        <f t="shared" si="0"/>
        <v>1618.94</v>
      </c>
      <c r="M16" s="2"/>
      <c r="N16" s="19">
        <f t="shared" si="1"/>
        <v>0</v>
      </c>
      <c r="O16" s="11"/>
      <c r="P16" s="2">
        <f>--3703.81</f>
        <v>3703.81</v>
      </c>
      <c r="Q16" s="2"/>
      <c r="R16" s="19"/>
      <c r="S16" s="2"/>
      <c r="T16" s="2"/>
      <c r="U16" s="2"/>
      <c r="V16" s="19"/>
      <c r="W16" s="2"/>
      <c r="X16" s="2">
        <f t="shared" si="2"/>
        <v>3703.81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84670.98</v>
      </c>
      <c r="E18" s="4"/>
      <c r="F18" s="12">
        <f t="shared" ref="F18:F21" si="4">IF(D$12=0,0,D18/D$12)</f>
        <v>0.21493075474242765</v>
      </c>
      <c r="G18" s="4"/>
      <c r="H18" s="4">
        <f>SUM(OSRRefH16x_0)</f>
        <v>95547</v>
      </c>
      <c r="I18" s="4"/>
      <c r="J18" s="12">
        <f t="shared" ref="J18:J21" si="5">IF(H$12=0,0,H18/H$12)</f>
        <v>0.24306956510678351</v>
      </c>
      <c r="K18" s="4"/>
      <c r="L18" s="4">
        <f t="shared" ref="L18:L21" si="6">+D18-H18</f>
        <v>-10876.020000000004</v>
      </c>
      <c r="M18" s="4"/>
      <c r="N18" s="12">
        <f t="shared" ref="N18:N21" si="7">IF(H18=0,0,L18/H18)</f>
        <v>-0.11382900562027069</v>
      </c>
      <c r="O18" s="10"/>
      <c r="P18" s="4">
        <f>SUM(OSRRefP16x_0)</f>
        <v>191334.44</v>
      </c>
      <c r="Q18" s="4"/>
      <c r="R18" s="12">
        <f t="shared" ref="R18:R21" si="8">IF(P$12=0,0,P18/P$12)</f>
        <v>0.22247175864291677</v>
      </c>
      <c r="S18" s="4"/>
      <c r="T18" s="4">
        <f>SUM(OSRRefT16x_0)</f>
        <v>199643</v>
      </c>
      <c r="U18" s="4"/>
      <c r="V18" s="12">
        <f t="shared" ref="V18:V21" si="9">IF(T$12=0,0,T18/T$12)</f>
        <v>0.25394380350305912</v>
      </c>
      <c r="W18" s="4"/>
      <c r="X18" s="4">
        <f t="shared" ref="X18:X21" si="10">+P18-T18</f>
        <v>-8308.5599999999977</v>
      </c>
      <c r="Y18" s="4"/>
      <c r="Z18" s="12">
        <f t="shared" ref="Z18:Z21" si="11">IF(T18=0,0,X18/T18)</f>
        <v>-4.1617086499401421E-2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95547</v>
      </c>
      <c r="I19" s="2"/>
      <c r="J19" s="19">
        <f t="shared" si="5"/>
        <v>0.24306956510678351</v>
      </c>
      <c r="K19" s="2"/>
      <c r="L19" s="2">
        <f t="shared" si="6"/>
        <v>-95547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199643</v>
      </c>
      <c r="U19" s="2"/>
      <c r="V19" s="19">
        <f t="shared" si="9"/>
        <v>0.25394380350305912</v>
      </c>
      <c r="W19" s="2"/>
      <c r="X19" s="2">
        <f t="shared" si="10"/>
        <v>-199643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83478.98</v>
      </c>
      <c r="E20" s="2"/>
      <c r="F20" s="19">
        <f t="shared" si="4"/>
        <v>0.21190495464358652</v>
      </c>
      <c r="G20" s="2"/>
      <c r="H20" s="2"/>
      <c r="I20" s="2"/>
      <c r="J20" s="19">
        <f t="shared" si="5"/>
        <v>0</v>
      </c>
      <c r="K20" s="2"/>
      <c r="L20" s="2">
        <f t="shared" si="6"/>
        <v>83478.98</v>
      </c>
      <c r="M20" s="2"/>
      <c r="N20" s="19">
        <f t="shared" si="7"/>
        <v>0</v>
      </c>
      <c r="O20" s="11"/>
      <c r="P20" s="2">
        <v>193939.44</v>
      </c>
      <c r="Q20" s="2"/>
      <c r="R20" s="19">
        <f t="shared" si="8"/>
        <v>0.22550069024176952</v>
      </c>
      <c r="S20" s="2"/>
      <c r="T20" s="2"/>
      <c r="U20" s="2"/>
      <c r="V20" s="19">
        <f t="shared" si="9"/>
        <v>0</v>
      </c>
      <c r="W20" s="2"/>
      <c r="X20" s="2">
        <f t="shared" si="10"/>
        <v>193939.44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1192</v>
      </c>
      <c r="E21" s="2"/>
      <c r="F21" s="19">
        <f t="shared" si="4"/>
        <v>3.0258000988411114E-3</v>
      </c>
      <c r="G21" s="2"/>
      <c r="H21" s="2"/>
      <c r="I21" s="2"/>
      <c r="J21" s="19">
        <f t="shared" si="5"/>
        <v>0</v>
      </c>
      <c r="K21" s="2"/>
      <c r="L21" s="2">
        <f t="shared" si="6"/>
        <v>1192</v>
      </c>
      <c r="M21" s="2"/>
      <c r="N21" s="19">
        <f t="shared" si="7"/>
        <v>0</v>
      </c>
      <c r="O21" s="11"/>
      <c r="P21" s="2">
        <v>-2605</v>
      </c>
      <c r="Q21" s="2"/>
      <c r="R21" s="19">
        <f t="shared" si="8"/>
        <v>-3.0289315988527637E-3</v>
      </c>
      <c r="S21" s="2"/>
      <c r="T21" s="2"/>
      <c r="U21" s="2"/>
      <c r="V21" s="19">
        <f t="shared" si="9"/>
        <v>0</v>
      </c>
      <c r="W21" s="2"/>
      <c r="X21" s="2">
        <f t="shared" si="10"/>
        <v>-2605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2">
        <f>D12-D18</f>
        <v>309274.40999999997</v>
      </c>
      <c r="E23" s="14"/>
      <c r="F23" s="20">
        <f>IF(D$12=0,0,D23/D$12)</f>
        <v>0.78506924525757238</v>
      </c>
      <c r="G23" s="14"/>
      <c r="H23" s="22">
        <f>H12-H18</f>
        <v>297538</v>
      </c>
      <c r="I23" s="14"/>
      <c r="J23" s="20">
        <f>IF(H$12=0,0,H23/H$12)</f>
        <v>0.75693043489321643</v>
      </c>
      <c r="K23" s="16"/>
      <c r="L23" s="22">
        <f>+D23-H23</f>
        <v>11736.409999999974</v>
      </c>
      <c r="M23" s="16"/>
      <c r="N23" s="20">
        <f>IF(H23=0,0,L23/H23)</f>
        <v>3.9445079283990533E-2</v>
      </c>
      <c r="O23" s="29"/>
      <c r="P23" s="22">
        <f>P12-P18</f>
        <v>668704.79</v>
      </c>
      <c r="Q23" s="14"/>
      <c r="R23" s="20">
        <f>IF(P$12=0,0,P23/P$12)</f>
        <v>0.77752824135708321</v>
      </c>
      <c r="S23" s="14"/>
      <c r="T23" s="22">
        <f>T12-T18</f>
        <v>586527</v>
      </c>
      <c r="U23" s="14"/>
      <c r="V23" s="20">
        <f>IF(T$12=0,0,T23/T$12)</f>
        <v>0.74605619649694088</v>
      </c>
      <c r="W23" s="16"/>
      <c r="X23" s="22">
        <f>+P23-T23</f>
        <v>82177.790000000037</v>
      </c>
      <c r="Y23" s="16"/>
      <c r="Z23" s="20">
        <f>IF(T23=0,0,X23/T23)</f>
        <v>0.14010913393586322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177256.88999999998</v>
      </c>
      <c r="E25" s="21"/>
      <c r="F25" s="35">
        <f t="shared" ref="F25:F36" si="12">IF(D$12=0,0,D25/D$12)</f>
        <v>0.44995294906230532</v>
      </c>
      <c r="G25" s="21"/>
      <c r="H25" s="21">
        <f>SUM(OSRRefH22x_0)</f>
        <v>143092.67383382231</v>
      </c>
      <c r="I25" s="21"/>
      <c r="J25" s="35">
        <f t="shared" ref="J25:J36" si="13">IF(H$12=0,0,H25/H$12)</f>
        <v>0.36402476266919953</v>
      </c>
      <c r="K25" s="4"/>
      <c r="L25" s="21">
        <f t="shared" ref="L25:L36" si="14">+D25-H25</f>
        <v>34164.216166177677</v>
      </c>
      <c r="M25" s="4"/>
      <c r="N25" s="35">
        <f t="shared" ref="N25:N36" si="15">IF(H25=0,0,L25/H25)</f>
        <v>0.23875587233664791</v>
      </c>
      <c r="O25" s="10"/>
      <c r="P25" s="21">
        <f>SUM(OSRRefP22x_0)</f>
        <v>505479.47000000015</v>
      </c>
      <c r="Q25" s="21"/>
      <c r="R25" s="35">
        <f t="shared" ref="R25:R36" si="16">IF(P$12=0,0,P25/P$12)</f>
        <v>0.58774001506884765</v>
      </c>
      <c r="S25" s="21"/>
      <c r="T25" s="21">
        <f>SUM(OSRRefT22x_0)</f>
        <v>384490.4655446292</v>
      </c>
      <c r="U25" s="21"/>
      <c r="V25" s="35">
        <f t="shared" ref="V25:V36" si="17">IF(T$12=0,0,T25/T$12)</f>
        <v>0.48906784225374816</v>
      </c>
      <c r="W25" s="4"/>
      <c r="X25" s="21">
        <f t="shared" ref="X25:X36" si="18">+P25-T25</f>
        <v>120989.00445537094</v>
      </c>
      <c r="Y25" s="4"/>
      <c r="Z25" s="35">
        <f t="shared" ref="Z25:Z36" si="19">IF(T25=0,0,X25/T25)</f>
        <v>0.31467361429623619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28832.61</v>
      </c>
      <c r="E26" s="1"/>
      <c r="F26" s="5">
        <f t="shared" si="12"/>
        <v>7.3189357540140276E-2</v>
      </c>
      <c r="G26" s="1"/>
      <c r="H26" s="1">
        <f>SUM(OSRRefH22_0x_0)</f>
        <v>22294.614729976151</v>
      </c>
      <c r="I26" s="1"/>
      <c r="J26" s="5">
        <f t="shared" si="13"/>
        <v>5.6717032524711324E-2</v>
      </c>
      <c r="K26" s="1"/>
      <c r="L26" s="1">
        <f t="shared" si="14"/>
        <v>6537.99527002385</v>
      </c>
      <c r="M26" s="1"/>
      <c r="N26" s="5">
        <f t="shared" si="15"/>
        <v>0.29325446298173569</v>
      </c>
      <c r="O26" s="13"/>
      <c r="P26" s="1">
        <f>SUM(OSRRefP22_0x_0)</f>
        <v>103945.04</v>
      </c>
      <c r="Q26" s="1"/>
      <c r="R26" s="5">
        <f t="shared" si="16"/>
        <v>0.12086081236085007</v>
      </c>
      <c r="S26" s="1"/>
      <c r="T26" s="1">
        <f>SUM(OSRRefT22_0x_0)</f>
        <v>74161.290158783057</v>
      </c>
      <c r="U26" s="1"/>
      <c r="V26" s="5">
        <f t="shared" si="17"/>
        <v>9.4332383783129678E-2</v>
      </c>
      <c r="W26" s="1"/>
      <c r="X26" s="1">
        <f t="shared" si="18"/>
        <v>29783.749841216937</v>
      </c>
      <c r="Y26" s="1"/>
      <c r="Z26" s="5">
        <f t="shared" si="19"/>
        <v>0.40160776299129142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6568.99</v>
      </c>
      <c r="E27" s="2"/>
      <c r="F27" s="7">
        <f t="shared" si="12"/>
        <v>1.6674874657119355E-2</v>
      </c>
      <c r="G27" s="2"/>
      <c r="H27" s="6">
        <v>5266.1865573761497</v>
      </c>
      <c r="I27" s="2"/>
      <c r="J27" s="7">
        <f t="shared" si="13"/>
        <v>1.3397068210122874E-2</v>
      </c>
      <c r="K27" s="2"/>
      <c r="L27" s="6">
        <f t="shared" si="14"/>
        <v>1302.8034426238501</v>
      </c>
      <c r="M27" s="2"/>
      <c r="N27" s="7">
        <f t="shared" si="15"/>
        <v>0.24739029436757462</v>
      </c>
      <c r="O27" s="11"/>
      <c r="P27" s="6">
        <v>15832.14</v>
      </c>
      <c r="Q27" s="2"/>
      <c r="R27" s="7">
        <f t="shared" si="16"/>
        <v>1.8408625383286293E-2</v>
      </c>
      <c r="S27" s="2"/>
      <c r="T27" s="6">
        <v>13713.29650546614</v>
      </c>
      <c r="U27" s="2"/>
      <c r="V27" s="7">
        <f t="shared" si="17"/>
        <v>1.7443169423236881E-2</v>
      </c>
      <c r="W27" s="2"/>
      <c r="X27" s="6">
        <f t="shared" si="18"/>
        <v>2118.8434945338595</v>
      </c>
      <c r="Y27" s="2"/>
      <c r="Z27" s="7">
        <f t="shared" si="19"/>
        <v>0.15451014959745712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-176.52</v>
      </c>
      <c r="E28" s="2"/>
      <c r="F28" s="7">
        <f t="shared" si="12"/>
        <v>-4.4808241061026257E-4</v>
      </c>
      <c r="G28" s="2"/>
      <c r="H28" s="6">
        <v>2947.0021184307698</v>
      </c>
      <c r="I28" s="2"/>
      <c r="J28" s="7">
        <f t="shared" si="13"/>
        <v>7.4971116130881869E-3</v>
      </c>
      <c r="K28" s="2"/>
      <c r="L28" s="6">
        <f t="shared" si="14"/>
        <v>-3123.5221184307698</v>
      </c>
      <c r="M28" s="2"/>
      <c r="N28" s="7">
        <f t="shared" si="15"/>
        <v>-1.0598981585035283</v>
      </c>
      <c r="O28" s="11"/>
      <c r="P28" s="6">
        <v>6094.16</v>
      </c>
      <c r="Q28" s="2"/>
      <c r="R28" s="7">
        <f t="shared" si="16"/>
        <v>7.0859093253222869E-3</v>
      </c>
      <c r="S28" s="2"/>
      <c r="T28" s="6">
        <v>7757.5282633107799</v>
      </c>
      <c r="U28" s="2"/>
      <c r="V28" s="7">
        <f t="shared" si="17"/>
        <v>9.8674946427754553E-3</v>
      </c>
      <c r="W28" s="2"/>
      <c r="X28" s="6">
        <f t="shared" si="18"/>
        <v>-1663.3682633107801</v>
      </c>
      <c r="Y28" s="2"/>
      <c r="Z28" s="7">
        <f t="shared" si="19"/>
        <v>-0.21441987793685241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12906.84</v>
      </c>
      <c r="E29" s="2"/>
      <c r="F29" s="7">
        <f t="shared" si="12"/>
        <v>3.2763018244736923E-2</v>
      </c>
      <c r="G29" s="2"/>
      <c r="H29" s="6">
        <v>10500.692307692299</v>
      </c>
      <c r="I29" s="2"/>
      <c r="J29" s="7">
        <f t="shared" si="13"/>
        <v>2.6713541111190453E-2</v>
      </c>
      <c r="K29" s="2"/>
      <c r="L29" s="6">
        <f t="shared" si="14"/>
        <v>2406.1476923077007</v>
      </c>
      <c r="M29" s="2"/>
      <c r="N29" s="7">
        <f t="shared" si="15"/>
        <v>0.22914181482539711</v>
      </c>
      <c r="O29" s="11"/>
      <c r="P29" s="6">
        <v>52287.409999999996</v>
      </c>
      <c r="Q29" s="2"/>
      <c r="R29" s="7">
        <f t="shared" si="16"/>
        <v>6.0796540641523983E-2</v>
      </c>
      <c r="S29" s="2"/>
      <c r="T29" s="6">
        <v>42002.769230769198</v>
      </c>
      <c r="U29" s="2"/>
      <c r="V29" s="7">
        <f t="shared" si="17"/>
        <v>5.3427082222380906E-2</v>
      </c>
      <c r="W29" s="2"/>
      <c r="X29" s="6">
        <f t="shared" si="18"/>
        <v>10284.640769230798</v>
      </c>
      <c r="Y29" s="2"/>
      <c r="Z29" s="7">
        <f t="shared" si="19"/>
        <v>0.24485625489894527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231.32</v>
      </c>
      <c r="E30" s="2"/>
      <c r="F30" s="7">
        <f t="shared" si="12"/>
        <v>5.8718798562409891E-4</v>
      </c>
      <c r="G30" s="2"/>
      <c r="H30" s="6">
        <v>197.47952340000001</v>
      </c>
      <c r="I30" s="2"/>
      <c r="J30" s="7">
        <f t="shared" si="13"/>
        <v>5.0238376788735257E-4</v>
      </c>
      <c r="K30" s="2"/>
      <c r="L30" s="6">
        <f t="shared" si="14"/>
        <v>33.840476599999988</v>
      </c>
      <c r="M30" s="2"/>
      <c r="N30" s="7">
        <f t="shared" si="15"/>
        <v>0.17136195195010273</v>
      </c>
      <c r="O30" s="11"/>
      <c r="P30" s="6">
        <v>651.54999999999995</v>
      </c>
      <c r="Q30" s="2"/>
      <c r="R30" s="7">
        <f t="shared" si="16"/>
        <v>7.5758172101056355E-4</v>
      </c>
      <c r="S30" s="2"/>
      <c r="T30" s="6">
        <v>519.83436816000005</v>
      </c>
      <c r="U30" s="2"/>
      <c r="V30" s="7">
        <f t="shared" si="17"/>
        <v>6.6122386781484923E-4</v>
      </c>
      <c r="W30" s="2"/>
      <c r="X30" s="6">
        <f t="shared" si="18"/>
        <v>131.7156318399999</v>
      </c>
      <c r="Y30" s="2"/>
      <c r="Z30" s="7">
        <f t="shared" si="19"/>
        <v>0.2533799992990442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1832.9</v>
      </c>
      <c r="E31" s="2"/>
      <c r="F31" s="7">
        <f t="shared" si="12"/>
        <v>4.6526753365485514E-3</v>
      </c>
      <c r="G31" s="2"/>
      <c r="H31" s="6">
        <v>504.65048076923097</v>
      </c>
      <c r="I31" s="2"/>
      <c r="J31" s="7">
        <f t="shared" si="13"/>
        <v>1.2838202443981098E-3</v>
      </c>
      <c r="K31" s="2"/>
      <c r="L31" s="6">
        <f t="shared" si="14"/>
        <v>1328.2495192307692</v>
      </c>
      <c r="M31" s="2"/>
      <c r="N31" s="7">
        <f t="shared" si="15"/>
        <v>2.632018733453179</v>
      </c>
      <c r="O31" s="11"/>
      <c r="P31" s="6">
        <v>4964.6000000000004</v>
      </c>
      <c r="Q31" s="2"/>
      <c r="R31" s="7">
        <f t="shared" si="16"/>
        <v>5.772527376454676E-3</v>
      </c>
      <c r="S31" s="2"/>
      <c r="T31" s="6">
        <v>1816.7417307692322</v>
      </c>
      <c r="U31" s="2"/>
      <c r="V31" s="7">
        <f t="shared" si="17"/>
        <v>2.3108764399165983E-3</v>
      </c>
      <c r="W31" s="2"/>
      <c r="X31" s="6">
        <f t="shared" si="18"/>
        <v>3147.8582692307682</v>
      </c>
      <c r="Y31" s="2"/>
      <c r="Z31" s="7">
        <f t="shared" si="19"/>
        <v>1.7326944253644263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507.48</v>
      </c>
      <c r="E33" s="2"/>
      <c r="F33" s="7">
        <f t="shared" si="12"/>
        <v>1.2881988541609793E-3</v>
      </c>
      <c r="G33" s="2"/>
      <c r="H33" s="6"/>
      <c r="I33" s="2"/>
      <c r="J33" s="7">
        <f t="shared" si="13"/>
        <v>0</v>
      </c>
      <c r="K33" s="2"/>
      <c r="L33" s="6">
        <f t="shared" si="14"/>
        <v>507.48</v>
      </c>
      <c r="M33" s="2"/>
      <c r="N33" s="7">
        <f t="shared" si="15"/>
        <v>0</v>
      </c>
      <c r="O33" s="11"/>
      <c r="P33" s="6">
        <v>1818.23</v>
      </c>
      <c r="Q33" s="2"/>
      <c r="R33" s="7">
        <f t="shared" si="16"/>
        <v>2.1141244917397546E-3</v>
      </c>
      <c r="S33" s="2"/>
      <c r="T33" s="6"/>
      <c r="U33" s="2"/>
      <c r="V33" s="7">
        <f t="shared" si="17"/>
        <v>0</v>
      </c>
      <c r="W33" s="2"/>
      <c r="X33" s="6">
        <f t="shared" si="18"/>
        <v>1818.23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3225.9</v>
      </c>
      <c r="E34" s="2"/>
      <c r="F34" s="7">
        <f t="shared" si="12"/>
        <v>8.188698438633844E-3</v>
      </c>
      <c r="G34" s="2"/>
      <c r="H34" s="6">
        <v>658.67414538461503</v>
      </c>
      <c r="I34" s="2"/>
      <c r="J34" s="7">
        <f t="shared" si="13"/>
        <v>1.6756532184759405E-3</v>
      </c>
      <c r="K34" s="2"/>
      <c r="L34" s="6">
        <f t="shared" si="14"/>
        <v>2567.2258546153853</v>
      </c>
      <c r="M34" s="2"/>
      <c r="N34" s="7">
        <f t="shared" si="15"/>
        <v>3.8975658489165728</v>
      </c>
      <c r="O34" s="11"/>
      <c r="P34" s="6">
        <v>10003.65</v>
      </c>
      <c r="Q34" s="2"/>
      <c r="R34" s="7">
        <f t="shared" si="16"/>
        <v>1.1631620571540671E-2</v>
      </c>
      <c r="S34" s="2"/>
      <c r="T34" s="6">
        <v>2564.2802353846141</v>
      </c>
      <c r="U34" s="2"/>
      <c r="V34" s="7">
        <f t="shared" si="17"/>
        <v>3.2617375826915476E-3</v>
      </c>
      <c r="W34" s="2"/>
      <c r="X34" s="6">
        <f t="shared" si="18"/>
        <v>7439.3697646153851</v>
      </c>
      <c r="Y34" s="2"/>
      <c r="Z34" s="7">
        <f t="shared" si="19"/>
        <v>2.9011531820739398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2455.6799999999998</v>
      </c>
      <c r="E35" s="2"/>
      <c r="F35" s="7">
        <f t="shared" si="12"/>
        <v>6.2335543512769629E-3</v>
      </c>
      <c r="G35" s="2"/>
      <c r="H35" s="6">
        <v>2219.9295969230798</v>
      </c>
      <c r="I35" s="2"/>
      <c r="J35" s="7">
        <f t="shared" si="13"/>
        <v>5.6474543595483925E-3</v>
      </c>
      <c r="K35" s="2"/>
      <c r="L35" s="6">
        <f t="shared" si="14"/>
        <v>235.75040307692007</v>
      </c>
      <c r="M35" s="2"/>
      <c r="N35" s="7">
        <f t="shared" si="15"/>
        <v>0.10619724310342117</v>
      </c>
      <c r="O35" s="11"/>
      <c r="P35" s="6">
        <v>7864.14</v>
      </c>
      <c r="Q35" s="2"/>
      <c r="R35" s="7">
        <f t="shared" si="16"/>
        <v>9.1439317250679355E-3</v>
      </c>
      <c r="S35" s="2"/>
      <c r="T35" s="6">
        <v>5786.8398249230786</v>
      </c>
      <c r="U35" s="2"/>
      <c r="V35" s="7">
        <f t="shared" si="17"/>
        <v>7.3607996043134165E-3</v>
      </c>
      <c r="W35" s="2"/>
      <c r="X35" s="6">
        <f t="shared" si="18"/>
        <v>2077.3001750769217</v>
      </c>
      <c r="Y35" s="2"/>
      <c r="Z35" s="7">
        <f t="shared" si="19"/>
        <v>0.35896970331376576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1280.02</v>
      </c>
      <c r="E36" s="2"/>
      <c r="F36" s="7">
        <f t="shared" si="12"/>
        <v>3.2492320826498318E-3</v>
      </c>
      <c r="G36" s="2"/>
      <c r="H36" s="6"/>
      <c r="I36" s="2"/>
      <c r="J36" s="7">
        <f t="shared" si="13"/>
        <v>0</v>
      </c>
      <c r="K36" s="2"/>
      <c r="L36" s="6">
        <f t="shared" si="14"/>
        <v>1280.02</v>
      </c>
      <c r="M36" s="2"/>
      <c r="N36" s="7">
        <f t="shared" si="15"/>
        <v>0</v>
      </c>
      <c r="O36" s="11"/>
      <c r="P36" s="6">
        <v>4429.16</v>
      </c>
      <c r="Q36" s="2"/>
      <c r="R36" s="7">
        <f t="shared" si="16"/>
        <v>5.1499511249039178E-3</v>
      </c>
      <c r="S36" s="2"/>
      <c r="T36" s="6"/>
      <c r="U36" s="2"/>
      <c r="V36" s="7">
        <f t="shared" si="17"/>
        <v>0</v>
      </c>
      <c r="W36" s="2"/>
      <c r="X36" s="6">
        <f t="shared" si="18"/>
        <v>4429.16</v>
      </c>
      <c r="Y36" s="2"/>
      <c r="Z36" s="7">
        <f t="shared" si="19"/>
        <v>0</v>
      </c>
    </row>
    <row r="37" spans="1:26" s="26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100953.88</v>
      </c>
      <c r="E37" s="1"/>
      <c r="F37" s="5">
        <f t="shared" ref="F37:F47" si="20">IF(D$12=0,0,D37/D$12)</f>
        <v>0.25626364100871957</v>
      </c>
      <c r="G37" s="1"/>
      <c r="H37" s="1">
        <f>SUM(OSRRefH22_1x_0)</f>
        <v>73075.059103846143</v>
      </c>
      <c r="I37" s="1"/>
      <c r="J37" s="5">
        <f t="shared" ref="J37:J47" si="21">IF(H$12=0,0,H37/H$12)</f>
        <v>0.18590141853249587</v>
      </c>
      <c r="K37" s="1"/>
      <c r="L37" s="1">
        <f t="shared" ref="L37:L47" si="22">+D37-H37</f>
        <v>27878.820896153862</v>
      </c>
      <c r="M37" s="1"/>
      <c r="N37" s="5">
        <f t="shared" ref="N37:N47" si="23">IF(H37=0,0,L37/H37)</f>
        <v>0.38150938552831798</v>
      </c>
      <c r="O37" s="13"/>
      <c r="P37" s="1">
        <f>SUM(OSRRefP22_1x_0)</f>
        <v>267368.66000000003</v>
      </c>
      <c r="Q37" s="1"/>
      <c r="R37" s="5">
        <f t="shared" ref="R37:R47" si="24">IF(P$12=0,0,P37/P$12)</f>
        <v>0.31087960952664917</v>
      </c>
      <c r="S37" s="1"/>
      <c r="T37" s="1">
        <f>SUM(OSRRefT22_1x_0)</f>
        <v>191585.17538584615</v>
      </c>
      <c r="U37" s="1"/>
      <c r="V37" s="5">
        <f t="shared" ref="V37:V47" si="25">IF(T$12=0,0,T37/T$12)</f>
        <v>0.24369433504947549</v>
      </c>
      <c r="W37" s="1"/>
      <c r="X37" s="1">
        <f t="shared" ref="X37:X47" si="26">+P37-T37</f>
        <v>75783.484614153887</v>
      </c>
      <c r="Y37" s="1"/>
      <c r="Z37" s="5">
        <f t="shared" ref="Z37:Z47" si="27">IF(T37=0,0,X37/T37)</f>
        <v>0.3955602747526184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10827.1</v>
      </c>
      <c r="E39" s="2"/>
      <c r="F39" s="7">
        <f t="shared" si="20"/>
        <v>2.7483758599129694E-2</v>
      </c>
      <c r="G39" s="2"/>
      <c r="H39" s="6">
        <v>5574.6274038461497</v>
      </c>
      <c r="I39" s="2"/>
      <c r="J39" s="7">
        <f t="shared" si="21"/>
        <v>1.418173525788608E-2</v>
      </c>
      <c r="K39" s="2"/>
      <c r="L39" s="6">
        <f t="shared" si="22"/>
        <v>5252.4725961538506</v>
      </c>
      <c r="M39" s="2"/>
      <c r="N39" s="7">
        <f t="shared" si="23"/>
        <v>0.94221052200367117</v>
      </c>
      <c r="O39" s="11"/>
      <c r="P39" s="6">
        <v>40841.24</v>
      </c>
      <c r="Q39" s="2"/>
      <c r="R39" s="7">
        <f t="shared" si="24"/>
        <v>4.7487647743696522E-2</v>
      </c>
      <c r="S39" s="2"/>
      <c r="T39" s="6">
        <v>20068.658653846138</v>
      </c>
      <c r="U39" s="2"/>
      <c r="V39" s="7">
        <f t="shared" si="25"/>
        <v>2.5527123464194942E-2</v>
      </c>
      <c r="W39" s="2"/>
      <c r="X39" s="6">
        <f t="shared" si="26"/>
        <v>20772.58134615386</v>
      </c>
      <c r="Y39" s="2"/>
      <c r="Z39" s="7">
        <f t="shared" si="27"/>
        <v>1.0350757220225486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35167.910000000003</v>
      </c>
      <c r="E41" s="2"/>
      <c r="F41" s="7">
        <f t="shared" si="20"/>
        <v>8.9271028149358486E-2</v>
      </c>
      <c r="G41" s="2"/>
      <c r="H41" s="6">
        <v>15122.50944</v>
      </c>
      <c r="I41" s="2"/>
      <c r="J41" s="7">
        <f t="shared" si="21"/>
        <v>3.8471347011460627E-2</v>
      </c>
      <c r="K41" s="2"/>
      <c r="L41" s="6">
        <f t="shared" si="22"/>
        <v>20045.400560000002</v>
      </c>
      <c r="M41" s="2"/>
      <c r="N41" s="7">
        <f t="shared" si="23"/>
        <v>1.3255340087260017</v>
      </c>
      <c r="O41" s="11"/>
      <c r="P41" s="6">
        <v>85270.099999999991</v>
      </c>
      <c r="Q41" s="2"/>
      <c r="R41" s="7">
        <f t="shared" si="24"/>
        <v>9.9146756363660271E-2</v>
      </c>
      <c r="S41" s="2"/>
      <c r="T41" s="6">
        <v>60490.037759999999</v>
      </c>
      <c r="U41" s="2"/>
      <c r="V41" s="7">
        <f t="shared" si="25"/>
        <v>7.6942694022921254E-2</v>
      </c>
      <c r="W41" s="2"/>
      <c r="X41" s="6">
        <f t="shared" si="26"/>
        <v>24780.062239999992</v>
      </c>
      <c r="Y41" s="2"/>
      <c r="Z41" s="7">
        <f t="shared" si="27"/>
        <v>0.40965526155426213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24317.649999999998</v>
      </c>
      <c r="E42" s="2"/>
      <c r="F42" s="7">
        <f t="shared" si="20"/>
        <v>6.1728479675825121E-2</v>
      </c>
      <c r="G42" s="2"/>
      <c r="H42" s="6">
        <v>6927.3597600000003</v>
      </c>
      <c r="I42" s="2"/>
      <c r="J42" s="7">
        <f t="shared" si="21"/>
        <v>1.7623058015441954E-2</v>
      </c>
      <c r="K42" s="2"/>
      <c r="L42" s="6">
        <f t="shared" si="22"/>
        <v>17390.290239999998</v>
      </c>
      <c r="M42" s="2"/>
      <c r="N42" s="7">
        <f t="shared" si="23"/>
        <v>2.5103778123976048</v>
      </c>
      <c r="O42" s="11"/>
      <c r="P42" s="6">
        <v>46900.780000000006</v>
      </c>
      <c r="Q42" s="2"/>
      <c r="R42" s="7">
        <f t="shared" si="24"/>
        <v>5.4533303091302013E-2</v>
      </c>
      <c r="S42" s="2"/>
      <c r="T42" s="6">
        <v>15240.191472000002</v>
      </c>
      <c r="U42" s="2"/>
      <c r="V42" s="7">
        <f t="shared" si="25"/>
        <v>1.9385363816986152E-2</v>
      </c>
      <c r="W42" s="2"/>
      <c r="X42" s="6">
        <f t="shared" si="26"/>
        <v>31660.588528000004</v>
      </c>
      <c r="Y42" s="2"/>
      <c r="Z42" s="7">
        <f t="shared" si="27"/>
        <v>2.0774403383427518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>
        <v>3497.06</v>
      </c>
      <c r="E43" s="2"/>
      <c r="F43" s="7">
        <f t="shared" si="20"/>
        <v>8.8770171926621615E-3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3497.06</v>
      </c>
      <c r="M43" s="2"/>
      <c r="N43" s="7">
        <f t="shared" si="23"/>
        <v>0</v>
      </c>
      <c r="O43" s="11"/>
      <c r="P43" s="6">
        <v>7804.22</v>
      </c>
      <c r="Q43" s="2"/>
      <c r="R43" s="7">
        <f t="shared" si="24"/>
        <v>9.074260484606033E-3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7804.22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14526.16</v>
      </c>
      <c r="E44" s="2"/>
      <c r="F44" s="7">
        <f t="shared" si="20"/>
        <v>3.6873537217937749E-2</v>
      </c>
      <c r="G44" s="2"/>
      <c r="H44" s="6">
        <v>45450.5625</v>
      </c>
      <c r="I44" s="2"/>
      <c r="J44" s="7">
        <f t="shared" si="21"/>
        <v>0.11562527824770724</v>
      </c>
      <c r="K44" s="2"/>
      <c r="L44" s="6">
        <f t="shared" si="22"/>
        <v>-30924.4025</v>
      </c>
      <c r="M44" s="2"/>
      <c r="N44" s="7">
        <f t="shared" si="23"/>
        <v>-0.68039647474109921</v>
      </c>
      <c r="O44" s="11"/>
      <c r="P44" s="6">
        <v>59127.82</v>
      </c>
      <c r="Q44" s="2"/>
      <c r="R44" s="7">
        <f t="shared" si="24"/>
        <v>6.8750142944060816E-2</v>
      </c>
      <c r="S44" s="2"/>
      <c r="T44" s="6">
        <v>90901.125</v>
      </c>
      <c r="U44" s="2"/>
      <c r="V44" s="7">
        <f t="shared" si="25"/>
        <v>0.11562527824770724</v>
      </c>
      <c r="W44" s="2"/>
      <c r="X44" s="6">
        <f t="shared" si="26"/>
        <v>-31773.305</v>
      </c>
      <c r="Y44" s="2"/>
      <c r="Z44" s="7">
        <f t="shared" si="27"/>
        <v>-0.34953698317815096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12618</v>
      </c>
      <c r="E45" s="2"/>
      <c r="F45" s="7">
        <f t="shared" si="20"/>
        <v>3.2029820173806324E-2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12618</v>
      </c>
      <c r="M45" s="2"/>
      <c r="N45" s="7">
        <f t="shared" si="23"/>
        <v>0</v>
      </c>
      <c r="O45" s="11"/>
      <c r="P45" s="6">
        <v>27424.5</v>
      </c>
      <c r="Q45" s="2"/>
      <c r="R45" s="7">
        <f t="shared" si="24"/>
        <v>3.1887498899323463E-2</v>
      </c>
      <c r="S45" s="2"/>
      <c r="T45" s="6">
        <v>4885.1624999999995</v>
      </c>
      <c r="U45" s="2"/>
      <c r="V45" s="7">
        <f t="shared" si="25"/>
        <v>6.2138754976658987E-3</v>
      </c>
      <c r="W45" s="2"/>
      <c r="X45" s="6">
        <f t="shared" si="26"/>
        <v>22539.337500000001</v>
      </c>
      <c r="Y45" s="2"/>
      <c r="Z45" s="7">
        <f t="shared" si="27"/>
        <v>4.6138357731191144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103.5</v>
      </c>
      <c r="E48" s="1"/>
      <c r="F48" s="5">
        <f t="shared" ref="F48:F52" si="28">IF(D$12=0,0,D48/D$12)</f>
        <v>2.6272677032722737E-4</v>
      </c>
      <c r="G48" s="1"/>
      <c r="H48" s="1">
        <f>SUM(OSRRefH22_2x_0)</f>
        <v>300</v>
      </c>
      <c r="I48" s="1"/>
      <c r="J48" s="5">
        <f t="shared" ref="J48:J52" si="29">IF(H$12=0,0,H48/H$12)</f>
        <v>7.6319371128381907E-4</v>
      </c>
      <c r="K48" s="1"/>
      <c r="L48" s="1">
        <f t="shared" ref="L48:L52" si="30">+D48-H48</f>
        <v>-196.5</v>
      </c>
      <c r="M48" s="1"/>
      <c r="N48" s="5">
        <f t="shared" ref="N48:N52" si="31">IF(H48=0,0,L48/H48)</f>
        <v>-0.65500000000000003</v>
      </c>
      <c r="O48" s="13"/>
      <c r="P48" s="1">
        <f>SUM(OSRRefP22_2x_0)</f>
        <v>2755.31</v>
      </c>
      <c r="Q48" s="1"/>
      <c r="R48" s="5">
        <f t="shared" ref="R48:R52" si="32">IF(P$12=0,0,P48/P$12)</f>
        <v>3.2037026962130548E-3</v>
      </c>
      <c r="S48" s="1"/>
      <c r="T48" s="1">
        <f>SUM(OSRRefT22_2x_0)</f>
        <v>3300</v>
      </c>
      <c r="U48" s="1"/>
      <c r="V48" s="5">
        <f t="shared" ref="V48:V52" si="33">IF(T$12=0,0,T48/T$12)</f>
        <v>4.1975654120610046E-3</v>
      </c>
      <c r="W48" s="1"/>
      <c r="X48" s="1">
        <f t="shared" ref="X48:X52" si="34">+P48-T48</f>
        <v>-544.69000000000005</v>
      </c>
      <c r="Y48" s="1"/>
      <c r="Z48" s="5">
        <f t="shared" ref="Z48:Z52" si="35">IF(T48=0,0,X48/T48)</f>
        <v>-0.16505757575757576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103.5</v>
      </c>
      <c r="E49" s="2"/>
      <c r="F49" s="7">
        <f t="shared" si="28"/>
        <v>2.6272677032722737E-4</v>
      </c>
      <c r="G49" s="2"/>
      <c r="H49" s="6">
        <v>300</v>
      </c>
      <c r="I49" s="2"/>
      <c r="J49" s="7">
        <f t="shared" si="29"/>
        <v>7.6319371128381907E-4</v>
      </c>
      <c r="K49" s="2"/>
      <c r="L49" s="6">
        <f t="shared" si="30"/>
        <v>-196.5</v>
      </c>
      <c r="M49" s="2"/>
      <c r="N49" s="7">
        <f t="shared" si="31"/>
        <v>-0.65500000000000003</v>
      </c>
      <c r="O49" s="11"/>
      <c r="P49" s="6">
        <v>2755.31</v>
      </c>
      <c r="Q49" s="2"/>
      <c r="R49" s="7">
        <f t="shared" si="32"/>
        <v>3.2037026962130548E-3</v>
      </c>
      <c r="S49" s="2"/>
      <c r="T49" s="6">
        <v>3300</v>
      </c>
      <c r="U49" s="2"/>
      <c r="V49" s="7">
        <f t="shared" si="33"/>
        <v>4.1975654120610046E-3</v>
      </c>
      <c r="W49" s="2"/>
      <c r="X49" s="6">
        <f t="shared" si="34"/>
        <v>-544.69000000000005</v>
      </c>
      <c r="Y49" s="2"/>
      <c r="Z49" s="7">
        <f t="shared" si="35"/>
        <v>-0.16505757575757576</v>
      </c>
    </row>
    <row r="50" spans="1:26" s="26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70</v>
      </c>
      <c r="I50" s="1"/>
      <c r="J50" s="5">
        <f t="shared" si="29"/>
        <v>1.7807853263289111E-4</v>
      </c>
      <c r="K50" s="1"/>
      <c r="L50" s="1">
        <f t="shared" si="30"/>
        <v>-70</v>
      </c>
      <c r="M50" s="1"/>
      <c r="N50" s="5">
        <f t="shared" si="31"/>
        <v>-1</v>
      </c>
      <c r="O50" s="13"/>
      <c r="P50" s="1">
        <f>SUM(OSRRefP22_3x_0)</f>
        <v>13.33</v>
      </c>
      <c r="Q50" s="1"/>
      <c r="R50" s="5">
        <f t="shared" si="32"/>
        <v>1.5499292979926041E-5</v>
      </c>
      <c r="S50" s="1"/>
      <c r="T50" s="1">
        <f>SUM(OSRRefT22_3x_0)</f>
        <v>210</v>
      </c>
      <c r="U50" s="1"/>
      <c r="V50" s="5">
        <f t="shared" si="33"/>
        <v>2.6711779894933663E-4</v>
      </c>
      <c r="W50" s="1"/>
      <c r="X50" s="1">
        <f t="shared" si="34"/>
        <v>-196.67</v>
      </c>
      <c r="Y50" s="1"/>
      <c r="Z50" s="5">
        <f t="shared" si="35"/>
        <v>-0.93652380952380943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20</v>
      </c>
      <c r="I51" s="2"/>
      <c r="J51" s="7">
        <f t="shared" si="29"/>
        <v>5.0879580752254601E-5</v>
      </c>
      <c r="K51" s="2"/>
      <c r="L51" s="6">
        <f t="shared" si="30"/>
        <v>-20</v>
      </c>
      <c r="M51" s="2"/>
      <c r="N51" s="7">
        <f t="shared" si="31"/>
        <v>-1</v>
      </c>
      <c r="O51" s="11"/>
      <c r="P51" s="6">
        <v>13.33</v>
      </c>
      <c r="Q51" s="2"/>
      <c r="R51" s="7">
        <f t="shared" si="32"/>
        <v>1.5499292979926041E-5</v>
      </c>
      <c r="S51" s="2"/>
      <c r="T51" s="6">
        <v>60</v>
      </c>
      <c r="U51" s="2"/>
      <c r="V51" s="7">
        <f t="shared" si="33"/>
        <v>7.6319371128381904E-5</v>
      </c>
      <c r="W51" s="2"/>
      <c r="X51" s="6">
        <f t="shared" si="34"/>
        <v>-46.67</v>
      </c>
      <c r="Y51" s="2"/>
      <c r="Z51" s="7">
        <f t="shared" si="35"/>
        <v>-0.77783333333333338</v>
      </c>
    </row>
    <row r="52" spans="1:26" s="24" customFormat="1" hidden="1" outlineLevel="2" x14ac:dyDescent="0.25">
      <c r="A52" s="27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1.2719895188063651E-4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150</v>
      </c>
      <c r="U52" s="2"/>
      <c r="V52" s="7">
        <f t="shared" si="33"/>
        <v>1.9079842782095477E-4</v>
      </c>
      <c r="W52" s="2"/>
      <c r="X52" s="6">
        <f t="shared" si="34"/>
        <v>-150</v>
      </c>
      <c r="Y52" s="2"/>
      <c r="Z52" s="7">
        <f t="shared" si="35"/>
        <v>-1</v>
      </c>
    </row>
    <row r="53" spans="1:26" s="26" customFormat="1" outlineLevel="1" collapsed="1" x14ac:dyDescent="0.25">
      <c r="A53" s="25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19.829999999999998</v>
      </c>
      <c r="E53" s="1"/>
      <c r="F53" s="5">
        <f t="shared" ref="F53:F70" si="36">IF(D$12=0,0,D53/D$12)</f>
        <v>5.0336926140955729E-5</v>
      </c>
      <c r="G53" s="1"/>
      <c r="H53" s="1">
        <f>SUM(OSRRefH22_4x_0)</f>
        <v>20</v>
      </c>
      <c r="I53" s="1"/>
      <c r="J53" s="5">
        <f t="shared" ref="J53:J70" si="37">IF(H$12=0,0,H53/H$12)</f>
        <v>5.0879580752254601E-5</v>
      </c>
      <c r="K53" s="1"/>
      <c r="L53" s="1">
        <f t="shared" ref="L53:L70" si="38">+D53-H53</f>
        <v>-0.17000000000000171</v>
      </c>
      <c r="M53" s="1"/>
      <c r="N53" s="5">
        <f t="shared" ref="N53:N70" si="39">IF(H53=0,0,L53/H53)</f>
        <v>-8.5000000000000856E-3</v>
      </c>
      <c r="O53" s="13"/>
      <c r="P53" s="1">
        <f>SUM(OSRRefP22_4x_0)</f>
        <v>33.630000000000003</v>
      </c>
      <c r="Q53" s="1"/>
      <c r="R53" s="5">
        <f t="shared" ref="R53:R70" si="40">IF(P$12=0,0,P53/P$12)</f>
        <v>3.9102867435477329E-5</v>
      </c>
      <c r="S53" s="1"/>
      <c r="T53" s="1">
        <f>SUM(OSRRefT22_4x_0)</f>
        <v>80</v>
      </c>
      <c r="U53" s="1"/>
      <c r="V53" s="5">
        <f t="shared" ref="V53:V70" si="41">IF(T$12=0,0,T53/T$12)</f>
        <v>1.017591615045092E-4</v>
      </c>
      <c r="W53" s="1"/>
      <c r="X53" s="1">
        <f t="shared" ref="X53:X70" si="42">+P53-T53</f>
        <v>-46.37</v>
      </c>
      <c r="Y53" s="1"/>
      <c r="Z53" s="5">
        <f t="shared" ref="Z53:Z70" si="43">IF(T53=0,0,X53/T53)</f>
        <v>-0.57962499999999995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>
        <v>19.829999999999998</v>
      </c>
      <c r="E54" s="2"/>
      <c r="F54" s="7">
        <f t="shared" si="36"/>
        <v>5.0336926140955729E-5</v>
      </c>
      <c r="G54" s="2"/>
      <c r="H54" s="6">
        <v>20</v>
      </c>
      <c r="I54" s="2"/>
      <c r="J54" s="7">
        <f t="shared" si="37"/>
        <v>5.0879580752254601E-5</v>
      </c>
      <c r="K54" s="2"/>
      <c r="L54" s="6">
        <f t="shared" si="38"/>
        <v>-0.17000000000000171</v>
      </c>
      <c r="M54" s="2"/>
      <c r="N54" s="7">
        <f t="shared" si="39"/>
        <v>-8.5000000000000856E-3</v>
      </c>
      <c r="O54" s="11"/>
      <c r="P54" s="6">
        <v>33.630000000000003</v>
      </c>
      <c r="Q54" s="2"/>
      <c r="R54" s="7">
        <f t="shared" si="40"/>
        <v>3.9102867435477329E-5</v>
      </c>
      <c r="S54" s="2"/>
      <c r="T54" s="6">
        <v>80</v>
      </c>
      <c r="U54" s="2"/>
      <c r="V54" s="7">
        <f t="shared" si="41"/>
        <v>1.017591615045092E-4</v>
      </c>
      <c r="W54" s="2"/>
      <c r="X54" s="6">
        <f t="shared" si="42"/>
        <v>-46.37</v>
      </c>
      <c r="Y54" s="2"/>
      <c r="Z54" s="7">
        <f t="shared" si="43"/>
        <v>-0.57962499999999995</v>
      </c>
    </row>
    <row r="55" spans="1:26" s="26" customFormat="1" outlineLevel="1" collapsed="1" x14ac:dyDescent="0.25">
      <c r="A55" s="25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4007.34</v>
      </c>
      <c r="E55" s="1"/>
      <c r="F55" s="5">
        <f t="shared" si="36"/>
        <v>1.0172323630947935E-2</v>
      </c>
      <c r="G55" s="1"/>
      <c r="H55" s="1">
        <f>SUM(OSRRefH22_5x_0)</f>
        <v>3537</v>
      </c>
      <c r="I55" s="1"/>
      <c r="J55" s="5">
        <f t="shared" si="37"/>
        <v>8.9980538560362269E-3</v>
      </c>
      <c r="K55" s="1"/>
      <c r="L55" s="1">
        <f t="shared" si="38"/>
        <v>470.34000000000015</v>
      </c>
      <c r="M55" s="1"/>
      <c r="N55" s="5">
        <f t="shared" si="39"/>
        <v>0.13297709923664125</v>
      </c>
      <c r="O55" s="13"/>
      <c r="P55" s="1">
        <f>SUM(OSRRefP22_5x_0)</f>
        <v>9040.27</v>
      </c>
      <c r="Q55" s="1"/>
      <c r="R55" s="5">
        <f t="shared" si="40"/>
        <v>1.0511462366664366E-2</v>
      </c>
      <c r="S55" s="1"/>
      <c r="T55" s="1">
        <f>SUM(OSRRefT22_5x_0)</f>
        <v>7074</v>
      </c>
      <c r="U55" s="1"/>
      <c r="V55" s="5">
        <f t="shared" si="41"/>
        <v>8.9980538560362269E-3</v>
      </c>
      <c r="W55" s="1"/>
      <c r="X55" s="1">
        <f t="shared" si="42"/>
        <v>1966.2700000000004</v>
      </c>
      <c r="Y55" s="1"/>
      <c r="Z55" s="5">
        <f t="shared" si="43"/>
        <v>0.2779573084534917</v>
      </c>
    </row>
    <row r="56" spans="1:26" s="24" customFormat="1" hidden="1" outlineLevel="2" x14ac:dyDescent="0.25">
      <c r="A56" s="27"/>
      <c r="B56" s="11" t="str">
        <f>CONCATENATE("          ", "6399", " - ", "DONATION-ON CAMPUS")</f>
        <v xml:space="preserve">          6399 - DONATION-ON CAMPUS</v>
      </c>
      <c r="C56" s="11"/>
      <c r="D56" s="6">
        <v>4007.34</v>
      </c>
      <c r="E56" s="2"/>
      <c r="F56" s="7">
        <f t="shared" si="36"/>
        <v>1.0172323630947935E-2</v>
      </c>
      <c r="G56" s="2"/>
      <c r="H56" s="6">
        <v>3537</v>
      </c>
      <c r="I56" s="2"/>
      <c r="J56" s="7">
        <f t="shared" si="37"/>
        <v>8.9980538560362269E-3</v>
      </c>
      <c r="K56" s="2"/>
      <c r="L56" s="6">
        <f t="shared" si="38"/>
        <v>470.34000000000015</v>
      </c>
      <c r="M56" s="2"/>
      <c r="N56" s="7">
        <f t="shared" si="39"/>
        <v>0.13297709923664125</v>
      </c>
      <c r="O56" s="11"/>
      <c r="P56" s="6">
        <v>9040.27</v>
      </c>
      <c r="Q56" s="2"/>
      <c r="R56" s="7">
        <f t="shared" si="40"/>
        <v>1.0511462366664366E-2</v>
      </c>
      <c r="S56" s="2"/>
      <c r="T56" s="6">
        <v>7074</v>
      </c>
      <c r="U56" s="2"/>
      <c r="V56" s="7">
        <f t="shared" si="41"/>
        <v>8.9980538560362269E-3</v>
      </c>
      <c r="W56" s="2"/>
      <c r="X56" s="6">
        <f t="shared" si="42"/>
        <v>1966.2700000000004</v>
      </c>
      <c r="Y56" s="2"/>
      <c r="Z56" s="7">
        <f t="shared" si="43"/>
        <v>0.2779573084534917</v>
      </c>
    </row>
    <row r="57" spans="1:26" s="26" customFormat="1" outlineLevel="1" collapsed="1" x14ac:dyDescent="0.25">
      <c r="A57" s="25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36"/>
        <v>0</v>
      </c>
      <c r="G57" s="1"/>
      <c r="H57" s="1">
        <f>SUM(OSRRefH22_6x_0)</f>
        <v>0</v>
      </c>
      <c r="I57" s="1"/>
      <c r="J57" s="5">
        <f t="shared" si="37"/>
        <v>0</v>
      </c>
      <c r="K57" s="1"/>
      <c r="L57" s="1">
        <f t="shared" si="38"/>
        <v>0</v>
      </c>
      <c r="M57" s="1"/>
      <c r="N57" s="5">
        <f t="shared" si="39"/>
        <v>0</v>
      </c>
      <c r="O57" s="13"/>
      <c r="P57" s="1">
        <f>SUM(OSRRefP22_6x_0)</f>
        <v>21.34</v>
      </c>
      <c r="Q57" s="1"/>
      <c r="R57" s="5">
        <f t="shared" si="40"/>
        <v>2.4812821619776574E-5</v>
      </c>
      <c r="S57" s="1"/>
      <c r="T57" s="1">
        <f>SUM(OSRRefT22_6x_0)</f>
        <v>0</v>
      </c>
      <c r="U57" s="1"/>
      <c r="V57" s="5">
        <f t="shared" si="41"/>
        <v>0</v>
      </c>
      <c r="W57" s="1"/>
      <c r="X57" s="1">
        <f t="shared" si="42"/>
        <v>21.34</v>
      </c>
      <c r="Y57" s="1"/>
      <c r="Z57" s="5">
        <f t="shared" si="43"/>
        <v>0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0</v>
      </c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>
        <v>21.34</v>
      </c>
      <c r="Q58" s="2"/>
      <c r="R58" s="7">
        <f t="shared" si="40"/>
        <v>2.4812821619776574E-5</v>
      </c>
      <c r="S58" s="2"/>
      <c r="T58" s="6">
        <v>0</v>
      </c>
      <c r="U58" s="2"/>
      <c r="V58" s="7">
        <f t="shared" si="41"/>
        <v>0</v>
      </c>
      <c r="W58" s="2"/>
      <c r="X58" s="6">
        <f t="shared" si="42"/>
        <v>21.34</v>
      </c>
      <c r="Y58" s="2"/>
      <c r="Z58" s="7">
        <f t="shared" si="43"/>
        <v>0</v>
      </c>
    </row>
    <row r="59" spans="1:26" s="26" customFormat="1" outlineLevel="1" collapsed="1" x14ac:dyDescent="0.25">
      <c r="A59" s="25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0.01</v>
      </c>
      <c r="Q59" s="1"/>
      <c r="R59" s="5">
        <f t="shared" si="40"/>
        <v>1.1627376579089304E-8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0.01</v>
      </c>
      <c r="Y59" s="1"/>
      <c r="Z59" s="5">
        <f t="shared" si="43"/>
        <v>0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0.01</v>
      </c>
      <c r="Q60" s="2"/>
      <c r="R60" s="7">
        <f t="shared" si="40"/>
        <v>1.1627376579089304E-8</v>
      </c>
      <c r="S60" s="2"/>
      <c r="T60" s="6"/>
      <c r="U60" s="2"/>
      <c r="V60" s="7">
        <f t="shared" si="41"/>
        <v>0</v>
      </c>
      <c r="W60" s="2"/>
      <c r="X60" s="6">
        <f t="shared" si="42"/>
        <v>0.01</v>
      </c>
      <c r="Y60" s="2"/>
      <c r="Z60" s="7">
        <f t="shared" si="43"/>
        <v>0</v>
      </c>
    </row>
    <row r="61" spans="1:26" s="26" customFormat="1" outlineLevel="1" collapsed="1" x14ac:dyDescent="0.25">
      <c r="A61" s="25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275</v>
      </c>
      <c r="I61" s="1"/>
      <c r="J61" s="5">
        <f t="shared" si="37"/>
        <v>6.9959423534350076E-4</v>
      </c>
      <c r="K61" s="1"/>
      <c r="L61" s="1">
        <f t="shared" si="38"/>
        <v>-275</v>
      </c>
      <c r="M61" s="1"/>
      <c r="N61" s="5">
        <f t="shared" si="39"/>
        <v>-1</v>
      </c>
      <c r="O61" s="13"/>
      <c r="P61" s="1">
        <f>SUM(OSRRefP22_8x_0)</f>
        <v>1517.11</v>
      </c>
      <c r="Q61" s="1"/>
      <c r="R61" s="5">
        <f t="shared" si="40"/>
        <v>1.7640009281902173E-3</v>
      </c>
      <c r="S61" s="1"/>
      <c r="T61" s="1">
        <f>SUM(OSRRefT22_8x_0)</f>
        <v>1100</v>
      </c>
      <c r="U61" s="1"/>
      <c r="V61" s="5">
        <f t="shared" si="41"/>
        <v>1.3991884706870015E-3</v>
      </c>
      <c r="W61" s="1"/>
      <c r="X61" s="1">
        <f t="shared" si="42"/>
        <v>417.1099999999999</v>
      </c>
      <c r="Y61" s="1"/>
      <c r="Z61" s="5">
        <f t="shared" si="43"/>
        <v>0.37919090909090902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275</v>
      </c>
      <c r="I62" s="2"/>
      <c r="J62" s="7">
        <f t="shared" si="37"/>
        <v>6.9959423534350076E-4</v>
      </c>
      <c r="K62" s="2"/>
      <c r="L62" s="6">
        <f t="shared" si="38"/>
        <v>-275</v>
      </c>
      <c r="M62" s="2"/>
      <c r="N62" s="7">
        <f t="shared" si="39"/>
        <v>-1</v>
      </c>
      <c r="O62" s="11"/>
      <c r="P62" s="6">
        <v>1517.11</v>
      </c>
      <c r="Q62" s="2"/>
      <c r="R62" s="7">
        <f t="shared" si="40"/>
        <v>1.7640009281902173E-3</v>
      </c>
      <c r="S62" s="2"/>
      <c r="T62" s="6">
        <v>1100</v>
      </c>
      <c r="U62" s="2"/>
      <c r="V62" s="7">
        <f t="shared" si="41"/>
        <v>1.3991884706870015E-3</v>
      </c>
      <c r="W62" s="2"/>
      <c r="X62" s="6">
        <f t="shared" si="42"/>
        <v>417.1099999999999</v>
      </c>
      <c r="Y62" s="2"/>
      <c r="Z62" s="7">
        <f t="shared" si="43"/>
        <v>0.37919090909090902</v>
      </c>
    </row>
    <row r="63" spans="1:26" s="26" customFormat="1" outlineLevel="1" collapsed="1" x14ac:dyDescent="0.25">
      <c r="A63" s="25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6"/>
        <v>1.4976695120102817E-5</v>
      </c>
      <c r="G63" s="1"/>
      <c r="H63" s="1">
        <f>SUM(OSRRefH22_9x_0)</f>
        <v>5</v>
      </c>
      <c r="I63" s="1"/>
      <c r="J63" s="5">
        <f t="shared" si="37"/>
        <v>1.271989518806365E-5</v>
      </c>
      <c r="K63" s="1"/>
      <c r="L63" s="1">
        <f t="shared" si="38"/>
        <v>0.90000000000000036</v>
      </c>
      <c r="M63" s="1"/>
      <c r="N63" s="5">
        <f t="shared" si="39"/>
        <v>0.18000000000000008</v>
      </c>
      <c r="O63" s="13"/>
      <c r="P63" s="1">
        <f>SUM(OSRRefP22_9x_0)</f>
        <v>23.6</v>
      </c>
      <c r="Q63" s="1"/>
      <c r="R63" s="5">
        <f t="shared" si="40"/>
        <v>2.7440608726650759E-5</v>
      </c>
      <c r="S63" s="1"/>
      <c r="T63" s="1">
        <f>SUM(OSRRefT22_9x_0)</f>
        <v>20</v>
      </c>
      <c r="U63" s="1"/>
      <c r="V63" s="5">
        <f t="shared" si="41"/>
        <v>2.54397903761273E-5</v>
      </c>
      <c r="W63" s="1"/>
      <c r="X63" s="1">
        <f t="shared" si="42"/>
        <v>3.6000000000000014</v>
      </c>
      <c r="Y63" s="1"/>
      <c r="Z63" s="5">
        <f t="shared" si="43"/>
        <v>0.18000000000000008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36"/>
        <v>1.4976695120102817E-5</v>
      </c>
      <c r="G64" s="2"/>
      <c r="H64" s="6">
        <v>5</v>
      </c>
      <c r="I64" s="2"/>
      <c r="J64" s="7">
        <f t="shared" si="37"/>
        <v>1.271989518806365E-5</v>
      </c>
      <c r="K64" s="2"/>
      <c r="L64" s="6">
        <f t="shared" si="38"/>
        <v>0.90000000000000036</v>
      </c>
      <c r="M64" s="2"/>
      <c r="N64" s="7">
        <f t="shared" si="39"/>
        <v>0.18000000000000008</v>
      </c>
      <c r="O64" s="11"/>
      <c r="P64" s="6">
        <v>23.6</v>
      </c>
      <c r="Q64" s="2"/>
      <c r="R64" s="7">
        <f t="shared" si="40"/>
        <v>2.7440608726650759E-5</v>
      </c>
      <c r="S64" s="2"/>
      <c r="T64" s="6">
        <v>20</v>
      </c>
      <c r="U64" s="2"/>
      <c r="V64" s="7">
        <f t="shared" si="41"/>
        <v>2.54397903761273E-5</v>
      </c>
      <c r="W64" s="2"/>
      <c r="X64" s="6">
        <f t="shared" si="42"/>
        <v>3.6000000000000014</v>
      </c>
      <c r="Y64" s="2"/>
      <c r="Z64" s="7">
        <f t="shared" si="43"/>
        <v>0.18000000000000008</v>
      </c>
    </row>
    <row r="65" spans="1:26" s="26" customFormat="1" outlineLevel="1" collapsed="1" x14ac:dyDescent="0.25">
      <c r="A65" s="25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31195.05</v>
      </c>
      <c r="E65" s="1"/>
      <c r="F65" s="5">
        <f t="shared" si="36"/>
        <v>7.9186229340061587E-2</v>
      </c>
      <c r="G65" s="1"/>
      <c r="H65" s="1">
        <f>SUM(OSRRefH22_10x_0)</f>
        <v>31446</v>
      </c>
      <c r="I65" s="1"/>
      <c r="J65" s="5">
        <f t="shared" si="37"/>
        <v>7.9997964816769906E-2</v>
      </c>
      <c r="K65" s="1"/>
      <c r="L65" s="1">
        <f t="shared" si="38"/>
        <v>-250.95000000000073</v>
      </c>
      <c r="M65" s="1"/>
      <c r="N65" s="5">
        <f t="shared" si="39"/>
        <v>-7.9803472619729282E-3</v>
      </c>
      <c r="O65" s="13"/>
      <c r="P65" s="1">
        <f>SUM(OSRRefP22_10x_0)</f>
        <v>66348.179999999993</v>
      </c>
      <c r="Q65" s="1"/>
      <c r="R65" s="5">
        <f t="shared" si="40"/>
        <v>7.7145527419720125E-2</v>
      </c>
      <c r="S65" s="1"/>
      <c r="T65" s="1">
        <f>SUM(OSRRefT22_10x_0)</f>
        <v>62892</v>
      </c>
      <c r="U65" s="1"/>
      <c r="V65" s="5">
        <f t="shared" si="41"/>
        <v>7.9997964816769906E-2</v>
      </c>
      <c r="W65" s="1"/>
      <c r="X65" s="1">
        <f t="shared" si="42"/>
        <v>3456.179999999993</v>
      </c>
      <c r="Y65" s="1"/>
      <c r="Z65" s="5">
        <f t="shared" si="43"/>
        <v>5.4954207212363944E-2</v>
      </c>
    </row>
    <row r="66" spans="1:26" s="24" customFormat="1" hidden="1" outlineLevel="2" x14ac:dyDescent="0.25">
      <c r="A66" s="27"/>
      <c r="B66" s="11" t="str">
        <f>CONCATENATE("          ", "6387", " - ", "COMMISSION DUE HOUSING")</f>
        <v xml:space="preserve">          6387 - COMMISSION DUE HOUSING</v>
      </c>
      <c r="C66" s="11"/>
      <c r="D66" s="6">
        <v>31195.05</v>
      </c>
      <c r="E66" s="2"/>
      <c r="F66" s="7">
        <f t="shared" si="36"/>
        <v>7.9186229340061587E-2</v>
      </c>
      <c r="G66" s="2"/>
      <c r="H66" s="6">
        <v>31446</v>
      </c>
      <c r="I66" s="2"/>
      <c r="J66" s="7">
        <f t="shared" si="37"/>
        <v>7.9997964816769906E-2</v>
      </c>
      <c r="K66" s="2"/>
      <c r="L66" s="6">
        <f t="shared" si="38"/>
        <v>-250.95000000000073</v>
      </c>
      <c r="M66" s="2"/>
      <c r="N66" s="7">
        <f t="shared" si="39"/>
        <v>-7.9803472619729282E-3</v>
      </c>
      <c r="O66" s="11"/>
      <c r="P66" s="6">
        <v>66348.179999999993</v>
      </c>
      <c r="Q66" s="2"/>
      <c r="R66" s="7">
        <f t="shared" si="40"/>
        <v>7.7145527419720125E-2</v>
      </c>
      <c r="S66" s="2"/>
      <c r="T66" s="6">
        <v>62892</v>
      </c>
      <c r="U66" s="2"/>
      <c r="V66" s="7">
        <f t="shared" si="41"/>
        <v>7.9997964816769906E-2</v>
      </c>
      <c r="W66" s="2"/>
      <c r="X66" s="6">
        <f t="shared" si="42"/>
        <v>3456.179999999993</v>
      </c>
      <c r="Y66" s="2"/>
      <c r="Z66" s="7">
        <f t="shared" si="43"/>
        <v>5.4954207212363944E-2</v>
      </c>
    </row>
    <row r="67" spans="1:26" s="26" customFormat="1" outlineLevel="1" collapsed="1" x14ac:dyDescent="0.25">
      <c r="A67" s="25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68.48</v>
      </c>
      <c r="E67" s="1"/>
      <c r="F67" s="5">
        <f t="shared" si="36"/>
        <v>1.7383120030926117E-4</v>
      </c>
      <c r="G67" s="1"/>
      <c r="H67" s="1">
        <f>SUM(OSRRefH22_11x_0)</f>
        <v>497</v>
      </c>
      <c r="I67" s="1"/>
      <c r="J67" s="5">
        <f t="shared" si="37"/>
        <v>1.2643575816935269E-3</v>
      </c>
      <c r="K67" s="1"/>
      <c r="L67" s="1">
        <f t="shared" si="38"/>
        <v>-428.52</v>
      </c>
      <c r="M67" s="1"/>
      <c r="N67" s="5">
        <f t="shared" si="39"/>
        <v>-0.86221327967806838</v>
      </c>
      <c r="O67" s="13"/>
      <c r="P67" s="1">
        <f>SUM(OSRRefP22_11x_0)</f>
        <v>68.48</v>
      </c>
      <c r="Q67" s="1"/>
      <c r="R67" s="5">
        <f t="shared" si="40"/>
        <v>7.962427481360355E-5</v>
      </c>
      <c r="S67" s="1"/>
      <c r="T67" s="1">
        <f>SUM(OSRRefT22_11x_0)</f>
        <v>2058</v>
      </c>
      <c r="U67" s="1"/>
      <c r="V67" s="5">
        <f t="shared" si="41"/>
        <v>2.6177544297034993E-3</v>
      </c>
      <c r="W67" s="1"/>
      <c r="X67" s="1">
        <f t="shared" si="42"/>
        <v>-1989.52</v>
      </c>
      <c r="Y67" s="1"/>
      <c r="Z67" s="5">
        <f t="shared" si="43"/>
        <v>-0.9667249757045675</v>
      </c>
    </row>
    <row r="68" spans="1:26" s="24" customFormat="1" hidden="1" outlineLevel="2" x14ac:dyDescent="0.25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36"/>
        <v>0</v>
      </c>
      <c r="G68" s="2"/>
      <c r="H68" s="6">
        <v>497</v>
      </c>
      <c r="I68" s="2"/>
      <c r="J68" s="7">
        <f t="shared" si="37"/>
        <v>1.2643575816935269E-3</v>
      </c>
      <c r="K68" s="2"/>
      <c r="L68" s="6">
        <f t="shared" si="38"/>
        <v>-497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1988</v>
      </c>
      <c r="U68" s="2"/>
      <c r="V68" s="7">
        <f t="shared" si="41"/>
        <v>2.5287151633870538E-3</v>
      </c>
      <c r="W68" s="2"/>
      <c r="X68" s="6">
        <f t="shared" si="42"/>
        <v>-1988</v>
      </c>
      <c r="Y68" s="2"/>
      <c r="Z68" s="7">
        <f t="shared" si="43"/>
        <v>-1</v>
      </c>
    </row>
    <row r="69" spans="1:26" s="24" customFormat="1" hidden="1" outlineLevel="2" x14ac:dyDescent="0.25">
      <c r="A69" s="27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/>
      <c r="Q69" s="2"/>
      <c r="R69" s="7">
        <f t="shared" si="40"/>
        <v>0</v>
      </c>
      <c r="S69" s="2"/>
      <c r="T69" s="6">
        <v>70</v>
      </c>
      <c r="U69" s="2"/>
      <c r="V69" s="7">
        <f t="shared" si="41"/>
        <v>8.9039266316445553E-5</v>
      </c>
      <c r="W69" s="2"/>
      <c r="X69" s="6">
        <f t="shared" si="42"/>
        <v>-70</v>
      </c>
      <c r="Y69" s="2"/>
      <c r="Z69" s="7">
        <f t="shared" si="43"/>
        <v>-1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68.48</v>
      </c>
      <c r="E70" s="2"/>
      <c r="F70" s="7">
        <f t="shared" si="36"/>
        <v>1.7383120030926117E-4</v>
      </c>
      <c r="G70" s="2"/>
      <c r="H70" s="6"/>
      <c r="I70" s="2"/>
      <c r="J70" s="7">
        <f t="shared" si="37"/>
        <v>0</v>
      </c>
      <c r="K70" s="2"/>
      <c r="L70" s="6">
        <f t="shared" si="38"/>
        <v>68.48</v>
      </c>
      <c r="M70" s="2"/>
      <c r="N70" s="7">
        <f t="shared" si="39"/>
        <v>0</v>
      </c>
      <c r="O70" s="11"/>
      <c r="P70" s="6">
        <v>68.48</v>
      </c>
      <c r="Q70" s="2"/>
      <c r="R70" s="7">
        <f t="shared" si="40"/>
        <v>7.962427481360355E-5</v>
      </c>
      <c r="S70" s="2"/>
      <c r="T70" s="6"/>
      <c r="U70" s="2"/>
      <c r="V70" s="7">
        <f t="shared" si="41"/>
        <v>0</v>
      </c>
      <c r="W70" s="2"/>
      <c r="X70" s="6">
        <f t="shared" si="42"/>
        <v>68.48</v>
      </c>
      <c r="Y70" s="2"/>
      <c r="Z70" s="7">
        <f t="shared" si="43"/>
        <v>0</v>
      </c>
    </row>
    <row r="71" spans="1:26" s="26" customFormat="1" outlineLevel="1" collapsed="1" x14ac:dyDescent="0.25">
      <c r="A71" s="25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6365.93</v>
      </c>
      <c r="E71" s="1"/>
      <c r="F71" s="5">
        <f t="shared" ref="F71:F74" si="44">IF(D$12=0,0,D71/D$12)</f>
        <v>1.6159422502697647E-2</v>
      </c>
      <c r="G71" s="1"/>
      <c r="H71" s="1">
        <f>SUM(OSRRefH22_12x_0)</f>
        <v>6202</v>
      </c>
      <c r="I71" s="1"/>
      <c r="J71" s="5">
        <f t="shared" ref="J71:J74" si="45">IF(H$12=0,0,H71/H$12)</f>
        <v>1.5777757991274153E-2</v>
      </c>
      <c r="K71" s="1"/>
      <c r="L71" s="1">
        <f t="shared" ref="L71:L74" si="46">+D71-H71</f>
        <v>163.93000000000029</v>
      </c>
      <c r="M71" s="1"/>
      <c r="N71" s="5">
        <f t="shared" ref="N71:N74" si="47">IF(H71=0,0,L71/H71)</f>
        <v>2.6431796194775925E-2</v>
      </c>
      <c r="O71" s="13"/>
      <c r="P71" s="1">
        <f>SUM(OSRRefP22_12x_0)</f>
        <v>25776.85</v>
      </c>
      <c r="Q71" s="1"/>
      <c r="R71" s="5">
        <f t="shared" ref="R71:R74" si="48">IF(P$12=0,0,P71/P$12)</f>
        <v>2.9971714197269812E-2</v>
      </c>
      <c r="S71" s="1"/>
      <c r="T71" s="1">
        <f>SUM(OSRRefT22_12x_0)</f>
        <v>19356</v>
      </c>
      <c r="U71" s="1"/>
      <c r="V71" s="5">
        <f t="shared" ref="V71:V74" si="49">IF(T$12=0,0,T71/T$12)</f>
        <v>2.4620629126016001E-2</v>
      </c>
      <c r="W71" s="1"/>
      <c r="X71" s="1">
        <f t="shared" ref="X71:X74" si="50">+P71-T71</f>
        <v>6420.8499999999985</v>
      </c>
      <c r="Y71" s="1"/>
      <c r="Z71" s="5">
        <f t="shared" ref="Z71:Z74" si="51">IF(T71=0,0,X71/T71)</f>
        <v>0.33172401322587303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669.64</v>
      </c>
      <c r="E72" s="2"/>
      <c r="F72" s="7">
        <f t="shared" si="44"/>
        <v>1.6998295119026524E-3</v>
      </c>
      <c r="G72" s="2"/>
      <c r="H72" s="6">
        <v>750</v>
      </c>
      <c r="I72" s="2"/>
      <c r="J72" s="7">
        <f t="shared" si="45"/>
        <v>1.9079842782095476E-3</v>
      </c>
      <c r="K72" s="2"/>
      <c r="L72" s="6">
        <f t="shared" si="46"/>
        <v>-80.360000000000014</v>
      </c>
      <c r="M72" s="2"/>
      <c r="N72" s="7">
        <f t="shared" si="47"/>
        <v>-0.10714666666666668</v>
      </c>
      <c r="O72" s="11"/>
      <c r="P72" s="6">
        <v>2828.56</v>
      </c>
      <c r="Q72" s="2"/>
      <c r="R72" s="7">
        <f t="shared" si="48"/>
        <v>3.288873229654884E-3</v>
      </c>
      <c r="S72" s="2"/>
      <c r="T72" s="6">
        <v>3000</v>
      </c>
      <c r="U72" s="2"/>
      <c r="V72" s="7">
        <f t="shared" si="49"/>
        <v>3.8159685564190951E-3</v>
      </c>
      <c r="W72" s="2"/>
      <c r="X72" s="6">
        <f t="shared" si="50"/>
        <v>-171.44000000000005</v>
      </c>
      <c r="Y72" s="2"/>
      <c r="Z72" s="7">
        <f t="shared" si="51"/>
        <v>-5.7146666666666686E-2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3639.27</v>
      </c>
      <c r="E73" s="2"/>
      <c r="F73" s="7">
        <f t="shared" si="44"/>
        <v>9.2380063135146743E-3</v>
      </c>
      <c r="G73" s="2"/>
      <c r="H73" s="6">
        <v>3852</v>
      </c>
      <c r="I73" s="2"/>
      <c r="J73" s="7">
        <f t="shared" si="45"/>
        <v>9.7994072528842357E-3</v>
      </c>
      <c r="K73" s="2"/>
      <c r="L73" s="6">
        <f t="shared" si="46"/>
        <v>-212.73000000000002</v>
      </c>
      <c r="M73" s="2"/>
      <c r="N73" s="7">
        <f t="shared" si="47"/>
        <v>-5.522585669781932E-2</v>
      </c>
      <c r="O73" s="11"/>
      <c r="P73" s="6">
        <v>16102.58</v>
      </c>
      <c r="Q73" s="2"/>
      <c r="R73" s="7">
        <f t="shared" si="48"/>
        <v>1.8723076155491184E-2</v>
      </c>
      <c r="S73" s="2"/>
      <c r="T73" s="6">
        <v>11556</v>
      </c>
      <c r="U73" s="2"/>
      <c r="V73" s="7">
        <f t="shared" si="49"/>
        <v>1.4699110879326354E-2</v>
      </c>
      <c r="W73" s="2"/>
      <c r="X73" s="6">
        <f t="shared" si="50"/>
        <v>4546.58</v>
      </c>
      <c r="Y73" s="2"/>
      <c r="Z73" s="7">
        <f t="shared" si="51"/>
        <v>0.39343890619591554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>
        <v>2057.02</v>
      </c>
      <c r="E74" s="2"/>
      <c r="F74" s="7">
        <f t="shared" si="44"/>
        <v>5.2215866772803207E-3</v>
      </c>
      <c r="G74" s="2"/>
      <c r="H74" s="6">
        <v>1600</v>
      </c>
      <c r="I74" s="2"/>
      <c r="J74" s="7">
        <f t="shared" si="45"/>
        <v>4.0703664601803684E-3</v>
      </c>
      <c r="K74" s="2"/>
      <c r="L74" s="6">
        <f t="shared" si="46"/>
        <v>457.02</v>
      </c>
      <c r="M74" s="2"/>
      <c r="N74" s="7">
        <f t="shared" si="47"/>
        <v>0.28563749999999999</v>
      </c>
      <c r="O74" s="11"/>
      <c r="P74" s="6">
        <v>6845.71</v>
      </c>
      <c r="Q74" s="2"/>
      <c r="R74" s="7">
        <f t="shared" si="48"/>
        <v>7.9597648121237444E-3</v>
      </c>
      <c r="S74" s="2"/>
      <c r="T74" s="6">
        <v>4800</v>
      </c>
      <c r="U74" s="2"/>
      <c r="V74" s="7">
        <f t="shared" si="49"/>
        <v>6.1055496902705526E-3</v>
      </c>
      <c r="W74" s="2"/>
      <c r="X74" s="6">
        <f t="shared" si="50"/>
        <v>2045.71</v>
      </c>
      <c r="Y74" s="2"/>
      <c r="Z74" s="7">
        <f t="shared" si="51"/>
        <v>0.42618958333333334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5537.7199999999993</v>
      </c>
      <c r="E75" s="1"/>
      <c r="F75" s="5">
        <f t="shared" ref="F75:F81" si="52">IF(D$12=0,0,D75/D$12)</f>
        <v>1.4057075271270467E-2</v>
      </c>
      <c r="G75" s="1"/>
      <c r="H75" s="1">
        <f>SUM(OSRRefH22_13x_0)</f>
        <v>5088</v>
      </c>
      <c r="I75" s="1"/>
      <c r="J75" s="5">
        <f t="shared" ref="J75:J81" si="53">IF(H$12=0,0,H75/H$12)</f>
        <v>1.294376534337357E-2</v>
      </c>
      <c r="K75" s="1"/>
      <c r="L75" s="1">
        <f t="shared" ref="L75:L81" si="54">+D75-H75</f>
        <v>449.71999999999935</v>
      </c>
      <c r="M75" s="1"/>
      <c r="N75" s="5">
        <f t="shared" ref="N75:N81" si="55">IF(H75=0,0,L75/H75)</f>
        <v>8.8388364779874079E-2</v>
      </c>
      <c r="O75" s="13"/>
      <c r="P75" s="1">
        <f>SUM(OSRRefP22_13x_0)</f>
        <v>26768.820000000003</v>
      </c>
      <c r="Q75" s="1"/>
      <c r="R75" s="5">
        <f t="shared" ref="R75:R81" si="56">IF(P$12=0,0,P75/P$12)</f>
        <v>3.1125115071785739E-2</v>
      </c>
      <c r="S75" s="1"/>
      <c r="T75" s="1">
        <f>SUM(OSRRefT22_13x_0)</f>
        <v>18764</v>
      </c>
      <c r="U75" s="1"/>
      <c r="V75" s="5">
        <f t="shared" ref="V75:V81" si="57">IF(T$12=0,0,T75/T$12)</f>
        <v>2.3867611330882634E-2</v>
      </c>
      <c r="W75" s="1"/>
      <c r="X75" s="1">
        <f t="shared" ref="X75:X81" si="58">+P75-T75</f>
        <v>8004.8200000000033</v>
      </c>
      <c r="Y75" s="1"/>
      <c r="Z75" s="5">
        <f t="shared" ref="Z75:Z81" si="59">IF(T75=0,0,X75/T75)</f>
        <v>0.42660520144958447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1832.19</v>
      </c>
      <c r="E76" s="2"/>
      <c r="F76" s="7">
        <f t="shared" si="52"/>
        <v>4.6508730562883358E-3</v>
      </c>
      <c r="G76" s="2"/>
      <c r="H76" s="6">
        <v>2005</v>
      </c>
      <c r="I76" s="2"/>
      <c r="J76" s="7">
        <f t="shared" si="53"/>
        <v>5.1006779704135235E-3</v>
      </c>
      <c r="K76" s="2"/>
      <c r="L76" s="6">
        <f t="shared" si="54"/>
        <v>-172.80999999999995</v>
      </c>
      <c r="M76" s="2"/>
      <c r="N76" s="7">
        <f t="shared" si="55"/>
        <v>-8.6189526184538623E-2</v>
      </c>
      <c r="O76" s="11"/>
      <c r="P76" s="6">
        <v>5981.4</v>
      </c>
      <c r="Q76" s="2"/>
      <c r="R76" s="7">
        <f t="shared" si="56"/>
        <v>6.9547990270164761E-3</v>
      </c>
      <c r="S76" s="2"/>
      <c r="T76" s="6">
        <v>6015</v>
      </c>
      <c r="U76" s="2"/>
      <c r="V76" s="7">
        <f t="shared" si="57"/>
        <v>7.6510169556202861E-3</v>
      </c>
      <c r="W76" s="2"/>
      <c r="X76" s="6">
        <f t="shared" si="58"/>
        <v>-33.600000000000364</v>
      </c>
      <c r="Y76" s="2"/>
      <c r="Z76" s="7">
        <f t="shared" si="59"/>
        <v>-5.5860349127182648E-3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426.97</v>
      </c>
      <c r="E77" s="2"/>
      <c r="F77" s="7">
        <f t="shared" si="52"/>
        <v>1.0838304263441187E-3</v>
      </c>
      <c r="G77" s="2"/>
      <c r="H77" s="6">
        <v>750</v>
      </c>
      <c r="I77" s="2"/>
      <c r="J77" s="7">
        <f t="shared" si="53"/>
        <v>1.9079842782095476E-3</v>
      </c>
      <c r="K77" s="2"/>
      <c r="L77" s="6">
        <f t="shared" si="54"/>
        <v>-323.02999999999997</v>
      </c>
      <c r="M77" s="2"/>
      <c r="N77" s="7">
        <f t="shared" si="55"/>
        <v>-0.43070666666666663</v>
      </c>
      <c r="O77" s="11"/>
      <c r="P77" s="6">
        <v>2262.77</v>
      </c>
      <c r="Q77" s="2"/>
      <c r="R77" s="7">
        <f t="shared" si="56"/>
        <v>2.6310078901865906E-3</v>
      </c>
      <c r="S77" s="2"/>
      <c r="T77" s="6">
        <v>2250</v>
      </c>
      <c r="U77" s="2"/>
      <c r="V77" s="7">
        <f t="shared" si="57"/>
        <v>2.8619764173143211E-3</v>
      </c>
      <c r="W77" s="2"/>
      <c r="X77" s="6">
        <f t="shared" si="58"/>
        <v>12.769999999999982</v>
      </c>
      <c r="Y77" s="2"/>
      <c r="Z77" s="7">
        <f t="shared" si="59"/>
        <v>5.6755555555555474E-3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391.43</v>
      </c>
      <c r="E78" s="2"/>
      <c r="F78" s="7">
        <f t="shared" si="52"/>
        <v>9.9361487641726198E-4</v>
      </c>
      <c r="G78" s="2"/>
      <c r="H78" s="6">
        <v>524</v>
      </c>
      <c r="I78" s="2"/>
      <c r="J78" s="7">
        <f t="shared" si="53"/>
        <v>1.3330450157090705E-3</v>
      </c>
      <c r="K78" s="2"/>
      <c r="L78" s="6">
        <f t="shared" si="54"/>
        <v>-132.57</v>
      </c>
      <c r="M78" s="2"/>
      <c r="N78" s="7">
        <f t="shared" si="55"/>
        <v>-0.25299618320610684</v>
      </c>
      <c r="O78" s="11"/>
      <c r="P78" s="6">
        <v>19749.84</v>
      </c>
      <c r="Q78" s="2"/>
      <c r="R78" s="7">
        <f t="shared" si="56"/>
        <v>2.2963882705676109E-2</v>
      </c>
      <c r="S78" s="2"/>
      <c r="T78" s="6">
        <v>1572</v>
      </c>
      <c r="U78" s="2"/>
      <c r="V78" s="7">
        <f t="shared" si="57"/>
        <v>1.9995675235636059E-3</v>
      </c>
      <c r="W78" s="2"/>
      <c r="X78" s="6">
        <f t="shared" si="58"/>
        <v>18177.84</v>
      </c>
      <c r="Y78" s="2"/>
      <c r="Z78" s="7">
        <f t="shared" si="59"/>
        <v>11.563511450381679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2858.69</v>
      </c>
      <c r="E79" s="2"/>
      <c r="F79" s="7">
        <f t="shared" si="52"/>
        <v>7.2565641648960543E-3</v>
      </c>
      <c r="G79" s="2"/>
      <c r="H79" s="6">
        <v>1809</v>
      </c>
      <c r="I79" s="2"/>
      <c r="J79" s="7">
        <f t="shared" si="53"/>
        <v>4.6020580790414288E-3</v>
      </c>
      <c r="K79" s="2"/>
      <c r="L79" s="6">
        <f t="shared" si="54"/>
        <v>1049.69</v>
      </c>
      <c r="M79" s="2"/>
      <c r="N79" s="7">
        <f t="shared" si="55"/>
        <v>0.58025981205085686</v>
      </c>
      <c r="O79" s="11"/>
      <c r="P79" s="6">
        <v>6364.99</v>
      </c>
      <c r="Q79" s="2"/>
      <c r="R79" s="7">
        <f t="shared" si="56"/>
        <v>7.4008135652137621E-3</v>
      </c>
      <c r="S79" s="2"/>
      <c r="T79" s="6">
        <v>5427</v>
      </c>
      <c r="U79" s="2"/>
      <c r="V79" s="7">
        <f t="shared" si="57"/>
        <v>6.9030871185621432E-3</v>
      </c>
      <c r="W79" s="2"/>
      <c r="X79" s="6">
        <f t="shared" si="58"/>
        <v>937.98999999999978</v>
      </c>
      <c r="Y79" s="2"/>
      <c r="Z79" s="7">
        <f t="shared" si="59"/>
        <v>0.1728376635341809</v>
      </c>
    </row>
    <row r="80" spans="1:26" s="24" customFormat="1" hidden="1" outlineLevel="2" x14ac:dyDescent="0.25">
      <c r="A80" s="27"/>
      <c r="B80" s="11" t="str">
        <f>CONCATENATE("          ", "6245", " - ", "PRINTING")</f>
        <v xml:space="preserve">          6245 - PRINTING</v>
      </c>
      <c r="C80" s="11"/>
      <c r="D80" s="6">
        <v>28.44</v>
      </c>
      <c r="E80" s="2"/>
      <c r="F80" s="7">
        <f t="shared" si="52"/>
        <v>7.2192747324699007E-5</v>
      </c>
      <c r="G80" s="2"/>
      <c r="H80" s="6"/>
      <c r="I80" s="2"/>
      <c r="J80" s="7">
        <f t="shared" si="53"/>
        <v>0</v>
      </c>
      <c r="K80" s="2"/>
      <c r="L80" s="6">
        <f t="shared" si="54"/>
        <v>28.44</v>
      </c>
      <c r="M80" s="2"/>
      <c r="N80" s="7">
        <f t="shared" si="55"/>
        <v>0</v>
      </c>
      <c r="O80" s="11"/>
      <c r="P80" s="6">
        <v>469.44</v>
      </c>
      <c r="Q80" s="2"/>
      <c r="R80" s="7">
        <f t="shared" si="56"/>
        <v>5.4583556612876826E-4</v>
      </c>
      <c r="S80" s="2"/>
      <c r="T80" s="6"/>
      <c r="U80" s="2"/>
      <c r="V80" s="7">
        <f t="shared" si="57"/>
        <v>0</v>
      </c>
      <c r="W80" s="2"/>
      <c r="X80" s="6">
        <f t="shared" si="58"/>
        <v>469.44</v>
      </c>
      <c r="Y80" s="2"/>
      <c r="Z80" s="7">
        <f t="shared" si="59"/>
        <v>0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-8059.62</v>
      </c>
      <c r="Q81" s="2"/>
      <c r="R81" s="7">
        <f t="shared" si="56"/>
        <v>-9.3712236824359738E-3</v>
      </c>
      <c r="S81" s="2"/>
      <c r="T81" s="6">
        <v>3500</v>
      </c>
      <c r="U81" s="2"/>
      <c r="V81" s="7">
        <f t="shared" si="57"/>
        <v>4.4519633158222778E-3</v>
      </c>
      <c r="W81" s="2"/>
      <c r="X81" s="6">
        <f t="shared" si="58"/>
        <v>-11559.619999999999</v>
      </c>
      <c r="Y81" s="2"/>
      <c r="Z81" s="7">
        <f t="shared" si="59"/>
        <v>-3.3027485714285709</v>
      </c>
    </row>
    <row r="82" spans="1:26" s="26" customFormat="1" outlineLevel="1" collapsed="1" x14ac:dyDescent="0.25">
      <c r="A82" s="25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SUM(OSRRefD22_14x_0)</f>
        <v>118.65</v>
      </c>
      <c r="E82" s="1"/>
      <c r="F82" s="5">
        <f t="shared" ref="F82:F88" si="60">IF(D$12=0,0,D82/D$12)</f>
        <v>3.0118387728816936E-4</v>
      </c>
      <c r="G82" s="1"/>
      <c r="H82" s="1">
        <f>SUM(OSRRefH22_14x_0)</f>
        <v>233</v>
      </c>
      <c r="I82" s="1"/>
      <c r="J82" s="5">
        <f t="shared" ref="J82:J88" si="61">IF(H$12=0,0,H82/H$12)</f>
        <v>5.9274711576376611E-4</v>
      </c>
      <c r="K82" s="1"/>
      <c r="L82" s="1">
        <f t="shared" ref="L82:L88" si="62">+D82-H82</f>
        <v>-114.35</v>
      </c>
      <c r="M82" s="1"/>
      <c r="N82" s="5">
        <f t="shared" ref="N82:N88" si="63">IF(H82=0,0,L82/H82)</f>
        <v>-0.4907725321888412</v>
      </c>
      <c r="O82" s="13"/>
      <c r="P82" s="1">
        <f>SUM(OSRRefP22_14x_0)</f>
        <v>563.54999999999995</v>
      </c>
      <c r="Q82" s="1"/>
      <c r="R82" s="5">
        <f t="shared" ref="R82:R88" si="64">IF(P$12=0,0,P82/P$12)</f>
        <v>6.5526080711457771E-4</v>
      </c>
      <c r="S82" s="1"/>
      <c r="T82" s="1">
        <f>SUM(OSRRefT22_14x_0)</f>
        <v>932</v>
      </c>
      <c r="U82" s="1"/>
      <c r="V82" s="5">
        <f t="shared" ref="V82:V88" si="65">IF(T$12=0,0,T82/T$12)</f>
        <v>1.1854942315275322E-3</v>
      </c>
      <c r="W82" s="1"/>
      <c r="X82" s="1">
        <f t="shared" ref="X82:X88" si="66">+P82-T82</f>
        <v>-368.45000000000005</v>
      </c>
      <c r="Y82" s="1"/>
      <c r="Z82" s="5">
        <f t="shared" ref="Z82:Z88" si="67">IF(T82=0,0,X82/T82)</f>
        <v>-0.39533261802575115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6">
        <v>118.65</v>
      </c>
      <c r="E83" s="2"/>
      <c r="F83" s="7">
        <f t="shared" si="60"/>
        <v>3.0118387728816936E-4</v>
      </c>
      <c r="G83" s="2"/>
      <c r="H83" s="6">
        <v>233</v>
      </c>
      <c r="I83" s="2"/>
      <c r="J83" s="7">
        <f t="shared" si="61"/>
        <v>5.9274711576376611E-4</v>
      </c>
      <c r="K83" s="2"/>
      <c r="L83" s="6">
        <f t="shared" si="62"/>
        <v>-114.35</v>
      </c>
      <c r="M83" s="2"/>
      <c r="N83" s="7">
        <f t="shared" si="63"/>
        <v>-0.4907725321888412</v>
      </c>
      <c r="O83" s="11"/>
      <c r="P83" s="6">
        <v>563.54999999999995</v>
      </c>
      <c r="Q83" s="2"/>
      <c r="R83" s="7">
        <f t="shared" si="64"/>
        <v>6.5526080711457771E-4</v>
      </c>
      <c r="S83" s="2"/>
      <c r="T83" s="6">
        <v>932</v>
      </c>
      <c r="U83" s="2"/>
      <c r="V83" s="7">
        <f t="shared" si="65"/>
        <v>1.1854942315275322E-3</v>
      </c>
      <c r="W83" s="2"/>
      <c r="X83" s="6">
        <f t="shared" si="66"/>
        <v>-368.45000000000005</v>
      </c>
      <c r="Y83" s="2"/>
      <c r="Z83" s="7">
        <f t="shared" si="67"/>
        <v>-0.39533261802575115</v>
      </c>
    </row>
    <row r="84" spans="1:26" s="26" customFormat="1" outlineLevel="1" collapsed="1" x14ac:dyDescent="0.25">
      <c r="A84" s="25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SUM(OSRRefD22_15x_0)</f>
        <v>48</v>
      </c>
      <c r="E84" s="1"/>
      <c r="F84" s="5">
        <f t="shared" si="60"/>
        <v>1.2184429928219241E-4</v>
      </c>
      <c r="G84" s="1"/>
      <c r="H84" s="1">
        <f>SUM(OSRRefH22_15x_0)</f>
        <v>0</v>
      </c>
      <c r="I84" s="1"/>
      <c r="J84" s="5">
        <f t="shared" si="61"/>
        <v>0</v>
      </c>
      <c r="K84" s="1"/>
      <c r="L84" s="1">
        <f t="shared" si="62"/>
        <v>48</v>
      </c>
      <c r="M84" s="1"/>
      <c r="N84" s="5">
        <f t="shared" si="63"/>
        <v>0</v>
      </c>
      <c r="O84" s="13"/>
      <c r="P84" s="1">
        <f>SUM(OSRRefP22_15x_0)</f>
        <v>1155.78</v>
      </c>
      <c r="Q84" s="1"/>
      <c r="R84" s="5">
        <f t="shared" si="64"/>
        <v>1.3438689302579835E-3</v>
      </c>
      <c r="S84" s="1"/>
      <c r="T84" s="1">
        <f>SUM(OSRRefT22_15x_0)</f>
        <v>2758</v>
      </c>
      <c r="U84" s="1"/>
      <c r="V84" s="5">
        <f t="shared" si="65"/>
        <v>3.5081470928679547E-3</v>
      </c>
      <c r="W84" s="1"/>
      <c r="X84" s="1">
        <f t="shared" si="66"/>
        <v>-1602.22</v>
      </c>
      <c r="Y84" s="1"/>
      <c r="Z84" s="5">
        <f t="shared" si="67"/>
        <v>-0.58093546047860767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6">
        <v>48</v>
      </c>
      <c r="E85" s="2"/>
      <c r="F85" s="7">
        <f t="shared" si="60"/>
        <v>1.2184429928219241E-4</v>
      </c>
      <c r="G85" s="2"/>
      <c r="H85" s="6"/>
      <c r="I85" s="2"/>
      <c r="J85" s="7">
        <f t="shared" si="61"/>
        <v>0</v>
      </c>
      <c r="K85" s="2"/>
      <c r="L85" s="6">
        <f t="shared" si="62"/>
        <v>48</v>
      </c>
      <c r="M85" s="2"/>
      <c r="N85" s="7">
        <f t="shared" si="63"/>
        <v>0</v>
      </c>
      <c r="O85" s="11"/>
      <c r="P85" s="6">
        <v>1155.78</v>
      </c>
      <c r="Q85" s="2"/>
      <c r="R85" s="7">
        <f t="shared" si="64"/>
        <v>1.3438689302579835E-3</v>
      </c>
      <c r="S85" s="2"/>
      <c r="T85" s="6">
        <v>2758</v>
      </c>
      <c r="U85" s="2"/>
      <c r="V85" s="7">
        <f t="shared" si="65"/>
        <v>3.5081470928679547E-3</v>
      </c>
      <c r="W85" s="2"/>
      <c r="X85" s="6">
        <f t="shared" si="66"/>
        <v>-1602.22</v>
      </c>
      <c r="Y85" s="2"/>
      <c r="Z85" s="7">
        <f t="shared" si="67"/>
        <v>-0.58093546047860767</v>
      </c>
    </row>
    <row r="86" spans="1:26" s="26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SUM(OSRRefD22_16x_0)</f>
        <v>0</v>
      </c>
      <c r="E86" s="1"/>
      <c r="F86" s="5">
        <f t="shared" si="60"/>
        <v>0</v>
      </c>
      <c r="G86" s="1"/>
      <c r="H86" s="1">
        <f>SUM(OSRRefH22_16x_0)</f>
        <v>50</v>
      </c>
      <c r="I86" s="1"/>
      <c r="J86" s="5">
        <f t="shared" si="61"/>
        <v>1.2719895188063651E-4</v>
      </c>
      <c r="K86" s="1"/>
      <c r="L86" s="1">
        <f t="shared" si="62"/>
        <v>-50</v>
      </c>
      <c r="M86" s="1"/>
      <c r="N86" s="5">
        <f t="shared" si="63"/>
        <v>-1</v>
      </c>
      <c r="O86" s="13"/>
      <c r="P86" s="1">
        <f>SUM(OSRRefP22_16x_0)</f>
        <v>79.510000000000005</v>
      </c>
      <c r="Q86" s="1"/>
      <c r="R86" s="5">
        <f t="shared" si="64"/>
        <v>9.2449271180339057E-5</v>
      </c>
      <c r="S86" s="1"/>
      <c r="T86" s="1">
        <f>SUM(OSRRefT22_16x_0)</f>
        <v>200</v>
      </c>
      <c r="U86" s="1"/>
      <c r="V86" s="5">
        <f t="shared" si="65"/>
        <v>2.5439790376127302E-4</v>
      </c>
      <c r="W86" s="1"/>
      <c r="X86" s="1">
        <f t="shared" si="66"/>
        <v>-120.49</v>
      </c>
      <c r="Y86" s="1"/>
      <c r="Z86" s="5">
        <f t="shared" si="67"/>
        <v>-0.60244999999999993</v>
      </c>
    </row>
    <row r="87" spans="1:26" s="24" customFormat="1" hidden="1" outlineLevel="2" x14ac:dyDescent="0.25">
      <c r="A87" s="27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79.510000000000005</v>
      </c>
      <c r="Q87" s="2"/>
      <c r="R87" s="7">
        <f t="shared" si="64"/>
        <v>9.2449271180339057E-5</v>
      </c>
      <c r="S87" s="2"/>
      <c r="T87" s="6"/>
      <c r="U87" s="2"/>
      <c r="V87" s="7">
        <f t="shared" si="65"/>
        <v>0</v>
      </c>
      <c r="W87" s="2"/>
      <c r="X87" s="6">
        <f t="shared" si="66"/>
        <v>79.510000000000005</v>
      </c>
      <c r="Y87" s="2"/>
      <c r="Z87" s="7">
        <f t="shared" si="67"/>
        <v>0</v>
      </c>
    </row>
    <row r="88" spans="1:26" s="24" customFormat="1" hidden="1" outlineLevel="2" x14ac:dyDescent="0.25">
      <c r="A88" s="27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60"/>
        <v>0</v>
      </c>
      <c r="G88" s="2"/>
      <c r="H88" s="6">
        <v>50</v>
      </c>
      <c r="I88" s="2"/>
      <c r="J88" s="7">
        <f t="shared" si="61"/>
        <v>1.2719895188063651E-4</v>
      </c>
      <c r="K88" s="2"/>
      <c r="L88" s="6">
        <f t="shared" si="62"/>
        <v>-50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200</v>
      </c>
      <c r="U88" s="2"/>
      <c r="V88" s="7">
        <f t="shared" si="65"/>
        <v>2.5439790376127302E-4</v>
      </c>
      <c r="W88" s="2"/>
      <c r="X88" s="6">
        <f t="shared" si="66"/>
        <v>-200</v>
      </c>
      <c r="Y88" s="2"/>
      <c r="Z88" s="7">
        <f t="shared" si="67"/>
        <v>-1</v>
      </c>
    </row>
    <row r="89" spans="1:26" s="61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2">
        <f>+D23-D25+D90</f>
        <v>132017.51999999999</v>
      </c>
      <c r="E92" s="14"/>
      <c r="F92" s="20">
        <f>IF(D$12=0,0,D92/D$12)</f>
        <v>0.33511629619526706</v>
      </c>
      <c r="G92" s="14"/>
      <c r="H92" s="22">
        <f>+H23-H25+H90</f>
        <v>154445.32616617769</v>
      </c>
      <c r="I92" s="14"/>
      <c r="J92" s="20">
        <f>IF(H$12=0,0,H92/H$12)</f>
        <v>0.3929056722240169</v>
      </c>
      <c r="K92" s="16"/>
      <c r="L92" s="22">
        <f>+D92-H92</f>
        <v>-22427.806166177703</v>
      </c>
      <c r="M92" s="16"/>
      <c r="N92" s="20">
        <f>IF(H92=0,0,L92/H92)</f>
        <v>-0.14521518211594295</v>
      </c>
      <c r="O92" s="29"/>
      <c r="P92" s="22">
        <f>+P23-P25+P90</f>
        <v>163225.31999999989</v>
      </c>
      <c r="Q92" s="14"/>
      <c r="R92" s="20">
        <f>IF(P$12=0,0,P92/P$12)</f>
        <v>0.18978822628823555</v>
      </c>
      <c r="S92" s="14"/>
      <c r="T92" s="22">
        <f>+T23-T25+T90</f>
        <v>202036.5344553708</v>
      </c>
      <c r="U92" s="14"/>
      <c r="V92" s="20">
        <f>IF(T$12=0,0,T92/T$12)</f>
        <v>0.25698835424319272</v>
      </c>
      <c r="W92" s="16"/>
      <c r="X92" s="22">
        <f>+P92-T92</f>
        <v>-38811.214455370908</v>
      </c>
      <c r="Y92" s="16"/>
      <c r="Z92" s="20">
        <f>IF(T92=0,0,X92/T92)</f>
        <v>-0.19209998112467216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36509.089999999997</v>
      </c>
      <c r="E94" s="4"/>
      <c r="F94" s="12">
        <f>IF(D$12=0,0,D94/D$12)</f>
        <v>9.2675510176677023E-2</v>
      </c>
      <c r="G94" s="4"/>
      <c r="H94" s="4">
        <v>44954</v>
      </c>
      <c r="I94" s="4"/>
      <c r="J94" s="12">
        <f>IF(H$12=0,0,H94/H$12)</f>
        <v>0.11436203365684267</v>
      </c>
      <c r="K94" s="4"/>
      <c r="L94" s="4">
        <f>+D94-H94</f>
        <v>-8444.9100000000035</v>
      </c>
      <c r="M94" s="4"/>
      <c r="N94" s="12">
        <f>IF(H94=0,0,L94/H94)</f>
        <v>-0.1878566979579126</v>
      </c>
      <c r="O94" s="10"/>
      <c r="P94" s="4">
        <v>86573.74</v>
      </c>
      <c r="Q94" s="4"/>
      <c r="R94" s="12">
        <f>IF(P$12=0,0,P94/P$12)</f>
        <v>0.10066254768401668</v>
      </c>
      <c r="S94" s="4"/>
      <c r="T94" s="4">
        <v>94674</v>
      </c>
      <c r="U94" s="4"/>
      <c r="V94" s="12">
        <f>IF(T$12=0,0,T94/T$12)</f>
        <v>0.1204243357034738</v>
      </c>
      <c r="W94" s="4"/>
      <c r="X94" s="4">
        <f>+P94-T94</f>
        <v>-8100.2599999999948</v>
      </c>
      <c r="Y94" s="4"/>
      <c r="Z94" s="12">
        <f>IF(T94=0,0,X94/T94)</f>
        <v>-8.5559498912056053E-2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1">
        <f>+D92-D94</f>
        <v>95508.43</v>
      </c>
      <c r="E96" s="14"/>
      <c r="F96" s="33">
        <f>IF(D$12=0,0,D96/D$12)</f>
        <v>0.24244078601859004</v>
      </c>
      <c r="G96" s="14"/>
      <c r="H96" s="31">
        <f>+H92-H94</f>
        <v>109491.32616617769</v>
      </c>
      <c r="I96" s="14"/>
      <c r="J96" s="33">
        <f>IF(H$12=0,0,H96/H$12)</f>
        <v>0.27854363856717423</v>
      </c>
      <c r="K96" s="16"/>
      <c r="L96" s="31">
        <f>D96-H96</f>
        <v>-13982.896166177699</v>
      </c>
      <c r="M96" s="16"/>
      <c r="N96" s="33">
        <f>IF(H96=0,0,L96/H96)</f>
        <v>-0.12770779801274407</v>
      </c>
      <c r="O96" s="29"/>
      <c r="P96" s="31">
        <f>+P92-P94</f>
        <v>76651.579999999885</v>
      </c>
      <c r="Q96" s="14"/>
      <c r="R96" s="33">
        <f>IF(P$12=0,0,P96/P$12)</f>
        <v>8.9125678604218869E-2</v>
      </c>
      <c r="S96" s="14"/>
      <c r="T96" s="31">
        <f>+T92-T94</f>
        <v>107362.5344553708</v>
      </c>
      <c r="U96" s="14"/>
      <c r="V96" s="33">
        <f>IF(T$12=0,0,T96/T$12)</f>
        <v>0.13656401853971889</v>
      </c>
      <c r="W96" s="16"/>
      <c r="X96" s="31">
        <f>P96-T96</f>
        <v>-30710.954455370913</v>
      </c>
      <c r="Y96" s="16"/>
      <c r="Z96" s="33">
        <f>IF(T96=0,0,X96/T96)</f>
        <v>-0.28604908230940707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2">
        <f>SUM(D96:D98)</f>
        <v>95508.43</v>
      </c>
      <c r="E99" s="14"/>
      <c r="F99" s="34">
        <f>IF(D$12=0,0,D99/D$12)</f>
        <v>0.24244078601859004</v>
      </c>
      <c r="G99" s="14"/>
      <c r="H99" s="32">
        <f>SUM(H96:H98)</f>
        <v>109491.32616617769</v>
      </c>
      <c r="I99" s="14"/>
      <c r="J99" s="34">
        <f>IF(H$12=0,0,H99/H$12)</f>
        <v>0.27854363856717423</v>
      </c>
      <c r="K99" s="16"/>
      <c r="L99" s="32">
        <f>+D99-H99</f>
        <v>-13982.896166177699</v>
      </c>
      <c r="M99" s="16"/>
      <c r="N99" s="34">
        <f>IF(H99=0,0,L99/H99)</f>
        <v>-0.12770779801274407</v>
      </c>
      <c r="O99" s="29"/>
      <c r="P99" s="32">
        <f>SUM(P96:P98)</f>
        <v>76651.579999999885</v>
      </c>
      <c r="Q99" s="14"/>
      <c r="R99" s="34">
        <f>IF(P$12=0,0,P99/P$12)</f>
        <v>8.9125678604218869E-2</v>
      </c>
      <c r="S99" s="14"/>
      <c r="T99" s="32">
        <f>SUM(T96:T98)</f>
        <v>107362.5344553708</v>
      </c>
      <c r="U99" s="14"/>
      <c r="V99" s="34">
        <f>IF(T$12=0,0,T99/T$12)</f>
        <v>0.13656401853971889</v>
      </c>
      <c r="W99" s="16"/>
      <c r="X99" s="32">
        <f>+P99-T99</f>
        <v>-30710.954455370913</v>
      </c>
      <c r="Y99" s="16"/>
      <c r="Z99" s="34">
        <f>IF(T99=0,0,X99/T99)</f>
        <v>-0.28604908230940707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0">
        <v>43791.348741550923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4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5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">
        <v>298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27024</v>
      </c>
      <c r="E12" s="4"/>
      <c r="F12" s="12"/>
      <c r="G12" s="4"/>
      <c r="H12" s="4">
        <f>SUM(OSRRefH13x_0)</f>
        <v>26109</v>
      </c>
      <c r="I12" s="4"/>
      <c r="J12" s="12"/>
      <c r="K12" s="4"/>
      <c r="L12" s="4">
        <f t="shared" ref="L12:L13" si="0">+D12-H12</f>
        <v>915</v>
      </c>
      <c r="M12" s="4"/>
      <c r="N12" s="12">
        <f t="shared" ref="N12:N13" si="1">IF(H12=0,0,L12/H12)</f>
        <v>3.5045386648282204E-2</v>
      </c>
      <c r="O12" s="10"/>
      <c r="P12" s="4">
        <f>SUM(OSRRefP13x_0)</f>
        <v>123136</v>
      </c>
      <c r="Q12" s="4"/>
      <c r="R12" s="12"/>
      <c r="S12" s="4"/>
      <c r="T12" s="4">
        <f>SUM(OSRRefT13x_0)</f>
        <v>252585</v>
      </c>
      <c r="U12" s="4"/>
      <c r="V12" s="12"/>
      <c r="W12" s="4"/>
      <c r="X12" s="4">
        <f t="shared" ref="X12:X13" si="2">+P12-T12</f>
        <v>-129449</v>
      </c>
      <c r="Y12" s="4"/>
      <c r="Z12" s="12">
        <f t="shared" ref="Z12:Z13" si="3">IF(T12=0,0,X12/T12)</f>
        <v>-0.51249678326108039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--27024</f>
        <v>27024</v>
      </c>
      <c r="E13" s="2"/>
      <c r="F13" s="19"/>
      <c r="G13" s="2"/>
      <c r="H13" s="2">
        <v>26109</v>
      </c>
      <c r="I13" s="2"/>
      <c r="J13" s="19"/>
      <c r="K13" s="2"/>
      <c r="L13" s="2">
        <f t="shared" si="0"/>
        <v>915</v>
      </c>
      <c r="M13" s="2"/>
      <c r="N13" s="19">
        <f t="shared" si="1"/>
        <v>3.5045386648282204E-2</v>
      </c>
      <c r="O13" s="11"/>
      <c r="P13" s="2">
        <f>--123136</f>
        <v>123136</v>
      </c>
      <c r="Q13" s="2"/>
      <c r="R13" s="19"/>
      <c r="S13" s="2"/>
      <c r="T13" s="2">
        <v>252585</v>
      </c>
      <c r="U13" s="2"/>
      <c r="V13" s="19"/>
      <c r="W13" s="2"/>
      <c r="X13" s="2">
        <f t="shared" si="2"/>
        <v>-129449</v>
      </c>
      <c r="Y13" s="2"/>
      <c r="Z13" s="19">
        <f t="shared" si="3"/>
        <v>-0.51249678326108039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2">
        <f>D12-D15</f>
        <v>27024</v>
      </c>
      <c r="E17" s="14"/>
      <c r="F17" s="20">
        <f>IF(D$12=0,0,D17/D$12)</f>
        <v>1</v>
      </c>
      <c r="G17" s="14"/>
      <c r="H17" s="22">
        <f>H12-H15</f>
        <v>26109</v>
      </c>
      <c r="I17" s="14"/>
      <c r="J17" s="20">
        <f>IF(H$12=0,0,H17/H$12)</f>
        <v>1</v>
      </c>
      <c r="K17" s="16"/>
      <c r="L17" s="22">
        <f>+D17-H17</f>
        <v>915</v>
      </c>
      <c r="M17" s="16"/>
      <c r="N17" s="20">
        <f>IF(H17=0,0,L17/H17)</f>
        <v>3.5045386648282204E-2</v>
      </c>
      <c r="O17" s="29"/>
      <c r="P17" s="22">
        <f>P12-P15</f>
        <v>123136</v>
      </c>
      <c r="Q17" s="14"/>
      <c r="R17" s="20">
        <f>IF(P$12=0,0,P17/P$12)</f>
        <v>1</v>
      </c>
      <c r="S17" s="14"/>
      <c r="T17" s="22">
        <f>T12-T15</f>
        <v>252585</v>
      </c>
      <c r="U17" s="14"/>
      <c r="V17" s="20">
        <f>IF(T$12=0,0,T17/T$12)</f>
        <v>1</v>
      </c>
      <c r="W17" s="16"/>
      <c r="X17" s="22">
        <f>+P17-T17</f>
        <v>-129449</v>
      </c>
      <c r="Y17" s="16"/>
      <c r="Z17" s="20">
        <f>IF(T17=0,0,X17/T17)</f>
        <v>-0.51249678326108039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28361.109999999997</v>
      </c>
      <c r="E19" s="21"/>
      <c r="F19" s="35">
        <f t="shared" ref="F19:F29" si="4">IF(D$12=0,0,D19/D$12)</f>
        <v>1.0494786116044996</v>
      </c>
      <c r="G19" s="21"/>
      <c r="H19" s="21">
        <f>SUM(OSRRefH22x_0)</f>
        <v>25683.835776057691</v>
      </c>
      <c r="I19" s="21"/>
      <c r="J19" s="35">
        <f t="shared" ref="J19:J29" si="5">IF(H$12=0,0,H19/H$12)</f>
        <v>0.98371579823270483</v>
      </c>
      <c r="K19" s="4"/>
      <c r="L19" s="21">
        <f t="shared" ref="L19:L29" si="6">+D19-H19</f>
        <v>2677.274223942306</v>
      </c>
      <c r="M19" s="4"/>
      <c r="N19" s="35">
        <f t="shared" ref="N19:N29" si="7">IF(H19=0,0,L19/H19)</f>
        <v>0.10423965669637415</v>
      </c>
      <c r="O19" s="10"/>
      <c r="P19" s="21">
        <f>SUM(OSRRefP22x_0)</f>
        <v>123059.72000000002</v>
      </c>
      <c r="Q19" s="21"/>
      <c r="R19" s="35">
        <f t="shared" ref="R19:R29" si="8">IF(P$12=0,0,P19/P$12)</f>
        <v>0.99938052234927244</v>
      </c>
      <c r="S19" s="21"/>
      <c r="T19" s="21">
        <f>SUM(OSRRefT22x_0)</f>
        <v>231448.04679380771</v>
      </c>
      <c r="U19" s="21"/>
      <c r="V19" s="35">
        <f t="shared" ref="V19:V29" si="9">IF(T$12=0,0,T19/T$12)</f>
        <v>0.91631746459135621</v>
      </c>
      <c r="W19" s="4"/>
      <c r="X19" s="21">
        <f t="shared" ref="X19:X29" si="10">+P19-T19</f>
        <v>-108388.32679380769</v>
      </c>
      <c r="Y19" s="4"/>
      <c r="Z19" s="35">
        <f t="shared" ref="Z19:Z29" si="11">IF(T19=0,0,X19/T19)</f>
        <v>-0.46830521274767384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5753.8899999999985</v>
      </c>
      <c r="E20" s="1"/>
      <c r="F20" s="5">
        <f t="shared" si="4"/>
        <v>0.21291777679100055</v>
      </c>
      <c r="G20" s="1"/>
      <c r="H20" s="1">
        <f>SUM(OSRRefH22_0x_0)</f>
        <v>1096.0251991346149</v>
      </c>
      <c r="I20" s="1"/>
      <c r="J20" s="5">
        <f t="shared" si="5"/>
        <v>4.197882719118369E-2</v>
      </c>
      <c r="K20" s="1"/>
      <c r="L20" s="1">
        <f t="shared" si="6"/>
        <v>4657.8648008653836</v>
      </c>
      <c r="M20" s="1"/>
      <c r="N20" s="5">
        <f t="shared" si="7"/>
        <v>4.2497789325857465</v>
      </c>
      <c r="O20" s="13"/>
      <c r="P20" s="1">
        <f>SUM(OSRRefP22_0x_0)</f>
        <v>19249.959999999995</v>
      </c>
      <c r="Q20" s="1"/>
      <c r="R20" s="5">
        <f t="shared" si="8"/>
        <v>0.15633088617463614</v>
      </c>
      <c r="S20" s="1"/>
      <c r="T20" s="1">
        <f>SUM(OSRRefT22_0x_0)</f>
        <v>6192.628716884612</v>
      </c>
      <c r="U20" s="1"/>
      <c r="V20" s="5">
        <f t="shared" si="9"/>
        <v>2.4517008994534958E-2</v>
      </c>
      <c r="W20" s="1"/>
      <c r="X20" s="1">
        <f t="shared" si="10"/>
        <v>13057.331283115383</v>
      </c>
      <c r="Y20" s="1"/>
      <c r="Z20" s="5">
        <f t="shared" si="11"/>
        <v>2.1085280387493128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1531.59</v>
      </c>
      <c r="E21" s="2"/>
      <c r="F21" s="7">
        <f t="shared" si="4"/>
        <v>5.6675177619893428E-2</v>
      </c>
      <c r="G21" s="2"/>
      <c r="H21" s="6">
        <v>327.362226057692</v>
      </c>
      <c r="I21" s="2"/>
      <c r="J21" s="7">
        <f t="shared" si="5"/>
        <v>1.2538290476758666E-2</v>
      </c>
      <c r="K21" s="2"/>
      <c r="L21" s="6">
        <f t="shared" si="6"/>
        <v>1204.227773942308</v>
      </c>
      <c r="M21" s="2"/>
      <c r="N21" s="7">
        <f t="shared" si="7"/>
        <v>3.6785788893373526</v>
      </c>
      <c r="O21" s="11"/>
      <c r="P21" s="6">
        <v>4955.83</v>
      </c>
      <c r="Q21" s="2"/>
      <c r="R21" s="7">
        <f t="shared" si="8"/>
        <v>4.0246800285862784E-2</v>
      </c>
      <c r="S21" s="2"/>
      <c r="T21" s="6">
        <v>2739.7160138076902</v>
      </c>
      <c r="U21" s="2"/>
      <c r="V21" s="7">
        <f t="shared" si="9"/>
        <v>1.0846709083309342E-2</v>
      </c>
      <c r="W21" s="2"/>
      <c r="X21" s="6">
        <f t="shared" si="10"/>
        <v>2216.1139861923098</v>
      </c>
      <c r="Y21" s="2"/>
      <c r="Z21" s="7">
        <f t="shared" si="11"/>
        <v>0.80888456140106579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-7.08</v>
      </c>
      <c r="E22" s="2"/>
      <c r="F22" s="7">
        <f t="shared" si="4"/>
        <v>-2.6198934280639434E-4</v>
      </c>
      <c r="G22" s="2"/>
      <c r="H22" s="6">
        <v>226.62377884615401</v>
      </c>
      <c r="I22" s="2"/>
      <c r="J22" s="7">
        <f t="shared" si="5"/>
        <v>8.6799103315390869E-3</v>
      </c>
      <c r="K22" s="2"/>
      <c r="L22" s="6">
        <f t="shared" si="6"/>
        <v>-233.70377884615402</v>
      </c>
      <c r="M22" s="2"/>
      <c r="N22" s="7">
        <f t="shared" si="7"/>
        <v>-1.0312412052964943</v>
      </c>
      <c r="O22" s="11"/>
      <c r="P22" s="6">
        <v>163.41</v>
      </c>
      <c r="Q22" s="2"/>
      <c r="R22" s="7">
        <f t="shared" si="8"/>
        <v>1.3270692567567566E-3</v>
      </c>
      <c r="S22" s="2"/>
      <c r="T22" s="6">
        <v>958.77310384615407</v>
      </c>
      <c r="U22" s="2"/>
      <c r="V22" s="7">
        <f t="shared" si="9"/>
        <v>3.795843394683588E-3</v>
      </c>
      <c r="W22" s="2"/>
      <c r="X22" s="6">
        <f t="shared" si="10"/>
        <v>-795.3631038461541</v>
      </c>
      <c r="Y22" s="2"/>
      <c r="Z22" s="7">
        <f t="shared" si="11"/>
        <v>-0.8295634291945877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4.6007622853759617E-2</v>
      </c>
      <c r="G23" s="2"/>
      <c r="H23" s="6">
        <v>138.1</v>
      </c>
      <c r="I23" s="2"/>
      <c r="J23" s="7">
        <f t="shared" si="5"/>
        <v>5.2893638209046689E-3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4973.24</v>
      </c>
      <c r="Q23" s="2"/>
      <c r="R23" s="7">
        <f t="shared" si="8"/>
        <v>4.038818866943867E-2</v>
      </c>
      <c r="S23" s="2"/>
      <c r="T23" s="6">
        <v>552.4</v>
      </c>
      <c r="U23" s="2"/>
      <c r="V23" s="7">
        <f t="shared" si="9"/>
        <v>2.1869865589801453E-3</v>
      </c>
      <c r="W23" s="2"/>
      <c r="X23" s="6">
        <f t="shared" si="10"/>
        <v>4420.84</v>
      </c>
      <c r="Y23" s="2"/>
      <c r="Z23" s="7">
        <f t="shared" si="11"/>
        <v>8.0029688631426517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63.86</v>
      </c>
      <c r="E24" s="2"/>
      <c r="F24" s="7">
        <f t="shared" si="4"/>
        <v>2.3630846654825342E-3</v>
      </c>
      <c r="G24" s="2"/>
      <c r="H24" s="6">
        <v>31.011675</v>
      </c>
      <c r="I24" s="2"/>
      <c r="J24" s="7">
        <f t="shared" si="5"/>
        <v>1.1877772032632425E-3</v>
      </c>
      <c r="K24" s="2"/>
      <c r="L24" s="6">
        <f t="shared" si="6"/>
        <v>32.848325000000003</v>
      </c>
      <c r="M24" s="2"/>
      <c r="N24" s="7">
        <f t="shared" si="7"/>
        <v>1.0592244694941502</v>
      </c>
      <c r="O24" s="11"/>
      <c r="P24" s="6">
        <v>194.21</v>
      </c>
      <c r="Q24" s="2"/>
      <c r="R24" s="7">
        <f t="shared" si="8"/>
        <v>1.5771991943866945E-3</v>
      </c>
      <c r="S24" s="2"/>
      <c r="T24" s="6">
        <v>131.20052999999999</v>
      </c>
      <c r="U24" s="2"/>
      <c r="V24" s="7">
        <f t="shared" si="9"/>
        <v>5.1943120137775398E-4</v>
      </c>
      <c r="W24" s="2"/>
      <c r="X24" s="6">
        <f t="shared" si="10"/>
        <v>63.009470000000022</v>
      </c>
      <c r="Y24" s="2"/>
      <c r="Z24" s="7">
        <f t="shared" si="11"/>
        <v>0.48025316666022638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1470.79</v>
      </c>
      <c r="E25" s="2"/>
      <c r="F25" s="7">
        <f t="shared" si="4"/>
        <v>5.4425325636471282E-2</v>
      </c>
      <c r="G25" s="2"/>
      <c r="H25" s="6">
        <v>71.170788461538493</v>
      </c>
      <c r="I25" s="2"/>
      <c r="J25" s="7">
        <f t="shared" si="5"/>
        <v>2.7259101636040632E-3</v>
      </c>
      <c r="K25" s="2"/>
      <c r="L25" s="6">
        <f t="shared" si="6"/>
        <v>1399.6192115384615</v>
      </c>
      <c r="M25" s="2"/>
      <c r="N25" s="7">
        <f t="shared" si="7"/>
        <v>19.665641505360473</v>
      </c>
      <c r="O25" s="11"/>
      <c r="P25" s="6">
        <v>3328.3</v>
      </c>
      <c r="Q25" s="2"/>
      <c r="R25" s="7">
        <f t="shared" si="8"/>
        <v>2.7029463357588358E-2</v>
      </c>
      <c r="S25" s="2"/>
      <c r="T25" s="6">
        <v>256.21483846153859</v>
      </c>
      <c r="U25" s="2"/>
      <c r="V25" s="7">
        <f t="shared" si="9"/>
        <v>1.0143707601858328E-3</v>
      </c>
      <c r="W25" s="2"/>
      <c r="X25" s="6">
        <f t="shared" si="10"/>
        <v>3072.0851615384618</v>
      </c>
      <c r="Y25" s="2"/>
      <c r="Z25" s="7">
        <f t="shared" si="11"/>
        <v>11.990270274684439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866.91</v>
      </c>
      <c r="E27" s="2"/>
      <c r="F27" s="7">
        <f t="shared" si="4"/>
        <v>3.2079262877442269E-2</v>
      </c>
      <c r="G27" s="2"/>
      <c r="H27" s="6">
        <v>41.3783653846154</v>
      </c>
      <c r="I27" s="2"/>
      <c r="J27" s="7">
        <f t="shared" si="5"/>
        <v>1.5848314904674786E-3</v>
      </c>
      <c r="K27" s="2"/>
      <c r="L27" s="6">
        <f t="shared" si="6"/>
        <v>825.53163461538452</v>
      </c>
      <c r="M27" s="2"/>
      <c r="N27" s="7">
        <f t="shared" si="7"/>
        <v>19.950803443828637</v>
      </c>
      <c r="O27" s="11"/>
      <c r="P27" s="6">
        <v>3336.99</v>
      </c>
      <c r="Q27" s="2"/>
      <c r="R27" s="7">
        <f t="shared" si="8"/>
        <v>2.7100035732848232E-2</v>
      </c>
      <c r="S27" s="2"/>
      <c r="T27" s="6">
        <v>148.9621153846154</v>
      </c>
      <c r="U27" s="2"/>
      <c r="V27" s="7">
        <f t="shared" si="9"/>
        <v>5.8975044196850725E-4</v>
      </c>
      <c r="W27" s="2"/>
      <c r="X27" s="6">
        <f t="shared" si="10"/>
        <v>3188.0278846153842</v>
      </c>
      <c r="Y27" s="2"/>
      <c r="Z27" s="7">
        <f t="shared" si="11"/>
        <v>21.401601852820086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432.86</v>
      </c>
      <c r="E28" s="2"/>
      <c r="F28" s="7">
        <f t="shared" si="4"/>
        <v>1.6017613972764952E-2</v>
      </c>
      <c r="G28" s="2"/>
      <c r="H28" s="6">
        <v>110.37836538461499</v>
      </c>
      <c r="I28" s="2"/>
      <c r="J28" s="7">
        <f t="shared" si="5"/>
        <v>4.2275983524690721E-3</v>
      </c>
      <c r="K28" s="2"/>
      <c r="L28" s="6">
        <f t="shared" si="6"/>
        <v>322.48163461538502</v>
      </c>
      <c r="M28" s="2"/>
      <c r="N28" s="7">
        <f t="shared" si="7"/>
        <v>2.9216018328564037</v>
      </c>
      <c r="O28" s="11"/>
      <c r="P28" s="6">
        <v>1688.56</v>
      </c>
      <c r="Q28" s="2"/>
      <c r="R28" s="7">
        <f t="shared" si="8"/>
        <v>1.3712967775467775E-2</v>
      </c>
      <c r="S28" s="2"/>
      <c r="T28" s="6">
        <v>805.3621153846143</v>
      </c>
      <c r="U28" s="2"/>
      <c r="V28" s="7">
        <f t="shared" si="9"/>
        <v>3.1884795826538168E-3</v>
      </c>
      <c r="W28" s="2"/>
      <c r="X28" s="6">
        <f t="shared" si="10"/>
        <v>883.19788461538565</v>
      </c>
      <c r="Y28" s="2"/>
      <c r="Z28" s="7">
        <f t="shared" si="11"/>
        <v>1.0966469216069339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151.65</v>
      </c>
      <c r="E29" s="2"/>
      <c r="F29" s="7">
        <f t="shared" si="4"/>
        <v>5.6116785079928953E-3</v>
      </c>
      <c r="G29" s="2"/>
      <c r="H29" s="6">
        <v>150</v>
      </c>
      <c r="I29" s="2"/>
      <c r="J29" s="7">
        <f t="shared" si="5"/>
        <v>5.7451453521774097E-3</v>
      </c>
      <c r="K29" s="2"/>
      <c r="L29" s="6">
        <f t="shared" si="6"/>
        <v>1.6500000000000057</v>
      </c>
      <c r="M29" s="2"/>
      <c r="N29" s="7">
        <f t="shared" si="7"/>
        <v>1.1000000000000038E-2</v>
      </c>
      <c r="O29" s="11"/>
      <c r="P29" s="6">
        <v>609.41999999999996</v>
      </c>
      <c r="Q29" s="2"/>
      <c r="R29" s="7">
        <f t="shared" si="8"/>
        <v>4.949161902286902E-3</v>
      </c>
      <c r="S29" s="2"/>
      <c r="T29" s="6">
        <v>600</v>
      </c>
      <c r="U29" s="2"/>
      <c r="V29" s="7">
        <f t="shared" si="9"/>
        <v>2.3754379713759725E-3</v>
      </c>
      <c r="W29" s="2"/>
      <c r="X29" s="6">
        <f t="shared" si="10"/>
        <v>9.4199999999999591</v>
      </c>
      <c r="Y29" s="2"/>
      <c r="Z29" s="7">
        <f t="shared" si="11"/>
        <v>1.5699999999999933E-2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18394.18</v>
      </c>
      <c r="E30" s="1"/>
      <c r="F30" s="5">
        <f t="shared" ref="F30:F40" si="12">IF(D$12=0,0,D30/D$12)</f>
        <v>0.6806608940201303</v>
      </c>
      <c r="G30" s="1"/>
      <c r="H30" s="1">
        <f>SUM(OSRRefH22_1x_0)</f>
        <v>11775.810576923077</v>
      </c>
      <c r="I30" s="1"/>
      <c r="J30" s="5">
        <f t="shared" ref="J30:J40" si="13">IF(H$12=0,0,H30/H$12)</f>
        <v>0.45102495602754133</v>
      </c>
      <c r="K30" s="1"/>
      <c r="L30" s="1">
        <f t="shared" ref="L30:L40" si="14">+D30-H30</f>
        <v>6618.3694230769233</v>
      </c>
      <c r="M30" s="1"/>
      <c r="N30" s="5">
        <f t="shared" ref="N30:N40" si="15">IF(H30=0,0,L30/H30)</f>
        <v>0.56203090053493787</v>
      </c>
      <c r="O30" s="13"/>
      <c r="P30" s="1">
        <f>SUM(OSRRefP22_1x_0)</f>
        <v>72251.460000000006</v>
      </c>
      <c r="Q30" s="1"/>
      <c r="R30" s="5">
        <f t="shared" ref="R30:R40" si="16">IF(P$12=0,0,P30/P$12)</f>
        <v>0.58676146699584208</v>
      </c>
      <c r="S30" s="1"/>
      <c r="T30" s="1">
        <f>SUM(OSRRefT22_1x_0)</f>
        <v>49507.418076923081</v>
      </c>
      <c r="U30" s="1"/>
      <c r="V30" s="5">
        <f t="shared" ref="V30:V40" si="17">IF(T$12=0,0,T30/T$12)</f>
        <v>0.19600300127451384</v>
      </c>
      <c r="W30" s="1"/>
      <c r="X30" s="1">
        <f t="shared" ref="X30:X40" si="18">+P30-T30</f>
        <v>22744.041923076926</v>
      </c>
      <c r="Y30" s="1"/>
      <c r="Z30" s="5">
        <f t="shared" ref="Z30:Z40" si="19">IF(T30=0,0,X30/T30)</f>
        <v>0.45940674764613948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5005.29</v>
      </c>
      <c r="E32" s="2"/>
      <c r="F32" s="7">
        <f t="shared" si="12"/>
        <v>0.18521647424511545</v>
      </c>
      <c r="G32" s="2"/>
      <c r="H32" s="6">
        <v>744.81057692307706</v>
      </c>
      <c r="I32" s="2"/>
      <c r="J32" s="7">
        <f t="shared" si="13"/>
        <v>2.8526966828414612E-2</v>
      </c>
      <c r="K32" s="2"/>
      <c r="L32" s="6">
        <f t="shared" si="14"/>
        <v>4260.479423076923</v>
      </c>
      <c r="M32" s="2"/>
      <c r="N32" s="7">
        <f t="shared" si="15"/>
        <v>5.7202187443116008</v>
      </c>
      <c r="O32" s="11"/>
      <c r="P32" s="6">
        <v>23238.240000000002</v>
      </c>
      <c r="Q32" s="2"/>
      <c r="R32" s="7">
        <f t="shared" si="16"/>
        <v>0.18872011434511435</v>
      </c>
      <c r="S32" s="2"/>
      <c r="T32" s="6">
        <v>2681.318076923078</v>
      </c>
      <c r="U32" s="2"/>
      <c r="V32" s="7">
        <f t="shared" si="17"/>
        <v>1.0615507955433133E-2</v>
      </c>
      <c r="W32" s="2"/>
      <c r="X32" s="6">
        <f t="shared" si="18"/>
        <v>20556.921923076923</v>
      </c>
      <c r="Y32" s="2"/>
      <c r="Z32" s="7">
        <f t="shared" si="19"/>
        <v>7.6667226093022247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3381</v>
      </c>
      <c r="I34" s="2"/>
      <c r="J34" s="7">
        <f t="shared" si="13"/>
        <v>0.12949557623807884</v>
      </c>
      <c r="K34" s="2"/>
      <c r="L34" s="6">
        <f t="shared" si="14"/>
        <v>-3381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12171.6</v>
      </c>
      <c r="U34" s="2"/>
      <c r="V34" s="7">
        <f t="shared" si="17"/>
        <v>4.8188134687332976E-2</v>
      </c>
      <c r="W34" s="2"/>
      <c r="X34" s="6">
        <f t="shared" si="18"/>
        <v>-12171.6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11332.53</v>
      </c>
      <c r="E35" s="2"/>
      <c r="F35" s="7">
        <f t="shared" si="12"/>
        <v>0.41935057726465369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11332.53</v>
      </c>
      <c r="M35" s="2"/>
      <c r="N35" s="7">
        <f t="shared" si="15"/>
        <v>0</v>
      </c>
      <c r="O35" s="11"/>
      <c r="P35" s="6">
        <v>32682.59</v>
      </c>
      <c r="Q35" s="2"/>
      <c r="R35" s="7">
        <f t="shared" si="16"/>
        <v>0.26541864280145533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32682.59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1068.23</v>
      </c>
      <c r="E37" s="2"/>
      <c r="F37" s="7">
        <f t="shared" si="12"/>
        <v>3.9528937240970986E-2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1068.23</v>
      </c>
      <c r="M37" s="2"/>
      <c r="N37" s="7">
        <f t="shared" si="15"/>
        <v>0</v>
      </c>
      <c r="O37" s="11"/>
      <c r="P37" s="6">
        <v>13267.43</v>
      </c>
      <c r="Q37" s="2"/>
      <c r="R37" s="7">
        <f t="shared" si="16"/>
        <v>0.1077461505977131</v>
      </c>
      <c r="S37" s="2"/>
      <c r="T37" s="6">
        <v>19992</v>
      </c>
      <c r="U37" s="2"/>
      <c r="V37" s="7">
        <f t="shared" si="17"/>
        <v>7.9149593206247398E-2</v>
      </c>
      <c r="W37" s="2"/>
      <c r="X37" s="6">
        <f t="shared" si="18"/>
        <v>-6724.57</v>
      </c>
      <c r="Y37" s="2"/>
      <c r="Z37" s="7">
        <f t="shared" si="19"/>
        <v>-0.33636304521808724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988.13</v>
      </c>
      <c r="E38" s="2"/>
      <c r="F38" s="7">
        <f t="shared" si="12"/>
        <v>3.6564905269390172E-2</v>
      </c>
      <c r="G38" s="2"/>
      <c r="H38" s="6">
        <v>7650</v>
      </c>
      <c r="I38" s="2"/>
      <c r="J38" s="7">
        <f t="shared" si="13"/>
        <v>0.2930024129610479</v>
      </c>
      <c r="K38" s="2"/>
      <c r="L38" s="6">
        <f t="shared" si="14"/>
        <v>-6661.87</v>
      </c>
      <c r="M38" s="2"/>
      <c r="N38" s="7">
        <f t="shared" si="15"/>
        <v>-0.87083267973856204</v>
      </c>
      <c r="O38" s="11"/>
      <c r="P38" s="6">
        <v>3063.2</v>
      </c>
      <c r="Q38" s="2"/>
      <c r="R38" s="7">
        <f t="shared" si="16"/>
        <v>2.4876559251559249E-2</v>
      </c>
      <c r="S38" s="2"/>
      <c r="T38" s="6">
        <v>14662.5</v>
      </c>
      <c r="U38" s="2"/>
      <c r="V38" s="7">
        <f t="shared" si="17"/>
        <v>5.8049765425500326E-2</v>
      </c>
      <c r="W38" s="2"/>
      <c r="X38" s="6">
        <f t="shared" si="18"/>
        <v>-11599.3</v>
      </c>
      <c r="Y38" s="2"/>
      <c r="Z38" s="7">
        <f t="shared" si="19"/>
        <v>-0.79108610400682011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68.77</v>
      </c>
      <c r="E41" s="1"/>
      <c r="F41" s="5">
        <f t="shared" ref="F41:F59" si="20">IF(D$12=0,0,D41/D$12)</f>
        <v>2.5447750148016577E-3</v>
      </c>
      <c r="G41" s="1"/>
      <c r="H41" s="1">
        <f>SUM(OSRRefH22_2x_0)</f>
        <v>400</v>
      </c>
      <c r="I41" s="1"/>
      <c r="J41" s="5">
        <f t="shared" ref="J41:J59" si="21">IF(H$12=0,0,H41/H$12)</f>
        <v>1.5320387605806427E-2</v>
      </c>
      <c r="K41" s="1"/>
      <c r="L41" s="1">
        <f t="shared" ref="L41:L59" si="22">+D41-H41</f>
        <v>-331.23</v>
      </c>
      <c r="M41" s="1"/>
      <c r="N41" s="5">
        <f t="shared" ref="N41:N59" si="23">IF(H41=0,0,L41/H41)</f>
        <v>-0.82807500000000001</v>
      </c>
      <c r="O41" s="13"/>
      <c r="P41" s="1">
        <f>SUM(OSRRefP22_2x_0)</f>
        <v>106.77</v>
      </c>
      <c r="Q41" s="1"/>
      <c r="R41" s="5">
        <f t="shared" ref="R41:R59" si="24">IF(P$12=0,0,P41/P$12)</f>
        <v>8.6709004677754673E-4</v>
      </c>
      <c r="S41" s="1"/>
      <c r="T41" s="1">
        <f>SUM(OSRRefT22_2x_0)</f>
        <v>1600</v>
      </c>
      <c r="U41" s="1"/>
      <c r="V41" s="5">
        <f t="shared" ref="V41:V59" si="25">IF(T$12=0,0,T41/T$12)</f>
        <v>6.334501257002593E-3</v>
      </c>
      <c r="W41" s="1"/>
      <c r="X41" s="1">
        <f t="shared" ref="X41:X59" si="26">+P41-T41</f>
        <v>-1493.23</v>
      </c>
      <c r="Y41" s="1"/>
      <c r="Z41" s="5">
        <f t="shared" ref="Z41:Z59" si="27">IF(T41=0,0,X41/T41)</f>
        <v>-0.93326874999999998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68.77</v>
      </c>
      <c r="E42" s="2"/>
      <c r="F42" s="7">
        <f t="shared" si="20"/>
        <v>2.5447750148016577E-3</v>
      </c>
      <c r="G42" s="2"/>
      <c r="H42" s="6">
        <v>400</v>
      </c>
      <c r="I42" s="2"/>
      <c r="J42" s="7">
        <f t="shared" si="21"/>
        <v>1.5320387605806427E-2</v>
      </c>
      <c r="K42" s="2"/>
      <c r="L42" s="6">
        <f t="shared" si="22"/>
        <v>-331.23</v>
      </c>
      <c r="M42" s="2"/>
      <c r="N42" s="7">
        <f t="shared" si="23"/>
        <v>-0.82807500000000001</v>
      </c>
      <c r="O42" s="11"/>
      <c r="P42" s="6">
        <v>106.77</v>
      </c>
      <c r="Q42" s="2"/>
      <c r="R42" s="7">
        <f t="shared" si="24"/>
        <v>8.6709004677754673E-4</v>
      </c>
      <c r="S42" s="2"/>
      <c r="T42" s="6">
        <v>1600</v>
      </c>
      <c r="U42" s="2"/>
      <c r="V42" s="7">
        <f t="shared" si="25"/>
        <v>6.334501257002593E-3</v>
      </c>
      <c r="W42" s="2"/>
      <c r="X42" s="6">
        <f t="shared" si="26"/>
        <v>-1493.23</v>
      </c>
      <c r="Y42" s="2"/>
      <c r="Z42" s="7">
        <f t="shared" si="27"/>
        <v>-0.93326874999999998</v>
      </c>
    </row>
    <row r="43" spans="1:26" s="26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2910.64</v>
      </c>
      <c r="E43" s="1"/>
      <c r="F43" s="5">
        <f t="shared" si="20"/>
        <v>0.10770574304322084</v>
      </c>
      <c r="G43" s="1"/>
      <c r="H43" s="1">
        <f>SUM(OSRRefH22_3x_0)</f>
        <v>1700</v>
      </c>
      <c r="I43" s="1"/>
      <c r="J43" s="5">
        <f t="shared" si="21"/>
        <v>6.5111647324677308E-2</v>
      </c>
      <c r="K43" s="1"/>
      <c r="L43" s="1">
        <f t="shared" si="22"/>
        <v>1210.6399999999999</v>
      </c>
      <c r="M43" s="1"/>
      <c r="N43" s="5">
        <f t="shared" si="23"/>
        <v>0.71214117647058817</v>
      </c>
      <c r="O43" s="13"/>
      <c r="P43" s="1">
        <f>SUM(OSRRefP22_3x_0)</f>
        <v>8516.69</v>
      </c>
      <c r="Q43" s="1"/>
      <c r="R43" s="5">
        <f t="shared" si="24"/>
        <v>6.9164907094594594E-2</v>
      </c>
      <c r="S43" s="1"/>
      <c r="T43" s="1">
        <f>SUM(OSRRefT22_3x_0)</f>
        <v>6200</v>
      </c>
      <c r="U43" s="1"/>
      <c r="V43" s="5">
        <f t="shared" si="25"/>
        <v>2.454619237088505E-2</v>
      </c>
      <c r="W43" s="1"/>
      <c r="X43" s="1">
        <f t="shared" si="26"/>
        <v>2316.6900000000005</v>
      </c>
      <c r="Y43" s="1"/>
      <c r="Z43" s="5">
        <f t="shared" si="27"/>
        <v>0.37365967741935491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2910.64</v>
      </c>
      <c r="E44" s="2"/>
      <c r="F44" s="7">
        <f t="shared" si="20"/>
        <v>0.10770574304322084</v>
      </c>
      <c r="G44" s="2"/>
      <c r="H44" s="6">
        <v>1700</v>
      </c>
      <c r="I44" s="2"/>
      <c r="J44" s="7">
        <f t="shared" si="21"/>
        <v>6.5111647324677308E-2</v>
      </c>
      <c r="K44" s="2"/>
      <c r="L44" s="6">
        <f t="shared" si="22"/>
        <v>1210.6399999999999</v>
      </c>
      <c r="M44" s="2"/>
      <c r="N44" s="7">
        <f t="shared" si="23"/>
        <v>0.71214117647058817</v>
      </c>
      <c r="O44" s="11"/>
      <c r="P44" s="6">
        <v>8516.69</v>
      </c>
      <c r="Q44" s="2"/>
      <c r="R44" s="7">
        <f t="shared" si="24"/>
        <v>6.9164907094594594E-2</v>
      </c>
      <c r="S44" s="2"/>
      <c r="T44" s="6">
        <v>6200</v>
      </c>
      <c r="U44" s="2"/>
      <c r="V44" s="7">
        <f t="shared" si="25"/>
        <v>2.454619237088505E-2</v>
      </c>
      <c r="W44" s="2"/>
      <c r="X44" s="6">
        <f t="shared" si="26"/>
        <v>2316.6900000000005</v>
      </c>
      <c r="Y44" s="2"/>
      <c r="Z44" s="7">
        <f t="shared" si="27"/>
        <v>0.37365967741935491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2.8725726760887049E-3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5.2169958419958414E-4</v>
      </c>
      <c r="S45" s="1"/>
      <c r="T45" s="1">
        <f>SUM(OSRRefT22_4x_0)</f>
        <v>300</v>
      </c>
      <c r="U45" s="1"/>
      <c r="V45" s="5">
        <f t="shared" si="25"/>
        <v>1.1877189856879862E-3</v>
      </c>
      <c r="W45" s="1"/>
      <c r="X45" s="1">
        <f t="shared" si="26"/>
        <v>-235.76</v>
      </c>
      <c r="Y45" s="1"/>
      <c r="Z45" s="5">
        <f t="shared" si="27"/>
        <v>-0.7858666666666666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2.8725726760887049E-3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5.2169958419958414E-4</v>
      </c>
      <c r="S46" s="2"/>
      <c r="T46" s="6">
        <v>300</v>
      </c>
      <c r="U46" s="2"/>
      <c r="V46" s="7">
        <f t="shared" si="25"/>
        <v>1.1877189856879862E-3</v>
      </c>
      <c r="W46" s="2"/>
      <c r="X46" s="6">
        <f t="shared" si="26"/>
        <v>-235.76</v>
      </c>
      <c r="Y46" s="2"/>
      <c r="Z46" s="7">
        <f t="shared" si="27"/>
        <v>-0.7858666666666666</v>
      </c>
    </row>
    <row r="47" spans="1:26" s="26" customFormat="1" outlineLevel="1" collapsed="1" x14ac:dyDescent="0.25">
      <c r="A47" s="25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3.8300969014516066E-4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40</v>
      </c>
      <c r="U47" s="1"/>
      <c r="V47" s="5">
        <f t="shared" si="25"/>
        <v>1.5836253142506484E-4</v>
      </c>
      <c r="W47" s="1"/>
      <c r="X47" s="1">
        <f t="shared" si="26"/>
        <v>-40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3.8300969014516066E-4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40</v>
      </c>
      <c r="U48" s="2"/>
      <c r="V48" s="7">
        <f t="shared" si="25"/>
        <v>1.5836253142506484E-4</v>
      </c>
      <c r="W48" s="2"/>
      <c r="X48" s="6">
        <f t="shared" si="26"/>
        <v>-40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1.9150484507258034E-3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200</v>
      </c>
      <c r="U49" s="1"/>
      <c r="V49" s="5">
        <f t="shared" si="25"/>
        <v>7.9181265712532413E-4</v>
      </c>
      <c r="W49" s="1"/>
      <c r="X49" s="1">
        <f t="shared" si="26"/>
        <v>-200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1.9150484507258034E-3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200</v>
      </c>
      <c r="U50" s="2"/>
      <c r="V50" s="7">
        <f t="shared" si="25"/>
        <v>7.9181265712532413E-4</v>
      </c>
      <c r="W50" s="2"/>
      <c r="X50" s="6">
        <f t="shared" si="26"/>
        <v>-200</v>
      </c>
      <c r="Y50" s="2"/>
      <c r="Z50" s="7">
        <f t="shared" si="27"/>
        <v>-1</v>
      </c>
    </row>
    <row r="51" spans="1:26" s="26" customFormat="1" outlineLevel="1" collapsed="1" x14ac:dyDescent="0.25">
      <c r="A51" s="25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1.0734902309058616E-3</v>
      </c>
      <c r="G51" s="1"/>
      <c r="H51" s="1">
        <f>SUM(OSRRefH22_7x_0)</f>
        <v>27</v>
      </c>
      <c r="I51" s="1"/>
      <c r="J51" s="5">
        <f t="shared" si="21"/>
        <v>1.0341261633919339E-3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116.04</v>
      </c>
      <c r="Q51" s="1"/>
      <c r="R51" s="5">
        <f t="shared" si="24"/>
        <v>9.423726611226612E-4</v>
      </c>
      <c r="S51" s="1"/>
      <c r="T51" s="1">
        <f>SUM(OSRRefT22_7x_0)</f>
        <v>108</v>
      </c>
      <c r="U51" s="1"/>
      <c r="V51" s="5">
        <f t="shared" si="25"/>
        <v>4.2757883484767506E-4</v>
      </c>
      <c r="W51" s="1"/>
      <c r="X51" s="1">
        <f t="shared" si="26"/>
        <v>8.0400000000000063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1.0734902309058616E-3</v>
      </c>
      <c r="G52" s="2"/>
      <c r="H52" s="6">
        <v>27</v>
      </c>
      <c r="I52" s="2"/>
      <c r="J52" s="7">
        <f t="shared" si="21"/>
        <v>1.0341261633919339E-3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116.04</v>
      </c>
      <c r="Q52" s="2"/>
      <c r="R52" s="7">
        <f t="shared" si="24"/>
        <v>9.423726611226612E-4</v>
      </c>
      <c r="S52" s="2"/>
      <c r="T52" s="6">
        <v>108</v>
      </c>
      <c r="U52" s="2"/>
      <c r="V52" s="7">
        <f t="shared" si="25"/>
        <v>4.2757883484767506E-4</v>
      </c>
      <c r="W52" s="2"/>
      <c r="X52" s="6">
        <f t="shared" si="26"/>
        <v>8.0400000000000063</v>
      </c>
      <c r="Y52" s="2"/>
      <c r="Z52" s="7">
        <f t="shared" si="27"/>
        <v>7.4444444444444507E-2</v>
      </c>
    </row>
    <row r="53" spans="1:26" s="26" customFormat="1" outlineLevel="1" collapsed="1" x14ac:dyDescent="0.25">
      <c r="A53" s="25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1.5320387605806427E-2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1600</v>
      </c>
      <c r="U53" s="1"/>
      <c r="V53" s="5">
        <f t="shared" si="25"/>
        <v>6.334501257002593E-3</v>
      </c>
      <c r="W53" s="1"/>
      <c r="X53" s="1">
        <f t="shared" si="26"/>
        <v>-1600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1.5320387605806427E-2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1600</v>
      </c>
      <c r="U54" s="2"/>
      <c r="V54" s="7">
        <f t="shared" si="25"/>
        <v>6.334501257002593E-3</v>
      </c>
      <c r="W54" s="2"/>
      <c r="X54" s="6">
        <f t="shared" si="26"/>
        <v>-1600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2.9603315571343991E-2</v>
      </c>
      <c r="G55" s="1"/>
      <c r="H55" s="1">
        <f>SUM(OSRRefH22_9x_0)</f>
        <v>800</v>
      </c>
      <c r="I55" s="1"/>
      <c r="J55" s="5">
        <f t="shared" si="21"/>
        <v>3.0640775211612854E-2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3200</v>
      </c>
      <c r="Q55" s="1"/>
      <c r="R55" s="5">
        <f t="shared" si="24"/>
        <v>2.5987525987525989E-2</v>
      </c>
      <c r="S55" s="1"/>
      <c r="T55" s="1">
        <f>SUM(OSRRefT22_9x_0)</f>
        <v>3200</v>
      </c>
      <c r="U55" s="1"/>
      <c r="V55" s="5">
        <f t="shared" si="25"/>
        <v>1.2669002514005186E-2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2.9603315571343991E-2</v>
      </c>
      <c r="G56" s="2"/>
      <c r="H56" s="6">
        <v>800</v>
      </c>
      <c r="I56" s="2"/>
      <c r="J56" s="7">
        <f t="shared" si="21"/>
        <v>3.0640775211612854E-2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3200</v>
      </c>
      <c r="Q56" s="2"/>
      <c r="R56" s="7">
        <f t="shared" si="24"/>
        <v>2.5987525987525989E-2</v>
      </c>
      <c r="S56" s="2"/>
      <c r="T56" s="6">
        <v>3200</v>
      </c>
      <c r="U56" s="2"/>
      <c r="V56" s="7">
        <f t="shared" si="25"/>
        <v>1.2669002514005186E-2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7.6601938029032132E-2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437.31</v>
      </c>
      <c r="Q57" s="1"/>
      <c r="R57" s="5">
        <f t="shared" si="24"/>
        <v>3.5514390592515594E-3</v>
      </c>
      <c r="S57" s="1"/>
      <c r="T57" s="1">
        <f>SUM(OSRRefT22_10x_0)</f>
        <v>133000</v>
      </c>
      <c r="U57" s="1"/>
      <c r="V57" s="5">
        <f t="shared" si="25"/>
        <v>0.52655541698834052</v>
      </c>
      <c r="W57" s="1"/>
      <c r="X57" s="1">
        <f t="shared" si="26"/>
        <v>-132562.69</v>
      </c>
      <c r="Y57" s="1"/>
      <c r="Z57" s="5">
        <f t="shared" si="27"/>
        <v>-0.99671195488721809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3.5514390592515594E-3</v>
      </c>
      <c r="S58" s="2"/>
      <c r="T58" s="6">
        <v>125000</v>
      </c>
      <c r="U58" s="2"/>
      <c r="V58" s="7">
        <f t="shared" si="25"/>
        <v>0.49488291070332757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7.6601938029032132E-2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8000</v>
      </c>
      <c r="U59" s="2"/>
      <c r="V59" s="7">
        <f t="shared" si="25"/>
        <v>3.1672506285012968E-2</v>
      </c>
      <c r="W59" s="2"/>
      <c r="X59" s="6">
        <f t="shared" si="26"/>
        <v>-8000</v>
      </c>
      <c r="Y59" s="2"/>
      <c r="Z59" s="7">
        <f t="shared" si="27"/>
        <v>-1</v>
      </c>
    </row>
    <row r="60" spans="1:26" s="26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215.67</v>
      </c>
      <c r="E60" s="1"/>
      <c r="F60" s="5">
        <f t="shared" ref="F60:F63" si="28">IF(D$12=0,0,D60/D$12)</f>
        <v>7.9806838365896974E-3</v>
      </c>
      <c r="G60" s="1"/>
      <c r="H60" s="1">
        <f>SUM(OSRRefH22_11x_0)</f>
        <v>7000</v>
      </c>
      <c r="I60" s="1"/>
      <c r="J60" s="5">
        <f t="shared" ref="J60:J63" si="29">IF(H$12=0,0,H60/H$12)</f>
        <v>0.26810678310161246</v>
      </c>
      <c r="K60" s="1"/>
      <c r="L60" s="1">
        <f t="shared" ref="L60:L63" si="30">+D60-H60</f>
        <v>-6784.33</v>
      </c>
      <c r="M60" s="1"/>
      <c r="N60" s="5">
        <f t="shared" ref="N60:N63" si="31">IF(H60=0,0,L60/H60)</f>
        <v>-0.96919</v>
      </c>
      <c r="O60" s="13"/>
      <c r="P60" s="1">
        <f>SUM(OSRRefP22_11x_0)</f>
        <v>18352.650000000005</v>
      </c>
      <c r="Q60" s="1"/>
      <c r="R60" s="5">
        <f t="shared" ref="R60:R63" si="32">IF(P$12=0,0,P60/P$12)</f>
        <v>0.14904374025467779</v>
      </c>
      <c r="S60" s="1"/>
      <c r="T60" s="1">
        <f>SUM(OSRRefT22_11x_0)</f>
        <v>28100</v>
      </c>
      <c r="U60" s="1"/>
      <c r="V60" s="5">
        <f t="shared" ref="V60:V63" si="33">IF(T$12=0,0,T60/T$12)</f>
        <v>0.11124967832610805</v>
      </c>
      <c r="W60" s="1"/>
      <c r="X60" s="1">
        <f t="shared" ref="X60:X63" si="34">+P60-T60</f>
        <v>-9747.3499999999949</v>
      </c>
      <c r="Y60" s="1"/>
      <c r="Z60" s="5">
        <f t="shared" ref="Z60:Z63" si="35">IF(T60=0,0,X60/T60)</f>
        <v>-0.34688078291814928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28"/>
        <v>0</v>
      </c>
      <c r="G61" s="2"/>
      <c r="H61" s="6">
        <v>7000</v>
      </c>
      <c r="I61" s="2"/>
      <c r="J61" s="7">
        <f t="shared" si="29"/>
        <v>0.26810678310161246</v>
      </c>
      <c r="K61" s="2"/>
      <c r="L61" s="6">
        <f t="shared" si="30"/>
        <v>-7000</v>
      </c>
      <c r="M61" s="2"/>
      <c r="N61" s="7">
        <f t="shared" si="31"/>
        <v>-1</v>
      </c>
      <c r="O61" s="11"/>
      <c r="P61" s="6">
        <v>413.27</v>
      </c>
      <c r="Q61" s="2"/>
      <c r="R61" s="7">
        <f t="shared" si="32"/>
        <v>3.3562077702702703E-3</v>
      </c>
      <c r="S61" s="2"/>
      <c r="T61" s="6">
        <v>28100</v>
      </c>
      <c r="U61" s="2"/>
      <c r="V61" s="7">
        <f t="shared" si="33"/>
        <v>0.11124967832610805</v>
      </c>
      <c r="W61" s="2"/>
      <c r="X61" s="6">
        <f t="shared" si="34"/>
        <v>-27686.73</v>
      </c>
      <c r="Y61" s="2"/>
      <c r="Z61" s="7">
        <f t="shared" si="35"/>
        <v>-0.98529288256227754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215.67</v>
      </c>
      <c r="E62" s="2"/>
      <c r="F62" s="7">
        <f t="shared" si="28"/>
        <v>7.9806838365896974E-3</v>
      </c>
      <c r="G62" s="2"/>
      <c r="H62" s="6"/>
      <c r="I62" s="2"/>
      <c r="J62" s="7">
        <f t="shared" si="29"/>
        <v>0</v>
      </c>
      <c r="K62" s="2"/>
      <c r="L62" s="6">
        <f t="shared" si="30"/>
        <v>215.67</v>
      </c>
      <c r="M62" s="2"/>
      <c r="N62" s="7">
        <f t="shared" si="31"/>
        <v>0</v>
      </c>
      <c r="O62" s="11"/>
      <c r="P62" s="6">
        <v>17818.550000000003</v>
      </c>
      <c r="Q62" s="2"/>
      <c r="R62" s="7">
        <f t="shared" si="32"/>
        <v>0.14470625974532228</v>
      </c>
      <c r="S62" s="2"/>
      <c r="T62" s="6"/>
      <c r="U62" s="2"/>
      <c r="V62" s="7">
        <f t="shared" si="33"/>
        <v>0</v>
      </c>
      <c r="W62" s="2"/>
      <c r="X62" s="6">
        <f t="shared" si="34"/>
        <v>17818.550000000003</v>
      </c>
      <c r="Y62" s="2"/>
      <c r="Z62" s="7">
        <f t="shared" si="35"/>
        <v>0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120.83</v>
      </c>
      <c r="Q63" s="2"/>
      <c r="R63" s="7">
        <f t="shared" si="32"/>
        <v>9.8127273908523902E-4</v>
      </c>
      <c r="S63" s="2"/>
      <c r="T63" s="6"/>
      <c r="U63" s="2"/>
      <c r="V63" s="7">
        <f t="shared" si="33"/>
        <v>0</v>
      </c>
      <c r="W63" s="2"/>
      <c r="X63" s="6">
        <f t="shared" si="34"/>
        <v>120.83</v>
      </c>
      <c r="Y63" s="2"/>
      <c r="Z63" s="7">
        <f t="shared" si="35"/>
        <v>0</v>
      </c>
    </row>
    <row r="64" spans="1:26" s="26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188.95</v>
      </c>
      <c r="E64" s="1"/>
      <c r="F64" s="5">
        <f t="shared" ref="F64:F65" si="36">IF(D$12=0,0,D64/D$12)</f>
        <v>6.9919330965068083E-3</v>
      </c>
      <c r="G64" s="1"/>
      <c r="H64" s="1">
        <f>SUM(OSRRefH22_12x_0)</f>
        <v>350</v>
      </c>
      <c r="I64" s="1"/>
      <c r="J64" s="5">
        <f t="shared" ref="J64:J65" si="37">IF(H$12=0,0,H64/H$12)</f>
        <v>1.3405339155080624E-2</v>
      </c>
      <c r="K64" s="1"/>
      <c r="L64" s="1">
        <f t="shared" ref="L64:L65" si="38">+D64-H64</f>
        <v>-161.05000000000001</v>
      </c>
      <c r="M64" s="1"/>
      <c r="N64" s="5">
        <f t="shared" ref="N64:N65" si="39">IF(H64=0,0,L64/H64)</f>
        <v>-0.46014285714285719</v>
      </c>
      <c r="O64" s="13"/>
      <c r="P64" s="1">
        <f>SUM(OSRRefP22_12x_0)</f>
        <v>764.6</v>
      </c>
      <c r="Q64" s="1"/>
      <c r="R64" s="5">
        <f t="shared" ref="R64:R65" si="40">IF(P$12=0,0,P64/P$12)</f>
        <v>6.2093944906444912E-3</v>
      </c>
      <c r="S64" s="1"/>
      <c r="T64" s="1">
        <f>SUM(OSRRefT22_12x_0)</f>
        <v>1400</v>
      </c>
      <c r="U64" s="1"/>
      <c r="V64" s="5">
        <f t="shared" ref="V64:V65" si="41">IF(T$12=0,0,T64/T$12)</f>
        <v>5.542688599877269E-3</v>
      </c>
      <c r="W64" s="1"/>
      <c r="X64" s="1">
        <f t="shared" ref="X64:X65" si="42">+P64-T64</f>
        <v>-635.4</v>
      </c>
      <c r="Y64" s="1"/>
      <c r="Z64" s="5">
        <f t="shared" ref="Z64:Z65" si="43">IF(T64=0,0,X64/T64)</f>
        <v>-0.45385714285714285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188.95</v>
      </c>
      <c r="E65" s="2"/>
      <c r="F65" s="7">
        <f t="shared" si="36"/>
        <v>6.9919330965068083E-3</v>
      </c>
      <c r="G65" s="2"/>
      <c r="H65" s="6">
        <v>350</v>
      </c>
      <c r="I65" s="2"/>
      <c r="J65" s="7">
        <f t="shared" si="37"/>
        <v>1.3405339155080624E-2</v>
      </c>
      <c r="K65" s="2"/>
      <c r="L65" s="6">
        <f t="shared" si="38"/>
        <v>-161.05000000000001</v>
      </c>
      <c r="M65" s="2"/>
      <c r="N65" s="7">
        <f t="shared" si="39"/>
        <v>-0.46014285714285719</v>
      </c>
      <c r="O65" s="11"/>
      <c r="P65" s="6">
        <v>764.6</v>
      </c>
      <c r="Q65" s="2"/>
      <c r="R65" s="7">
        <f t="shared" si="40"/>
        <v>6.2093944906444912E-3</v>
      </c>
      <c r="S65" s="2"/>
      <c r="T65" s="6">
        <v>1400</v>
      </c>
      <c r="U65" s="2"/>
      <c r="V65" s="7">
        <f t="shared" si="41"/>
        <v>5.542688599877269E-3</v>
      </c>
      <c r="W65" s="2"/>
      <c r="X65" s="6">
        <f t="shared" si="42"/>
        <v>-635.4</v>
      </c>
      <c r="Y65" s="2"/>
      <c r="Z65" s="7">
        <f t="shared" si="43"/>
        <v>-0.45385714285714285</v>
      </c>
    </row>
    <row r="66" spans="1:26" s="61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3196.59</v>
      </c>
      <c r="E67" s="4"/>
      <c r="F67" s="12">
        <f t="shared" ref="F67:F68" si="44">IF(D$12=0,0,D67/D$12)</f>
        <v>0.11828707815275312</v>
      </c>
      <c r="G67" s="4"/>
      <c r="H67" s="4">
        <f>SUM(OSRRefH25x_0)</f>
        <v>3000</v>
      </c>
      <c r="I67" s="4"/>
      <c r="J67" s="12">
        <f t="shared" ref="J67:J68" si="45">IF(H$12=0,0,H67/H$12)</f>
        <v>0.11490290704354821</v>
      </c>
      <c r="K67" s="4"/>
      <c r="L67" s="4">
        <f t="shared" ref="L67:L68" si="46">+D67-H67</f>
        <v>196.59000000000015</v>
      </c>
      <c r="M67" s="4"/>
      <c r="N67" s="12">
        <f t="shared" ref="N67:N68" si="47">IF(H67=0,0,L67/H67)</f>
        <v>6.5530000000000047E-2</v>
      </c>
      <c r="O67" s="10"/>
      <c r="P67" s="4">
        <f>SUM(OSRRefP25x_0)</f>
        <v>10247.49</v>
      </c>
      <c r="Q67" s="4"/>
      <c r="R67" s="12">
        <f t="shared" ref="R67:R68" si="48">IF(P$12=0,0,P67/P$12)</f>
        <v>8.3220910213097715E-2</v>
      </c>
      <c r="S67" s="4"/>
      <c r="T67" s="4">
        <f>SUM(OSRRefT25x_0)</f>
        <v>12000</v>
      </c>
      <c r="U67" s="4"/>
      <c r="V67" s="12">
        <f t="shared" ref="V67:V68" si="49">IF(T$12=0,0,T67/T$12)</f>
        <v>4.7508759427519448E-2</v>
      </c>
      <c r="W67" s="4"/>
      <c r="X67" s="4">
        <f t="shared" ref="X67:X68" si="50">+P67-T67</f>
        <v>-1752.5100000000002</v>
      </c>
      <c r="Y67" s="4"/>
      <c r="Z67" s="12">
        <f t="shared" ref="Z67:Z68" si="51">IF(T67=0,0,X67/T67)</f>
        <v>-0.14604250000000002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--3196.59</f>
        <v>3196.59</v>
      </c>
      <c r="E68" s="2"/>
      <c r="F68" s="19">
        <f t="shared" si="44"/>
        <v>0.11828707815275312</v>
      </c>
      <c r="G68" s="2"/>
      <c r="H68" s="2">
        <v>3000</v>
      </c>
      <c r="I68" s="2"/>
      <c r="J68" s="19">
        <f t="shared" si="45"/>
        <v>0.11490290704354821</v>
      </c>
      <c r="K68" s="2"/>
      <c r="L68" s="2">
        <f t="shared" si="46"/>
        <v>196.59000000000015</v>
      </c>
      <c r="M68" s="2"/>
      <c r="N68" s="19">
        <f t="shared" si="47"/>
        <v>6.5530000000000047E-2</v>
      </c>
      <c r="O68" s="11"/>
      <c r="P68" s="2">
        <f>--10247.49</f>
        <v>10247.49</v>
      </c>
      <c r="Q68" s="2"/>
      <c r="R68" s="19">
        <f t="shared" si="48"/>
        <v>8.3220910213097715E-2</v>
      </c>
      <c r="S68" s="2"/>
      <c r="T68" s="2">
        <v>12000</v>
      </c>
      <c r="U68" s="2"/>
      <c r="V68" s="19">
        <f t="shared" si="49"/>
        <v>4.7508759427519448E-2</v>
      </c>
      <c r="W68" s="2"/>
      <c r="X68" s="2">
        <f t="shared" si="50"/>
        <v>-1752.5100000000002</v>
      </c>
      <c r="Y68" s="2"/>
      <c r="Z68" s="19">
        <f t="shared" si="51"/>
        <v>-0.14604250000000002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2">
        <f>+D17-D19+D67</f>
        <v>1859.4800000000032</v>
      </c>
      <c r="E70" s="14"/>
      <c r="F70" s="20">
        <f>IF(D$12=0,0,D70/D$12)</f>
        <v>6.8808466548253525E-2</v>
      </c>
      <c r="G70" s="14"/>
      <c r="H70" s="22">
        <f>+H17-H19+H67</f>
        <v>3425.164223942309</v>
      </c>
      <c r="I70" s="14"/>
      <c r="J70" s="20">
        <f>IF(H$12=0,0,H70/H$12)</f>
        <v>0.13118710881084336</v>
      </c>
      <c r="K70" s="16"/>
      <c r="L70" s="22">
        <f>+D70-H70</f>
        <v>-1565.6842239423058</v>
      </c>
      <c r="M70" s="16"/>
      <c r="N70" s="20">
        <f>IF(H70=0,0,L70/H70)</f>
        <v>-0.45711216209663325</v>
      </c>
      <c r="O70" s="29"/>
      <c r="P70" s="22">
        <f>+P17-P19+P67</f>
        <v>10323.769999999984</v>
      </c>
      <c r="Q70" s="14"/>
      <c r="R70" s="20">
        <f>IF(P$12=0,0,P70/P$12)</f>
        <v>8.3840387863825236E-2</v>
      </c>
      <c r="S70" s="14"/>
      <c r="T70" s="22">
        <f>+T17-T19+T67</f>
        <v>33136.953206192295</v>
      </c>
      <c r="U70" s="14"/>
      <c r="V70" s="20">
        <f>IF(T$12=0,0,T70/T$12)</f>
        <v>0.13119129483616326</v>
      </c>
      <c r="W70" s="16"/>
      <c r="X70" s="22">
        <f>+P70-T70</f>
        <v>-22813.183206192312</v>
      </c>
      <c r="Y70" s="16"/>
      <c r="Z70" s="20">
        <f>IF(T70=0,0,X70/T70)</f>
        <v>-0.68845144163493033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2071.48</v>
      </c>
      <c r="E72" s="4"/>
      <c r="F72" s="12">
        <f>IF(D$12=0,0,D72/D$12)</f>
        <v>7.6653345174659562E-2</v>
      </c>
      <c r="G72" s="4"/>
      <c r="H72" s="4">
        <v>1771</v>
      </c>
      <c r="I72" s="4"/>
      <c r="J72" s="12">
        <f>IF(H$12=0,0,H72/H$12)</f>
        <v>6.783101612470796E-2</v>
      </c>
      <c r="K72" s="4"/>
      <c r="L72" s="4">
        <f>+D72-H72</f>
        <v>300.48</v>
      </c>
      <c r="M72" s="4"/>
      <c r="N72" s="12">
        <f>IF(H72=0,0,L72/H72)</f>
        <v>0.16966685488424621</v>
      </c>
      <c r="O72" s="10"/>
      <c r="P72" s="4">
        <v>12395.18</v>
      </c>
      <c r="Q72" s="4"/>
      <c r="R72" s="12">
        <f>IF(P$12=0,0,P72/P$12)</f>
        <v>0.10066251949064449</v>
      </c>
      <c r="S72" s="4"/>
      <c r="T72" s="4">
        <v>30417</v>
      </c>
      <c r="U72" s="4"/>
      <c r="V72" s="12">
        <f>IF(T$12=0,0,T72/T$12)</f>
        <v>0.12042282795890492</v>
      </c>
      <c r="W72" s="4"/>
      <c r="X72" s="4">
        <f>+P72-T72</f>
        <v>-18021.82</v>
      </c>
      <c r="Y72" s="4"/>
      <c r="Z72" s="12">
        <f>IF(T72=0,0,X72/T72)</f>
        <v>-0.59249169872110985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1">
        <f>+D70-D72</f>
        <v>-211.99999999999682</v>
      </c>
      <c r="E74" s="14"/>
      <c r="F74" s="33">
        <f>IF(D$12=0,0,D74/D$12)</f>
        <v>-7.8448786264060395E-3</v>
      </c>
      <c r="G74" s="14"/>
      <c r="H74" s="31">
        <f>+H70-H72</f>
        <v>1654.164223942309</v>
      </c>
      <c r="I74" s="14"/>
      <c r="J74" s="33">
        <f>IF(H$12=0,0,H74/H$12)</f>
        <v>6.3356092686135401E-2</v>
      </c>
      <c r="K74" s="16"/>
      <c r="L74" s="31">
        <f>D74-H74</f>
        <v>-1866.1642239423059</v>
      </c>
      <c r="M74" s="16"/>
      <c r="N74" s="33">
        <f>IF(H74=0,0,L74/H74)</f>
        <v>-1.1281613983252188</v>
      </c>
      <c r="O74" s="29"/>
      <c r="P74" s="31">
        <f>+P70-P72</f>
        <v>-2071.4100000000162</v>
      </c>
      <c r="Q74" s="14"/>
      <c r="R74" s="33">
        <f>IF(P$12=0,0,P74/P$12)</f>
        <v>-1.682213162681926E-2</v>
      </c>
      <c r="S74" s="14"/>
      <c r="T74" s="31">
        <f>+T70-T72</f>
        <v>2719.9532061922946</v>
      </c>
      <c r="U74" s="14"/>
      <c r="V74" s="33">
        <f>IF(T$12=0,0,T74/T$12)</f>
        <v>1.0768466877258328E-2</v>
      </c>
      <c r="W74" s="16"/>
      <c r="X74" s="31">
        <f>P74-T74</f>
        <v>-4791.3632061923108</v>
      </c>
      <c r="Y74" s="16"/>
      <c r="Z74" s="33">
        <f>IF(T74=0,0,X74/T74)</f>
        <v>-1.7615608957110758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-211.99999999999682</v>
      </c>
      <c r="E77" s="14"/>
      <c r="F77" s="34">
        <f>IF(D$12=0,0,D77/D$12)</f>
        <v>-7.8448786264060395E-3</v>
      </c>
      <c r="G77" s="14"/>
      <c r="H77" s="32">
        <f>SUM(H74:H76)</f>
        <v>1654.164223942309</v>
      </c>
      <c r="I77" s="14"/>
      <c r="J77" s="34">
        <f>IF(H$12=0,0,H77/H$12)</f>
        <v>6.3356092686135401E-2</v>
      </c>
      <c r="K77" s="16"/>
      <c r="L77" s="32">
        <f>+D77-H77</f>
        <v>-1866.1642239423059</v>
      </c>
      <c r="M77" s="16"/>
      <c r="N77" s="34">
        <f>IF(H77=0,0,L77/H77)</f>
        <v>-1.1281613983252188</v>
      </c>
      <c r="O77" s="29"/>
      <c r="P77" s="32">
        <f>SUM(P74:P76)</f>
        <v>-2071.4100000000162</v>
      </c>
      <c r="Q77" s="14"/>
      <c r="R77" s="34">
        <f>IF(P$12=0,0,P77/P$12)</f>
        <v>-1.682213162681926E-2</v>
      </c>
      <c r="S77" s="14"/>
      <c r="T77" s="32">
        <f>SUM(T74:T76)</f>
        <v>2719.9532061922946</v>
      </c>
      <c r="U77" s="14"/>
      <c r="V77" s="34">
        <f>IF(T$12=0,0,T77/T$12)</f>
        <v>1.0768466877258328E-2</v>
      </c>
      <c r="W77" s="16"/>
      <c r="X77" s="32">
        <f>+P77-T77</f>
        <v>-4791.3632061923108</v>
      </c>
      <c r="Y77" s="16"/>
      <c r="Z77" s="34">
        <f>IF(T77=0,0,X77/T77)</f>
        <v>-1.7615608957110758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0">
        <v>43791.347861770832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4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5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",RIGHT(202004,2),", ",2020)</f>
        <v>Period 04, 2020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43771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27024</v>
      </c>
      <c r="E12" s="4"/>
      <c r="F12" s="12"/>
      <c r="G12" s="4"/>
      <c r="H12" s="4">
        <f>SUM(OSRRefH13x_0)</f>
        <v>26109</v>
      </c>
      <c r="I12" s="4"/>
      <c r="J12" s="12"/>
      <c r="K12" s="4"/>
      <c r="L12" s="4">
        <f t="shared" ref="L12:L13" si="0">+D12-H12</f>
        <v>915</v>
      </c>
      <c r="M12" s="4"/>
      <c r="N12" s="12">
        <f t="shared" ref="N12:N13" si="1">IF(H12=0,0,L12/H12)</f>
        <v>3.5045386648282204E-2</v>
      </c>
      <c r="O12" s="10"/>
      <c r="P12" s="4">
        <f>SUM(OSRRefP13x_0)</f>
        <v>123136</v>
      </c>
      <c r="Q12" s="4"/>
      <c r="R12" s="12"/>
      <c r="S12" s="4"/>
      <c r="T12" s="4">
        <f>SUM(OSRRefT13x_0)</f>
        <v>252585</v>
      </c>
      <c r="U12" s="4"/>
      <c r="V12" s="12"/>
      <c r="W12" s="4"/>
      <c r="X12" s="4">
        <f t="shared" ref="X12:X13" si="2">+P12-T12</f>
        <v>-129449</v>
      </c>
      <c r="Y12" s="4"/>
      <c r="Z12" s="12">
        <f t="shared" ref="Z12:Z13" si="3">IF(T12=0,0,X12/T12)</f>
        <v>-0.51249678326108039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--27024</f>
        <v>27024</v>
      </c>
      <c r="E13" s="2"/>
      <c r="F13" s="19"/>
      <c r="G13" s="2"/>
      <c r="H13" s="2">
        <v>26109</v>
      </c>
      <c r="I13" s="2"/>
      <c r="J13" s="19"/>
      <c r="K13" s="2"/>
      <c r="L13" s="2">
        <f t="shared" si="0"/>
        <v>915</v>
      </c>
      <c r="M13" s="2"/>
      <c r="N13" s="19">
        <f t="shared" si="1"/>
        <v>3.5045386648282204E-2</v>
      </c>
      <c r="O13" s="11"/>
      <c r="P13" s="2">
        <f>--123136</f>
        <v>123136</v>
      </c>
      <c r="Q13" s="2"/>
      <c r="R13" s="19"/>
      <c r="S13" s="2"/>
      <c r="T13" s="2">
        <v>252585</v>
      </c>
      <c r="U13" s="2"/>
      <c r="V13" s="19"/>
      <c r="W13" s="2"/>
      <c r="X13" s="2">
        <f t="shared" si="2"/>
        <v>-129449</v>
      </c>
      <c r="Y13" s="2"/>
      <c r="Z13" s="19">
        <f t="shared" si="3"/>
        <v>-0.51249678326108039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2">
        <f>D12-D15</f>
        <v>27024</v>
      </c>
      <c r="E17" s="14"/>
      <c r="F17" s="20">
        <f>IF(D$12=0,0,D17/D$12)</f>
        <v>1</v>
      </c>
      <c r="G17" s="14"/>
      <c r="H17" s="22">
        <f>H12-H15</f>
        <v>26109</v>
      </c>
      <c r="I17" s="14"/>
      <c r="J17" s="20">
        <f>IF(H$12=0,0,H17/H$12)</f>
        <v>1</v>
      </c>
      <c r="K17" s="16"/>
      <c r="L17" s="22">
        <f>+D17-H17</f>
        <v>915</v>
      </c>
      <c r="M17" s="16"/>
      <c r="N17" s="20">
        <f>IF(H17=0,0,L17/H17)</f>
        <v>3.5045386648282204E-2</v>
      </c>
      <c r="O17" s="29"/>
      <c r="P17" s="22">
        <f>P12-P15</f>
        <v>123136</v>
      </c>
      <c r="Q17" s="14"/>
      <c r="R17" s="20">
        <f>IF(P$12=0,0,P17/P$12)</f>
        <v>1</v>
      </c>
      <c r="S17" s="14"/>
      <c r="T17" s="22">
        <f>T12-T15</f>
        <v>252585</v>
      </c>
      <c r="U17" s="14"/>
      <c r="V17" s="20">
        <f>IF(T$12=0,0,T17/T$12)</f>
        <v>1</v>
      </c>
      <c r="W17" s="16"/>
      <c r="X17" s="22">
        <f>+P17-T17</f>
        <v>-129449</v>
      </c>
      <c r="Y17" s="16"/>
      <c r="Z17" s="20">
        <f>IF(T17=0,0,X17/T17)</f>
        <v>-0.51249678326108039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28361.109999999997</v>
      </c>
      <c r="E19" s="21"/>
      <c r="F19" s="35">
        <f t="shared" ref="F19:F29" si="4">IF(D$12=0,0,D19/D$12)</f>
        <v>1.0494786116044996</v>
      </c>
      <c r="G19" s="21"/>
      <c r="H19" s="21">
        <f>SUM(OSRRefH22x_0)</f>
        <v>25683.835776057691</v>
      </c>
      <c r="I19" s="21"/>
      <c r="J19" s="35">
        <f t="shared" ref="J19:J29" si="5">IF(H$12=0,0,H19/H$12)</f>
        <v>0.98371579823270483</v>
      </c>
      <c r="K19" s="4"/>
      <c r="L19" s="21">
        <f t="shared" ref="L19:L29" si="6">+D19-H19</f>
        <v>2677.274223942306</v>
      </c>
      <c r="M19" s="4"/>
      <c r="N19" s="35">
        <f t="shared" ref="N19:N29" si="7">IF(H19=0,0,L19/H19)</f>
        <v>0.10423965669637415</v>
      </c>
      <c r="O19" s="10"/>
      <c r="P19" s="21">
        <f>SUM(OSRRefP22x_0)</f>
        <v>123059.72000000002</v>
      </c>
      <c r="Q19" s="21"/>
      <c r="R19" s="35">
        <f t="shared" ref="R19:R29" si="8">IF(P$12=0,0,P19/P$12)</f>
        <v>0.99938052234927244</v>
      </c>
      <c r="S19" s="21"/>
      <c r="T19" s="21">
        <f>SUM(OSRRefT22x_0)</f>
        <v>231448.04679380771</v>
      </c>
      <c r="U19" s="21"/>
      <c r="V19" s="35">
        <f t="shared" ref="V19:V29" si="9">IF(T$12=0,0,T19/T$12)</f>
        <v>0.91631746459135621</v>
      </c>
      <c r="W19" s="4"/>
      <c r="X19" s="21">
        <f t="shared" ref="X19:X29" si="10">+P19-T19</f>
        <v>-108388.32679380769</v>
      </c>
      <c r="Y19" s="4"/>
      <c r="Z19" s="35">
        <f t="shared" ref="Z19:Z29" si="11">IF(T19=0,0,X19/T19)</f>
        <v>-0.46830521274767384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5753.8899999999985</v>
      </c>
      <c r="E20" s="1"/>
      <c r="F20" s="5">
        <f t="shared" si="4"/>
        <v>0.21291777679100055</v>
      </c>
      <c r="G20" s="1"/>
      <c r="H20" s="1">
        <f>SUM(OSRRefH22_0x_0)</f>
        <v>1096.0251991346149</v>
      </c>
      <c r="I20" s="1"/>
      <c r="J20" s="5">
        <f t="shared" si="5"/>
        <v>4.197882719118369E-2</v>
      </c>
      <c r="K20" s="1"/>
      <c r="L20" s="1">
        <f t="shared" si="6"/>
        <v>4657.8648008653836</v>
      </c>
      <c r="M20" s="1"/>
      <c r="N20" s="5">
        <f t="shared" si="7"/>
        <v>4.2497789325857465</v>
      </c>
      <c r="O20" s="13"/>
      <c r="P20" s="1">
        <f>SUM(OSRRefP22_0x_0)</f>
        <v>19249.959999999995</v>
      </c>
      <c r="Q20" s="1"/>
      <c r="R20" s="5">
        <f t="shared" si="8"/>
        <v>0.15633088617463614</v>
      </c>
      <c r="S20" s="1"/>
      <c r="T20" s="1">
        <f>SUM(OSRRefT22_0x_0)</f>
        <v>6192.628716884612</v>
      </c>
      <c r="U20" s="1"/>
      <c r="V20" s="5">
        <f t="shared" si="9"/>
        <v>2.4517008994534958E-2</v>
      </c>
      <c r="W20" s="1"/>
      <c r="X20" s="1">
        <f t="shared" si="10"/>
        <v>13057.331283115383</v>
      </c>
      <c r="Y20" s="1"/>
      <c r="Z20" s="5">
        <f t="shared" si="11"/>
        <v>2.1085280387493128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1531.59</v>
      </c>
      <c r="E21" s="2"/>
      <c r="F21" s="7">
        <f t="shared" si="4"/>
        <v>5.6675177619893428E-2</v>
      </c>
      <c r="G21" s="2"/>
      <c r="H21" s="6">
        <v>327.362226057692</v>
      </c>
      <c r="I21" s="2"/>
      <c r="J21" s="7">
        <f t="shared" si="5"/>
        <v>1.2538290476758666E-2</v>
      </c>
      <c r="K21" s="2"/>
      <c r="L21" s="6">
        <f t="shared" si="6"/>
        <v>1204.227773942308</v>
      </c>
      <c r="M21" s="2"/>
      <c r="N21" s="7">
        <f t="shared" si="7"/>
        <v>3.6785788893373526</v>
      </c>
      <c r="O21" s="11"/>
      <c r="P21" s="6">
        <v>4955.83</v>
      </c>
      <c r="Q21" s="2"/>
      <c r="R21" s="7">
        <f t="shared" si="8"/>
        <v>4.0246800285862784E-2</v>
      </c>
      <c r="S21" s="2"/>
      <c r="T21" s="6">
        <v>2739.7160138076902</v>
      </c>
      <c r="U21" s="2"/>
      <c r="V21" s="7">
        <f t="shared" si="9"/>
        <v>1.0846709083309342E-2</v>
      </c>
      <c r="W21" s="2"/>
      <c r="X21" s="6">
        <f t="shared" si="10"/>
        <v>2216.1139861923098</v>
      </c>
      <c r="Y21" s="2"/>
      <c r="Z21" s="7">
        <f t="shared" si="11"/>
        <v>0.80888456140106579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-7.08</v>
      </c>
      <c r="E22" s="2"/>
      <c r="F22" s="7">
        <f t="shared" si="4"/>
        <v>-2.6198934280639434E-4</v>
      </c>
      <c r="G22" s="2"/>
      <c r="H22" s="6">
        <v>226.62377884615401</v>
      </c>
      <c r="I22" s="2"/>
      <c r="J22" s="7">
        <f t="shared" si="5"/>
        <v>8.6799103315390869E-3</v>
      </c>
      <c r="K22" s="2"/>
      <c r="L22" s="6">
        <f t="shared" si="6"/>
        <v>-233.70377884615402</v>
      </c>
      <c r="M22" s="2"/>
      <c r="N22" s="7">
        <f t="shared" si="7"/>
        <v>-1.0312412052964943</v>
      </c>
      <c r="O22" s="11"/>
      <c r="P22" s="6">
        <v>163.41</v>
      </c>
      <c r="Q22" s="2"/>
      <c r="R22" s="7">
        <f t="shared" si="8"/>
        <v>1.3270692567567566E-3</v>
      </c>
      <c r="S22" s="2"/>
      <c r="T22" s="6">
        <v>958.77310384615407</v>
      </c>
      <c r="U22" s="2"/>
      <c r="V22" s="7">
        <f t="shared" si="9"/>
        <v>3.795843394683588E-3</v>
      </c>
      <c r="W22" s="2"/>
      <c r="X22" s="6">
        <f t="shared" si="10"/>
        <v>-795.3631038461541</v>
      </c>
      <c r="Y22" s="2"/>
      <c r="Z22" s="7">
        <f t="shared" si="11"/>
        <v>-0.8295634291945877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4.6007622853759617E-2</v>
      </c>
      <c r="G23" s="2"/>
      <c r="H23" s="6">
        <v>138.1</v>
      </c>
      <c r="I23" s="2"/>
      <c r="J23" s="7">
        <f t="shared" si="5"/>
        <v>5.2893638209046689E-3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4973.24</v>
      </c>
      <c r="Q23" s="2"/>
      <c r="R23" s="7">
        <f t="shared" si="8"/>
        <v>4.038818866943867E-2</v>
      </c>
      <c r="S23" s="2"/>
      <c r="T23" s="6">
        <v>552.4</v>
      </c>
      <c r="U23" s="2"/>
      <c r="V23" s="7">
        <f t="shared" si="9"/>
        <v>2.1869865589801453E-3</v>
      </c>
      <c r="W23" s="2"/>
      <c r="X23" s="6">
        <f t="shared" si="10"/>
        <v>4420.84</v>
      </c>
      <c r="Y23" s="2"/>
      <c r="Z23" s="7">
        <f t="shared" si="11"/>
        <v>8.0029688631426517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63.86</v>
      </c>
      <c r="E24" s="2"/>
      <c r="F24" s="7">
        <f t="shared" si="4"/>
        <v>2.3630846654825342E-3</v>
      </c>
      <c r="G24" s="2"/>
      <c r="H24" s="6">
        <v>31.011675</v>
      </c>
      <c r="I24" s="2"/>
      <c r="J24" s="7">
        <f t="shared" si="5"/>
        <v>1.1877772032632425E-3</v>
      </c>
      <c r="K24" s="2"/>
      <c r="L24" s="6">
        <f t="shared" si="6"/>
        <v>32.848325000000003</v>
      </c>
      <c r="M24" s="2"/>
      <c r="N24" s="7">
        <f t="shared" si="7"/>
        <v>1.0592244694941502</v>
      </c>
      <c r="O24" s="11"/>
      <c r="P24" s="6">
        <v>194.21</v>
      </c>
      <c r="Q24" s="2"/>
      <c r="R24" s="7">
        <f t="shared" si="8"/>
        <v>1.5771991943866945E-3</v>
      </c>
      <c r="S24" s="2"/>
      <c r="T24" s="6">
        <v>131.20052999999999</v>
      </c>
      <c r="U24" s="2"/>
      <c r="V24" s="7">
        <f t="shared" si="9"/>
        <v>5.1943120137775398E-4</v>
      </c>
      <c r="W24" s="2"/>
      <c r="X24" s="6">
        <f t="shared" si="10"/>
        <v>63.009470000000022</v>
      </c>
      <c r="Y24" s="2"/>
      <c r="Z24" s="7">
        <f t="shared" si="11"/>
        <v>0.48025316666022638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1470.79</v>
      </c>
      <c r="E25" s="2"/>
      <c r="F25" s="7">
        <f t="shared" si="4"/>
        <v>5.4425325636471282E-2</v>
      </c>
      <c r="G25" s="2"/>
      <c r="H25" s="6">
        <v>71.170788461538493</v>
      </c>
      <c r="I25" s="2"/>
      <c r="J25" s="7">
        <f t="shared" si="5"/>
        <v>2.7259101636040632E-3</v>
      </c>
      <c r="K25" s="2"/>
      <c r="L25" s="6">
        <f t="shared" si="6"/>
        <v>1399.6192115384615</v>
      </c>
      <c r="M25" s="2"/>
      <c r="N25" s="7">
        <f t="shared" si="7"/>
        <v>19.665641505360473</v>
      </c>
      <c r="O25" s="11"/>
      <c r="P25" s="6">
        <v>3328.3</v>
      </c>
      <c r="Q25" s="2"/>
      <c r="R25" s="7">
        <f t="shared" si="8"/>
        <v>2.7029463357588358E-2</v>
      </c>
      <c r="S25" s="2"/>
      <c r="T25" s="6">
        <v>256.21483846153859</v>
      </c>
      <c r="U25" s="2"/>
      <c r="V25" s="7">
        <f t="shared" si="9"/>
        <v>1.0143707601858328E-3</v>
      </c>
      <c r="W25" s="2"/>
      <c r="X25" s="6">
        <f t="shared" si="10"/>
        <v>3072.0851615384618</v>
      </c>
      <c r="Y25" s="2"/>
      <c r="Z25" s="7">
        <f t="shared" si="11"/>
        <v>11.990270274684439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866.91</v>
      </c>
      <c r="E27" s="2"/>
      <c r="F27" s="7">
        <f t="shared" si="4"/>
        <v>3.2079262877442269E-2</v>
      </c>
      <c r="G27" s="2"/>
      <c r="H27" s="6">
        <v>41.3783653846154</v>
      </c>
      <c r="I27" s="2"/>
      <c r="J27" s="7">
        <f t="shared" si="5"/>
        <v>1.5848314904674786E-3</v>
      </c>
      <c r="K27" s="2"/>
      <c r="L27" s="6">
        <f t="shared" si="6"/>
        <v>825.53163461538452</v>
      </c>
      <c r="M27" s="2"/>
      <c r="N27" s="7">
        <f t="shared" si="7"/>
        <v>19.950803443828637</v>
      </c>
      <c r="O27" s="11"/>
      <c r="P27" s="6">
        <v>3336.99</v>
      </c>
      <c r="Q27" s="2"/>
      <c r="R27" s="7">
        <f t="shared" si="8"/>
        <v>2.7100035732848232E-2</v>
      </c>
      <c r="S27" s="2"/>
      <c r="T27" s="6">
        <v>148.9621153846154</v>
      </c>
      <c r="U27" s="2"/>
      <c r="V27" s="7">
        <f t="shared" si="9"/>
        <v>5.8975044196850725E-4</v>
      </c>
      <c r="W27" s="2"/>
      <c r="X27" s="6">
        <f t="shared" si="10"/>
        <v>3188.0278846153842</v>
      </c>
      <c r="Y27" s="2"/>
      <c r="Z27" s="7">
        <f t="shared" si="11"/>
        <v>21.401601852820086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432.86</v>
      </c>
      <c r="E28" s="2"/>
      <c r="F28" s="7">
        <f t="shared" si="4"/>
        <v>1.6017613972764952E-2</v>
      </c>
      <c r="G28" s="2"/>
      <c r="H28" s="6">
        <v>110.37836538461499</v>
      </c>
      <c r="I28" s="2"/>
      <c r="J28" s="7">
        <f t="shared" si="5"/>
        <v>4.2275983524690721E-3</v>
      </c>
      <c r="K28" s="2"/>
      <c r="L28" s="6">
        <f t="shared" si="6"/>
        <v>322.48163461538502</v>
      </c>
      <c r="M28" s="2"/>
      <c r="N28" s="7">
        <f t="shared" si="7"/>
        <v>2.9216018328564037</v>
      </c>
      <c r="O28" s="11"/>
      <c r="P28" s="6">
        <v>1688.56</v>
      </c>
      <c r="Q28" s="2"/>
      <c r="R28" s="7">
        <f t="shared" si="8"/>
        <v>1.3712967775467775E-2</v>
      </c>
      <c r="S28" s="2"/>
      <c r="T28" s="6">
        <v>805.3621153846143</v>
      </c>
      <c r="U28" s="2"/>
      <c r="V28" s="7">
        <f t="shared" si="9"/>
        <v>3.1884795826538168E-3</v>
      </c>
      <c r="W28" s="2"/>
      <c r="X28" s="6">
        <f t="shared" si="10"/>
        <v>883.19788461538565</v>
      </c>
      <c r="Y28" s="2"/>
      <c r="Z28" s="7">
        <f t="shared" si="11"/>
        <v>1.0966469216069339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151.65</v>
      </c>
      <c r="E29" s="2"/>
      <c r="F29" s="7">
        <f t="shared" si="4"/>
        <v>5.6116785079928953E-3</v>
      </c>
      <c r="G29" s="2"/>
      <c r="H29" s="6">
        <v>150</v>
      </c>
      <c r="I29" s="2"/>
      <c r="J29" s="7">
        <f t="shared" si="5"/>
        <v>5.7451453521774097E-3</v>
      </c>
      <c r="K29" s="2"/>
      <c r="L29" s="6">
        <f t="shared" si="6"/>
        <v>1.6500000000000057</v>
      </c>
      <c r="M29" s="2"/>
      <c r="N29" s="7">
        <f t="shared" si="7"/>
        <v>1.1000000000000038E-2</v>
      </c>
      <c r="O29" s="11"/>
      <c r="P29" s="6">
        <v>609.41999999999996</v>
      </c>
      <c r="Q29" s="2"/>
      <c r="R29" s="7">
        <f t="shared" si="8"/>
        <v>4.949161902286902E-3</v>
      </c>
      <c r="S29" s="2"/>
      <c r="T29" s="6">
        <v>600</v>
      </c>
      <c r="U29" s="2"/>
      <c r="V29" s="7">
        <f t="shared" si="9"/>
        <v>2.3754379713759725E-3</v>
      </c>
      <c r="W29" s="2"/>
      <c r="X29" s="6">
        <f t="shared" si="10"/>
        <v>9.4199999999999591</v>
      </c>
      <c r="Y29" s="2"/>
      <c r="Z29" s="7">
        <f t="shared" si="11"/>
        <v>1.5699999999999933E-2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18394.18</v>
      </c>
      <c r="E30" s="1"/>
      <c r="F30" s="5">
        <f t="shared" ref="F30:F40" si="12">IF(D$12=0,0,D30/D$12)</f>
        <v>0.6806608940201303</v>
      </c>
      <c r="G30" s="1"/>
      <c r="H30" s="1">
        <f>SUM(OSRRefH22_1x_0)</f>
        <v>11775.810576923077</v>
      </c>
      <c r="I30" s="1"/>
      <c r="J30" s="5">
        <f t="shared" ref="J30:J40" si="13">IF(H$12=0,0,H30/H$12)</f>
        <v>0.45102495602754133</v>
      </c>
      <c r="K30" s="1"/>
      <c r="L30" s="1">
        <f t="shared" ref="L30:L40" si="14">+D30-H30</f>
        <v>6618.3694230769233</v>
      </c>
      <c r="M30" s="1"/>
      <c r="N30" s="5">
        <f t="shared" ref="N30:N40" si="15">IF(H30=0,0,L30/H30)</f>
        <v>0.56203090053493787</v>
      </c>
      <c r="O30" s="13"/>
      <c r="P30" s="1">
        <f>SUM(OSRRefP22_1x_0)</f>
        <v>72251.460000000006</v>
      </c>
      <c r="Q30" s="1"/>
      <c r="R30" s="5">
        <f t="shared" ref="R30:R40" si="16">IF(P$12=0,0,P30/P$12)</f>
        <v>0.58676146699584208</v>
      </c>
      <c r="S30" s="1"/>
      <c r="T30" s="1">
        <f>SUM(OSRRefT22_1x_0)</f>
        <v>49507.418076923081</v>
      </c>
      <c r="U30" s="1"/>
      <c r="V30" s="5">
        <f t="shared" ref="V30:V40" si="17">IF(T$12=0,0,T30/T$12)</f>
        <v>0.19600300127451384</v>
      </c>
      <c r="W30" s="1"/>
      <c r="X30" s="1">
        <f t="shared" ref="X30:X40" si="18">+P30-T30</f>
        <v>22744.041923076926</v>
      </c>
      <c r="Y30" s="1"/>
      <c r="Z30" s="5">
        <f t="shared" ref="Z30:Z40" si="19">IF(T30=0,0,X30/T30)</f>
        <v>0.45940674764613948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5005.29</v>
      </c>
      <c r="E32" s="2"/>
      <c r="F32" s="7">
        <f t="shared" si="12"/>
        <v>0.18521647424511545</v>
      </c>
      <c r="G32" s="2"/>
      <c r="H32" s="6">
        <v>744.81057692307706</v>
      </c>
      <c r="I32" s="2"/>
      <c r="J32" s="7">
        <f t="shared" si="13"/>
        <v>2.8526966828414612E-2</v>
      </c>
      <c r="K32" s="2"/>
      <c r="L32" s="6">
        <f t="shared" si="14"/>
        <v>4260.479423076923</v>
      </c>
      <c r="M32" s="2"/>
      <c r="N32" s="7">
        <f t="shared" si="15"/>
        <v>5.7202187443116008</v>
      </c>
      <c r="O32" s="11"/>
      <c r="P32" s="6">
        <v>23238.240000000002</v>
      </c>
      <c r="Q32" s="2"/>
      <c r="R32" s="7">
        <f t="shared" si="16"/>
        <v>0.18872011434511435</v>
      </c>
      <c r="S32" s="2"/>
      <c r="T32" s="6">
        <v>2681.318076923078</v>
      </c>
      <c r="U32" s="2"/>
      <c r="V32" s="7">
        <f t="shared" si="17"/>
        <v>1.0615507955433133E-2</v>
      </c>
      <c r="W32" s="2"/>
      <c r="X32" s="6">
        <f t="shared" si="18"/>
        <v>20556.921923076923</v>
      </c>
      <c r="Y32" s="2"/>
      <c r="Z32" s="7">
        <f t="shared" si="19"/>
        <v>7.6667226093022247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3381</v>
      </c>
      <c r="I34" s="2"/>
      <c r="J34" s="7">
        <f t="shared" si="13"/>
        <v>0.12949557623807884</v>
      </c>
      <c r="K34" s="2"/>
      <c r="L34" s="6">
        <f t="shared" si="14"/>
        <v>-3381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12171.6</v>
      </c>
      <c r="U34" s="2"/>
      <c r="V34" s="7">
        <f t="shared" si="17"/>
        <v>4.8188134687332976E-2</v>
      </c>
      <c r="W34" s="2"/>
      <c r="X34" s="6">
        <f t="shared" si="18"/>
        <v>-12171.6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11332.53</v>
      </c>
      <c r="E35" s="2"/>
      <c r="F35" s="7">
        <f t="shared" si="12"/>
        <v>0.41935057726465369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11332.53</v>
      </c>
      <c r="M35" s="2"/>
      <c r="N35" s="7">
        <f t="shared" si="15"/>
        <v>0</v>
      </c>
      <c r="O35" s="11"/>
      <c r="P35" s="6">
        <v>32682.59</v>
      </c>
      <c r="Q35" s="2"/>
      <c r="R35" s="7">
        <f t="shared" si="16"/>
        <v>0.26541864280145533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32682.59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1068.23</v>
      </c>
      <c r="E37" s="2"/>
      <c r="F37" s="7">
        <f t="shared" si="12"/>
        <v>3.9528937240970986E-2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1068.23</v>
      </c>
      <c r="M37" s="2"/>
      <c r="N37" s="7">
        <f t="shared" si="15"/>
        <v>0</v>
      </c>
      <c r="O37" s="11"/>
      <c r="P37" s="6">
        <v>13267.43</v>
      </c>
      <c r="Q37" s="2"/>
      <c r="R37" s="7">
        <f t="shared" si="16"/>
        <v>0.1077461505977131</v>
      </c>
      <c r="S37" s="2"/>
      <c r="T37" s="6">
        <v>19992</v>
      </c>
      <c r="U37" s="2"/>
      <c r="V37" s="7">
        <f t="shared" si="17"/>
        <v>7.9149593206247398E-2</v>
      </c>
      <c r="W37" s="2"/>
      <c r="X37" s="6">
        <f t="shared" si="18"/>
        <v>-6724.57</v>
      </c>
      <c r="Y37" s="2"/>
      <c r="Z37" s="7">
        <f t="shared" si="19"/>
        <v>-0.33636304521808724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988.13</v>
      </c>
      <c r="E38" s="2"/>
      <c r="F38" s="7">
        <f t="shared" si="12"/>
        <v>3.6564905269390172E-2</v>
      </c>
      <c r="G38" s="2"/>
      <c r="H38" s="6">
        <v>7650</v>
      </c>
      <c r="I38" s="2"/>
      <c r="J38" s="7">
        <f t="shared" si="13"/>
        <v>0.2930024129610479</v>
      </c>
      <c r="K38" s="2"/>
      <c r="L38" s="6">
        <f t="shared" si="14"/>
        <v>-6661.87</v>
      </c>
      <c r="M38" s="2"/>
      <c r="N38" s="7">
        <f t="shared" si="15"/>
        <v>-0.87083267973856204</v>
      </c>
      <c r="O38" s="11"/>
      <c r="P38" s="6">
        <v>3063.2</v>
      </c>
      <c r="Q38" s="2"/>
      <c r="R38" s="7">
        <f t="shared" si="16"/>
        <v>2.4876559251559249E-2</v>
      </c>
      <c r="S38" s="2"/>
      <c r="T38" s="6">
        <v>14662.5</v>
      </c>
      <c r="U38" s="2"/>
      <c r="V38" s="7">
        <f t="shared" si="17"/>
        <v>5.8049765425500326E-2</v>
      </c>
      <c r="W38" s="2"/>
      <c r="X38" s="6">
        <f t="shared" si="18"/>
        <v>-11599.3</v>
      </c>
      <c r="Y38" s="2"/>
      <c r="Z38" s="7">
        <f t="shared" si="19"/>
        <v>-0.79108610400682011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68.77</v>
      </c>
      <c r="E41" s="1"/>
      <c r="F41" s="5">
        <f t="shared" ref="F41:F59" si="20">IF(D$12=0,0,D41/D$12)</f>
        <v>2.5447750148016577E-3</v>
      </c>
      <c r="G41" s="1"/>
      <c r="H41" s="1">
        <f>SUM(OSRRefH22_2x_0)</f>
        <v>400</v>
      </c>
      <c r="I41" s="1"/>
      <c r="J41" s="5">
        <f t="shared" ref="J41:J59" si="21">IF(H$12=0,0,H41/H$12)</f>
        <v>1.5320387605806427E-2</v>
      </c>
      <c r="K41" s="1"/>
      <c r="L41" s="1">
        <f t="shared" ref="L41:L59" si="22">+D41-H41</f>
        <v>-331.23</v>
      </c>
      <c r="M41" s="1"/>
      <c r="N41" s="5">
        <f t="shared" ref="N41:N59" si="23">IF(H41=0,0,L41/H41)</f>
        <v>-0.82807500000000001</v>
      </c>
      <c r="O41" s="13"/>
      <c r="P41" s="1">
        <f>SUM(OSRRefP22_2x_0)</f>
        <v>106.77</v>
      </c>
      <c r="Q41" s="1"/>
      <c r="R41" s="5">
        <f t="shared" ref="R41:R59" si="24">IF(P$12=0,0,P41/P$12)</f>
        <v>8.6709004677754673E-4</v>
      </c>
      <c r="S41" s="1"/>
      <c r="T41" s="1">
        <f>SUM(OSRRefT22_2x_0)</f>
        <v>1600</v>
      </c>
      <c r="U41" s="1"/>
      <c r="V41" s="5">
        <f t="shared" ref="V41:V59" si="25">IF(T$12=0,0,T41/T$12)</f>
        <v>6.334501257002593E-3</v>
      </c>
      <c r="W41" s="1"/>
      <c r="X41" s="1">
        <f t="shared" ref="X41:X59" si="26">+P41-T41</f>
        <v>-1493.23</v>
      </c>
      <c r="Y41" s="1"/>
      <c r="Z41" s="5">
        <f t="shared" ref="Z41:Z59" si="27">IF(T41=0,0,X41/T41)</f>
        <v>-0.93326874999999998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68.77</v>
      </c>
      <c r="E42" s="2"/>
      <c r="F42" s="7">
        <f t="shared" si="20"/>
        <v>2.5447750148016577E-3</v>
      </c>
      <c r="G42" s="2"/>
      <c r="H42" s="6">
        <v>400</v>
      </c>
      <c r="I42" s="2"/>
      <c r="J42" s="7">
        <f t="shared" si="21"/>
        <v>1.5320387605806427E-2</v>
      </c>
      <c r="K42" s="2"/>
      <c r="L42" s="6">
        <f t="shared" si="22"/>
        <v>-331.23</v>
      </c>
      <c r="M42" s="2"/>
      <c r="N42" s="7">
        <f t="shared" si="23"/>
        <v>-0.82807500000000001</v>
      </c>
      <c r="O42" s="11"/>
      <c r="P42" s="6">
        <v>106.77</v>
      </c>
      <c r="Q42" s="2"/>
      <c r="R42" s="7">
        <f t="shared" si="24"/>
        <v>8.6709004677754673E-4</v>
      </c>
      <c r="S42" s="2"/>
      <c r="T42" s="6">
        <v>1600</v>
      </c>
      <c r="U42" s="2"/>
      <c r="V42" s="7">
        <f t="shared" si="25"/>
        <v>6.334501257002593E-3</v>
      </c>
      <c r="W42" s="2"/>
      <c r="X42" s="6">
        <f t="shared" si="26"/>
        <v>-1493.23</v>
      </c>
      <c r="Y42" s="2"/>
      <c r="Z42" s="7">
        <f t="shared" si="27"/>
        <v>-0.93326874999999998</v>
      </c>
    </row>
    <row r="43" spans="1:26" s="26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2910.64</v>
      </c>
      <c r="E43" s="1"/>
      <c r="F43" s="5">
        <f t="shared" si="20"/>
        <v>0.10770574304322084</v>
      </c>
      <c r="G43" s="1"/>
      <c r="H43" s="1">
        <f>SUM(OSRRefH22_3x_0)</f>
        <v>1700</v>
      </c>
      <c r="I43" s="1"/>
      <c r="J43" s="5">
        <f t="shared" si="21"/>
        <v>6.5111647324677308E-2</v>
      </c>
      <c r="K43" s="1"/>
      <c r="L43" s="1">
        <f t="shared" si="22"/>
        <v>1210.6399999999999</v>
      </c>
      <c r="M43" s="1"/>
      <c r="N43" s="5">
        <f t="shared" si="23"/>
        <v>0.71214117647058817</v>
      </c>
      <c r="O43" s="13"/>
      <c r="P43" s="1">
        <f>SUM(OSRRefP22_3x_0)</f>
        <v>8516.69</v>
      </c>
      <c r="Q43" s="1"/>
      <c r="R43" s="5">
        <f t="shared" si="24"/>
        <v>6.9164907094594594E-2</v>
      </c>
      <c r="S43" s="1"/>
      <c r="T43" s="1">
        <f>SUM(OSRRefT22_3x_0)</f>
        <v>6200</v>
      </c>
      <c r="U43" s="1"/>
      <c r="V43" s="5">
        <f t="shared" si="25"/>
        <v>2.454619237088505E-2</v>
      </c>
      <c r="W43" s="1"/>
      <c r="X43" s="1">
        <f t="shared" si="26"/>
        <v>2316.6900000000005</v>
      </c>
      <c r="Y43" s="1"/>
      <c r="Z43" s="5">
        <f t="shared" si="27"/>
        <v>0.37365967741935491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2910.64</v>
      </c>
      <c r="E44" s="2"/>
      <c r="F44" s="7">
        <f t="shared" si="20"/>
        <v>0.10770574304322084</v>
      </c>
      <c r="G44" s="2"/>
      <c r="H44" s="6">
        <v>1700</v>
      </c>
      <c r="I44" s="2"/>
      <c r="J44" s="7">
        <f t="shared" si="21"/>
        <v>6.5111647324677308E-2</v>
      </c>
      <c r="K44" s="2"/>
      <c r="L44" s="6">
        <f t="shared" si="22"/>
        <v>1210.6399999999999</v>
      </c>
      <c r="M44" s="2"/>
      <c r="N44" s="7">
        <f t="shared" si="23"/>
        <v>0.71214117647058817</v>
      </c>
      <c r="O44" s="11"/>
      <c r="P44" s="6">
        <v>8516.69</v>
      </c>
      <c r="Q44" s="2"/>
      <c r="R44" s="7">
        <f t="shared" si="24"/>
        <v>6.9164907094594594E-2</v>
      </c>
      <c r="S44" s="2"/>
      <c r="T44" s="6">
        <v>6200</v>
      </c>
      <c r="U44" s="2"/>
      <c r="V44" s="7">
        <f t="shared" si="25"/>
        <v>2.454619237088505E-2</v>
      </c>
      <c r="W44" s="2"/>
      <c r="X44" s="6">
        <f t="shared" si="26"/>
        <v>2316.6900000000005</v>
      </c>
      <c r="Y44" s="2"/>
      <c r="Z44" s="7">
        <f t="shared" si="27"/>
        <v>0.37365967741935491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2.8725726760887049E-3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5.2169958419958414E-4</v>
      </c>
      <c r="S45" s="1"/>
      <c r="T45" s="1">
        <f>SUM(OSRRefT22_4x_0)</f>
        <v>300</v>
      </c>
      <c r="U45" s="1"/>
      <c r="V45" s="5">
        <f t="shared" si="25"/>
        <v>1.1877189856879862E-3</v>
      </c>
      <c r="W45" s="1"/>
      <c r="X45" s="1">
        <f t="shared" si="26"/>
        <v>-235.76</v>
      </c>
      <c r="Y45" s="1"/>
      <c r="Z45" s="5">
        <f t="shared" si="27"/>
        <v>-0.7858666666666666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2.8725726760887049E-3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5.2169958419958414E-4</v>
      </c>
      <c r="S46" s="2"/>
      <c r="T46" s="6">
        <v>300</v>
      </c>
      <c r="U46" s="2"/>
      <c r="V46" s="7">
        <f t="shared" si="25"/>
        <v>1.1877189856879862E-3</v>
      </c>
      <c r="W46" s="2"/>
      <c r="X46" s="6">
        <f t="shared" si="26"/>
        <v>-235.76</v>
      </c>
      <c r="Y46" s="2"/>
      <c r="Z46" s="7">
        <f t="shared" si="27"/>
        <v>-0.7858666666666666</v>
      </c>
    </row>
    <row r="47" spans="1:26" s="26" customFormat="1" outlineLevel="1" collapsed="1" x14ac:dyDescent="0.25">
      <c r="A47" s="25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3.8300969014516066E-4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40</v>
      </c>
      <c r="U47" s="1"/>
      <c r="V47" s="5">
        <f t="shared" si="25"/>
        <v>1.5836253142506484E-4</v>
      </c>
      <c r="W47" s="1"/>
      <c r="X47" s="1">
        <f t="shared" si="26"/>
        <v>-40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3.8300969014516066E-4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40</v>
      </c>
      <c r="U48" s="2"/>
      <c r="V48" s="7">
        <f t="shared" si="25"/>
        <v>1.5836253142506484E-4</v>
      </c>
      <c r="W48" s="2"/>
      <c r="X48" s="6">
        <f t="shared" si="26"/>
        <v>-40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1.9150484507258034E-3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200</v>
      </c>
      <c r="U49" s="1"/>
      <c r="V49" s="5">
        <f t="shared" si="25"/>
        <v>7.9181265712532413E-4</v>
      </c>
      <c r="W49" s="1"/>
      <c r="X49" s="1">
        <f t="shared" si="26"/>
        <v>-200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1.9150484507258034E-3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200</v>
      </c>
      <c r="U50" s="2"/>
      <c r="V50" s="7">
        <f t="shared" si="25"/>
        <v>7.9181265712532413E-4</v>
      </c>
      <c r="W50" s="2"/>
      <c r="X50" s="6">
        <f t="shared" si="26"/>
        <v>-200</v>
      </c>
      <c r="Y50" s="2"/>
      <c r="Z50" s="7">
        <f t="shared" si="27"/>
        <v>-1</v>
      </c>
    </row>
    <row r="51" spans="1:26" s="26" customFormat="1" outlineLevel="1" collapsed="1" x14ac:dyDescent="0.25">
      <c r="A51" s="25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1.0734902309058616E-3</v>
      </c>
      <c r="G51" s="1"/>
      <c r="H51" s="1">
        <f>SUM(OSRRefH22_7x_0)</f>
        <v>27</v>
      </c>
      <c r="I51" s="1"/>
      <c r="J51" s="5">
        <f t="shared" si="21"/>
        <v>1.0341261633919339E-3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116.04</v>
      </c>
      <c r="Q51" s="1"/>
      <c r="R51" s="5">
        <f t="shared" si="24"/>
        <v>9.423726611226612E-4</v>
      </c>
      <c r="S51" s="1"/>
      <c r="T51" s="1">
        <f>SUM(OSRRefT22_7x_0)</f>
        <v>108</v>
      </c>
      <c r="U51" s="1"/>
      <c r="V51" s="5">
        <f t="shared" si="25"/>
        <v>4.2757883484767506E-4</v>
      </c>
      <c r="W51" s="1"/>
      <c r="X51" s="1">
        <f t="shared" si="26"/>
        <v>8.0400000000000063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1.0734902309058616E-3</v>
      </c>
      <c r="G52" s="2"/>
      <c r="H52" s="6">
        <v>27</v>
      </c>
      <c r="I52" s="2"/>
      <c r="J52" s="7">
        <f t="shared" si="21"/>
        <v>1.0341261633919339E-3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116.04</v>
      </c>
      <c r="Q52" s="2"/>
      <c r="R52" s="7">
        <f t="shared" si="24"/>
        <v>9.423726611226612E-4</v>
      </c>
      <c r="S52" s="2"/>
      <c r="T52" s="6">
        <v>108</v>
      </c>
      <c r="U52" s="2"/>
      <c r="V52" s="7">
        <f t="shared" si="25"/>
        <v>4.2757883484767506E-4</v>
      </c>
      <c r="W52" s="2"/>
      <c r="X52" s="6">
        <f t="shared" si="26"/>
        <v>8.0400000000000063</v>
      </c>
      <c r="Y52" s="2"/>
      <c r="Z52" s="7">
        <f t="shared" si="27"/>
        <v>7.4444444444444507E-2</v>
      </c>
    </row>
    <row r="53" spans="1:26" s="26" customFormat="1" outlineLevel="1" collapsed="1" x14ac:dyDescent="0.25">
      <c r="A53" s="25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1.5320387605806427E-2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1600</v>
      </c>
      <c r="U53" s="1"/>
      <c r="V53" s="5">
        <f t="shared" si="25"/>
        <v>6.334501257002593E-3</v>
      </c>
      <c r="W53" s="1"/>
      <c r="X53" s="1">
        <f t="shared" si="26"/>
        <v>-1600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1.5320387605806427E-2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1600</v>
      </c>
      <c r="U54" s="2"/>
      <c r="V54" s="7">
        <f t="shared" si="25"/>
        <v>6.334501257002593E-3</v>
      </c>
      <c r="W54" s="2"/>
      <c r="X54" s="6">
        <f t="shared" si="26"/>
        <v>-1600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2.9603315571343991E-2</v>
      </c>
      <c r="G55" s="1"/>
      <c r="H55" s="1">
        <f>SUM(OSRRefH22_9x_0)</f>
        <v>800</v>
      </c>
      <c r="I55" s="1"/>
      <c r="J55" s="5">
        <f t="shared" si="21"/>
        <v>3.0640775211612854E-2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3200</v>
      </c>
      <c r="Q55" s="1"/>
      <c r="R55" s="5">
        <f t="shared" si="24"/>
        <v>2.5987525987525989E-2</v>
      </c>
      <c r="S55" s="1"/>
      <c r="T55" s="1">
        <f>SUM(OSRRefT22_9x_0)</f>
        <v>3200</v>
      </c>
      <c r="U55" s="1"/>
      <c r="V55" s="5">
        <f t="shared" si="25"/>
        <v>1.2669002514005186E-2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2.9603315571343991E-2</v>
      </c>
      <c r="G56" s="2"/>
      <c r="H56" s="6">
        <v>800</v>
      </c>
      <c r="I56" s="2"/>
      <c r="J56" s="7">
        <f t="shared" si="21"/>
        <v>3.0640775211612854E-2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3200</v>
      </c>
      <c r="Q56" s="2"/>
      <c r="R56" s="7">
        <f t="shared" si="24"/>
        <v>2.5987525987525989E-2</v>
      </c>
      <c r="S56" s="2"/>
      <c r="T56" s="6">
        <v>3200</v>
      </c>
      <c r="U56" s="2"/>
      <c r="V56" s="7">
        <f t="shared" si="25"/>
        <v>1.2669002514005186E-2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7.6601938029032132E-2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437.31</v>
      </c>
      <c r="Q57" s="1"/>
      <c r="R57" s="5">
        <f t="shared" si="24"/>
        <v>3.5514390592515594E-3</v>
      </c>
      <c r="S57" s="1"/>
      <c r="T57" s="1">
        <f>SUM(OSRRefT22_10x_0)</f>
        <v>133000</v>
      </c>
      <c r="U57" s="1"/>
      <c r="V57" s="5">
        <f t="shared" si="25"/>
        <v>0.52655541698834052</v>
      </c>
      <c r="W57" s="1"/>
      <c r="X57" s="1">
        <f t="shared" si="26"/>
        <v>-132562.69</v>
      </c>
      <c r="Y57" s="1"/>
      <c r="Z57" s="5">
        <f t="shared" si="27"/>
        <v>-0.99671195488721809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3.5514390592515594E-3</v>
      </c>
      <c r="S58" s="2"/>
      <c r="T58" s="6">
        <v>125000</v>
      </c>
      <c r="U58" s="2"/>
      <c r="V58" s="7">
        <f t="shared" si="25"/>
        <v>0.49488291070332757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7.6601938029032132E-2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8000</v>
      </c>
      <c r="U59" s="2"/>
      <c r="V59" s="7">
        <f t="shared" si="25"/>
        <v>3.1672506285012968E-2</v>
      </c>
      <c r="W59" s="2"/>
      <c r="X59" s="6">
        <f t="shared" si="26"/>
        <v>-8000</v>
      </c>
      <c r="Y59" s="2"/>
      <c r="Z59" s="7">
        <f t="shared" si="27"/>
        <v>-1</v>
      </c>
    </row>
    <row r="60" spans="1:26" s="26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215.67</v>
      </c>
      <c r="E60" s="1"/>
      <c r="F60" s="5">
        <f t="shared" ref="F60:F63" si="28">IF(D$12=0,0,D60/D$12)</f>
        <v>7.9806838365896974E-3</v>
      </c>
      <c r="G60" s="1"/>
      <c r="H60" s="1">
        <f>SUM(OSRRefH22_11x_0)</f>
        <v>7000</v>
      </c>
      <c r="I60" s="1"/>
      <c r="J60" s="5">
        <f t="shared" ref="J60:J63" si="29">IF(H$12=0,0,H60/H$12)</f>
        <v>0.26810678310161246</v>
      </c>
      <c r="K60" s="1"/>
      <c r="L60" s="1">
        <f t="shared" ref="L60:L63" si="30">+D60-H60</f>
        <v>-6784.33</v>
      </c>
      <c r="M60" s="1"/>
      <c r="N60" s="5">
        <f t="shared" ref="N60:N63" si="31">IF(H60=0,0,L60/H60)</f>
        <v>-0.96919</v>
      </c>
      <c r="O60" s="13"/>
      <c r="P60" s="1">
        <f>SUM(OSRRefP22_11x_0)</f>
        <v>18352.650000000005</v>
      </c>
      <c r="Q60" s="1"/>
      <c r="R60" s="5">
        <f t="shared" ref="R60:R63" si="32">IF(P$12=0,0,P60/P$12)</f>
        <v>0.14904374025467779</v>
      </c>
      <c r="S60" s="1"/>
      <c r="T60" s="1">
        <f>SUM(OSRRefT22_11x_0)</f>
        <v>28100</v>
      </c>
      <c r="U60" s="1"/>
      <c r="V60" s="5">
        <f t="shared" ref="V60:V63" si="33">IF(T$12=0,0,T60/T$12)</f>
        <v>0.11124967832610805</v>
      </c>
      <c r="W60" s="1"/>
      <c r="X60" s="1">
        <f t="shared" ref="X60:X63" si="34">+P60-T60</f>
        <v>-9747.3499999999949</v>
      </c>
      <c r="Y60" s="1"/>
      <c r="Z60" s="5">
        <f t="shared" ref="Z60:Z63" si="35">IF(T60=0,0,X60/T60)</f>
        <v>-0.34688078291814928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28"/>
        <v>0</v>
      </c>
      <c r="G61" s="2"/>
      <c r="H61" s="6">
        <v>7000</v>
      </c>
      <c r="I61" s="2"/>
      <c r="J61" s="7">
        <f t="shared" si="29"/>
        <v>0.26810678310161246</v>
      </c>
      <c r="K61" s="2"/>
      <c r="L61" s="6">
        <f t="shared" si="30"/>
        <v>-7000</v>
      </c>
      <c r="M61" s="2"/>
      <c r="N61" s="7">
        <f t="shared" si="31"/>
        <v>-1</v>
      </c>
      <c r="O61" s="11"/>
      <c r="P61" s="6">
        <v>413.27</v>
      </c>
      <c r="Q61" s="2"/>
      <c r="R61" s="7">
        <f t="shared" si="32"/>
        <v>3.3562077702702703E-3</v>
      </c>
      <c r="S61" s="2"/>
      <c r="T61" s="6">
        <v>28100</v>
      </c>
      <c r="U61" s="2"/>
      <c r="V61" s="7">
        <f t="shared" si="33"/>
        <v>0.11124967832610805</v>
      </c>
      <c r="W61" s="2"/>
      <c r="X61" s="6">
        <f t="shared" si="34"/>
        <v>-27686.73</v>
      </c>
      <c r="Y61" s="2"/>
      <c r="Z61" s="7">
        <f t="shared" si="35"/>
        <v>-0.98529288256227754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215.67</v>
      </c>
      <c r="E62" s="2"/>
      <c r="F62" s="7">
        <f t="shared" si="28"/>
        <v>7.9806838365896974E-3</v>
      </c>
      <c r="G62" s="2"/>
      <c r="H62" s="6"/>
      <c r="I62" s="2"/>
      <c r="J62" s="7">
        <f t="shared" si="29"/>
        <v>0</v>
      </c>
      <c r="K62" s="2"/>
      <c r="L62" s="6">
        <f t="shared" si="30"/>
        <v>215.67</v>
      </c>
      <c r="M62" s="2"/>
      <c r="N62" s="7">
        <f t="shared" si="31"/>
        <v>0</v>
      </c>
      <c r="O62" s="11"/>
      <c r="P62" s="6">
        <v>17818.550000000003</v>
      </c>
      <c r="Q62" s="2"/>
      <c r="R62" s="7">
        <f t="shared" si="32"/>
        <v>0.14470625974532228</v>
      </c>
      <c r="S62" s="2"/>
      <c r="T62" s="6"/>
      <c r="U62" s="2"/>
      <c r="V62" s="7">
        <f t="shared" si="33"/>
        <v>0</v>
      </c>
      <c r="W62" s="2"/>
      <c r="X62" s="6">
        <f t="shared" si="34"/>
        <v>17818.550000000003</v>
      </c>
      <c r="Y62" s="2"/>
      <c r="Z62" s="7">
        <f t="shared" si="35"/>
        <v>0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120.83</v>
      </c>
      <c r="Q63" s="2"/>
      <c r="R63" s="7">
        <f t="shared" si="32"/>
        <v>9.8127273908523902E-4</v>
      </c>
      <c r="S63" s="2"/>
      <c r="T63" s="6"/>
      <c r="U63" s="2"/>
      <c r="V63" s="7">
        <f t="shared" si="33"/>
        <v>0</v>
      </c>
      <c r="W63" s="2"/>
      <c r="X63" s="6">
        <f t="shared" si="34"/>
        <v>120.83</v>
      </c>
      <c r="Y63" s="2"/>
      <c r="Z63" s="7">
        <f t="shared" si="35"/>
        <v>0</v>
      </c>
    </row>
    <row r="64" spans="1:26" s="26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188.95</v>
      </c>
      <c r="E64" s="1"/>
      <c r="F64" s="5">
        <f t="shared" ref="F64:F65" si="36">IF(D$12=0,0,D64/D$12)</f>
        <v>6.9919330965068083E-3</v>
      </c>
      <c r="G64" s="1"/>
      <c r="H64" s="1">
        <f>SUM(OSRRefH22_12x_0)</f>
        <v>350</v>
      </c>
      <c r="I64" s="1"/>
      <c r="J64" s="5">
        <f t="shared" ref="J64:J65" si="37">IF(H$12=0,0,H64/H$12)</f>
        <v>1.3405339155080624E-2</v>
      </c>
      <c r="K64" s="1"/>
      <c r="L64" s="1">
        <f t="shared" ref="L64:L65" si="38">+D64-H64</f>
        <v>-161.05000000000001</v>
      </c>
      <c r="M64" s="1"/>
      <c r="N64" s="5">
        <f t="shared" ref="N64:N65" si="39">IF(H64=0,0,L64/H64)</f>
        <v>-0.46014285714285719</v>
      </c>
      <c r="O64" s="13"/>
      <c r="P64" s="1">
        <f>SUM(OSRRefP22_12x_0)</f>
        <v>764.6</v>
      </c>
      <c r="Q64" s="1"/>
      <c r="R64" s="5">
        <f t="shared" ref="R64:R65" si="40">IF(P$12=0,0,P64/P$12)</f>
        <v>6.2093944906444912E-3</v>
      </c>
      <c r="S64" s="1"/>
      <c r="T64" s="1">
        <f>SUM(OSRRefT22_12x_0)</f>
        <v>1400</v>
      </c>
      <c r="U64" s="1"/>
      <c r="V64" s="5">
        <f t="shared" ref="V64:V65" si="41">IF(T$12=0,0,T64/T$12)</f>
        <v>5.542688599877269E-3</v>
      </c>
      <c r="W64" s="1"/>
      <c r="X64" s="1">
        <f t="shared" ref="X64:X65" si="42">+P64-T64</f>
        <v>-635.4</v>
      </c>
      <c r="Y64" s="1"/>
      <c r="Z64" s="5">
        <f t="shared" ref="Z64:Z65" si="43">IF(T64=0,0,X64/T64)</f>
        <v>-0.45385714285714285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188.95</v>
      </c>
      <c r="E65" s="2"/>
      <c r="F65" s="7">
        <f t="shared" si="36"/>
        <v>6.9919330965068083E-3</v>
      </c>
      <c r="G65" s="2"/>
      <c r="H65" s="6">
        <v>350</v>
      </c>
      <c r="I65" s="2"/>
      <c r="J65" s="7">
        <f t="shared" si="37"/>
        <v>1.3405339155080624E-2</v>
      </c>
      <c r="K65" s="2"/>
      <c r="L65" s="6">
        <f t="shared" si="38"/>
        <v>-161.05000000000001</v>
      </c>
      <c r="M65" s="2"/>
      <c r="N65" s="7">
        <f t="shared" si="39"/>
        <v>-0.46014285714285719</v>
      </c>
      <c r="O65" s="11"/>
      <c r="P65" s="6">
        <v>764.6</v>
      </c>
      <c r="Q65" s="2"/>
      <c r="R65" s="7">
        <f t="shared" si="40"/>
        <v>6.2093944906444912E-3</v>
      </c>
      <c r="S65" s="2"/>
      <c r="T65" s="6">
        <v>1400</v>
      </c>
      <c r="U65" s="2"/>
      <c r="V65" s="7">
        <f t="shared" si="41"/>
        <v>5.542688599877269E-3</v>
      </c>
      <c r="W65" s="2"/>
      <c r="X65" s="6">
        <f t="shared" si="42"/>
        <v>-635.4</v>
      </c>
      <c r="Y65" s="2"/>
      <c r="Z65" s="7">
        <f t="shared" si="43"/>
        <v>-0.45385714285714285</v>
      </c>
    </row>
    <row r="66" spans="1:26" s="61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3196.59</v>
      </c>
      <c r="E67" s="4"/>
      <c r="F67" s="12">
        <f t="shared" ref="F67:F68" si="44">IF(D$12=0,0,D67/D$12)</f>
        <v>0.11828707815275312</v>
      </c>
      <c r="G67" s="4"/>
      <c r="H67" s="4">
        <f>SUM(OSRRefH25x_0)</f>
        <v>3000</v>
      </c>
      <c r="I67" s="4"/>
      <c r="J67" s="12">
        <f t="shared" ref="J67:J68" si="45">IF(H$12=0,0,H67/H$12)</f>
        <v>0.11490290704354821</v>
      </c>
      <c r="K67" s="4"/>
      <c r="L67" s="4">
        <f t="shared" ref="L67:L68" si="46">+D67-H67</f>
        <v>196.59000000000015</v>
      </c>
      <c r="M67" s="4"/>
      <c r="N67" s="12">
        <f t="shared" ref="N67:N68" si="47">IF(H67=0,0,L67/H67)</f>
        <v>6.5530000000000047E-2</v>
      </c>
      <c r="O67" s="10"/>
      <c r="P67" s="4">
        <f>SUM(OSRRefP25x_0)</f>
        <v>10247.49</v>
      </c>
      <c r="Q67" s="4"/>
      <c r="R67" s="12">
        <f t="shared" ref="R67:R68" si="48">IF(P$12=0,0,P67/P$12)</f>
        <v>8.3220910213097715E-2</v>
      </c>
      <c r="S67" s="4"/>
      <c r="T67" s="4">
        <f>SUM(OSRRefT25x_0)</f>
        <v>12000</v>
      </c>
      <c r="U67" s="4"/>
      <c r="V67" s="12">
        <f t="shared" ref="V67:V68" si="49">IF(T$12=0,0,T67/T$12)</f>
        <v>4.7508759427519448E-2</v>
      </c>
      <c r="W67" s="4"/>
      <c r="X67" s="4">
        <f t="shared" ref="X67:X68" si="50">+P67-T67</f>
        <v>-1752.5100000000002</v>
      </c>
      <c r="Y67" s="4"/>
      <c r="Z67" s="12">
        <f t="shared" ref="Z67:Z68" si="51">IF(T67=0,0,X67/T67)</f>
        <v>-0.14604250000000002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--3196.59</f>
        <v>3196.59</v>
      </c>
      <c r="E68" s="2"/>
      <c r="F68" s="19">
        <f t="shared" si="44"/>
        <v>0.11828707815275312</v>
      </c>
      <c r="G68" s="2"/>
      <c r="H68" s="2">
        <v>3000</v>
      </c>
      <c r="I68" s="2"/>
      <c r="J68" s="19">
        <f t="shared" si="45"/>
        <v>0.11490290704354821</v>
      </c>
      <c r="K68" s="2"/>
      <c r="L68" s="2">
        <f t="shared" si="46"/>
        <v>196.59000000000015</v>
      </c>
      <c r="M68" s="2"/>
      <c r="N68" s="19">
        <f t="shared" si="47"/>
        <v>6.5530000000000047E-2</v>
      </c>
      <c r="O68" s="11"/>
      <c r="P68" s="2">
        <f>--10247.49</f>
        <v>10247.49</v>
      </c>
      <c r="Q68" s="2"/>
      <c r="R68" s="19">
        <f t="shared" si="48"/>
        <v>8.3220910213097715E-2</v>
      </c>
      <c r="S68" s="2"/>
      <c r="T68" s="2">
        <v>12000</v>
      </c>
      <c r="U68" s="2"/>
      <c r="V68" s="19">
        <f t="shared" si="49"/>
        <v>4.7508759427519448E-2</v>
      </c>
      <c r="W68" s="2"/>
      <c r="X68" s="2">
        <f t="shared" si="50"/>
        <v>-1752.5100000000002</v>
      </c>
      <c r="Y68" s="2"/>
      <c r="Z68" s="19">
        <f t="shared" si="51"/>
        <v>-0.14604250000000002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2">
        <f>+D17-D19+D67</f>
        <v>1859.4800000000032</v>
      </c>
      <c r="E70" s="14"/>
      <c r="F70" s="20">
        <f>IF(D$12=0,0,D70/D$12)</f>
        <v>6.8808466548253525E-2</v>
      </c>
      <c r="G70" s="14"/>
      <c r="H70" s="22">
        <f>+H17-H19+H67</f>
        <v>3425.164223942309</v>
      </c>
      <c r="I70" s="14"/>
      <c r="J70" s="20">
        <f>IF(H$12=0,0,H70/H$12)</f>
        <v>0.13118710881084336</v>
      </c>
      <c r="K70" s="16"/>
      <c r="L70" s="22">
        <f>+D70-H70</f>
        <v>-1565.6842239423058</v>
      </c>
      <c r="M70" s="16"/>
      <c r="N70" s="20">
        <f>IF(H70=0,0,L70/H70)</f>
        <v>-0.45711216209663325</v>
      </c>
      <c r="O70" s="29"/>
      <c r="P70" s="22">
        <f>+P17-P19+P67</f>
        <v>10323.769999999984</v>
      </c>
      <c r="Q70" s="14"/>
      <c r="R70" s="20">
        <f>IF(P$12=0,0,P70/P$12)</f>
        <v>8.3840387863825236E-2</v>
      </c>
      <c r="S70" s="14"/>
      <c r="T70" s="22">
        <f>+T17-T19+T67</f>
        <v>33136.953206192295</v>
      </c>
      <c r="U70" s="14"/>
      <c r="V70" s="20">
        <f>IF(T$12=0,0,T70/T$12)</f>
        <v>0.13119129483616326</v>
      </c>
      <c r="W70" s="16"/>
      <c r="X70" s="22">
        <f>+P70-T70</f>
        <v>-22813.183206192312</v>
      </c>
      <c r="Y70" s="16"/>
      <c r="Z70" s="20">
        <f>IF(T70=0,0,X70/T70)</f>
        <v>-0.68845144163493033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2071.48</v>
      </c>
      <c r="E72" s="4"/>
      <c r="F72" s="12">
        <f>IF(D$12=0,0,D72/D$12)</f>
        <v>7.6653345174659562E-2</v>
      </c>
      <c r="G72" s="4"/>
      <c r="H72" s="4">
        <v>1771</v>
      </c>
      <c r="I72" s="4"/>
      <c r="J72" s="12">
        <f>IF(H$12=0,0,H72/H$12)</f>
        <v>6.783101612470796E-2</v>
      </c>
      <c r="K72" s="4"/>
      <c r="L72" s="4">
        <f>+D72-H72</f>
        <v>300.48</v>
      </c>
      <c r="M72" s="4"/>
      <c r="N72" s="12">
        <f>IF(H72=0,0,L72/H72)</f>
        <v>0.16966685488424621</v>
      </c>
      <c r="O72" s="10"/>
      <c r="P72" s="4">
        <v>12395.18</v>
      </c>
      <c r="Q72" s="4"/>
      <c r="R72" s="12">
        <f>IF(P$12=0,0,P72/P$12)</f>
        <v>0.10066251949064449</v>
      </c>
      <c r="S72" s="4"/>
      <c r="T72" s="4">
        <v>30417</v>
      </c>
      <c r="U72" s="4"/>
      <c r="V72" s="12">
        <f>IF(T$12=0,0,T72/T$12)</f>
        <v>0.12042282795890492</v>
      </c>
      <c r="W72" s="4"/>
      <c r="X72" s="4">
        <f>+P72-T72</f>
        <v>-18021.82</v>
      </c>
      <c r="Y72" s="4"/>
      <c r="Z72" s="12">
        <f>IF(T72=0,0,X72/T72)</f>
        <v>-0.59249169872110985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1">
        <f>+D70-D72</f>
        <v>-211.99999999999682</v>
      </c>
      <c r="E74" s="14"/>
      <c r="F74" s="33">
        <f>IF(D$12=0,0,D74/D$12)</f>
        <v>-7.8448786264060395E-3</v>
      </c>
      <c r="G74" s="14"/>
      <c r="H74" s="31">
        <f>+H70-H72</f>
        <v>1654.164223942309</v>
      </c>
      <c r="I74" s="14"/>
      <c r="J74" s="33">
        <f>IF(H$12=0,0,H74/H$12)</f>
        <v>6.3356092686135401E-2</v>
      </c>
      <c r="K74" s="16"/>
      <c r="L74" s="31">
        <f>D74-H74</f>
        <v>-1866.1642239423059</v>
      </c>
      <c r="M74" s="16"/>
      <c r="N74" s="33">
        <f>IF(H74=0,0,L74/H74)</f>
        <v>-1.1281613983252188</v>
      </c>
      <c r="O74" s="29"/>
      <c r="P74" s="31">
        <f>+P70-P72</f>
        <v>-2071.4100000000162</v>
      </c>
      <c r="Q74" s="14"/>
      <c r="R74" s="33">
        <f>IF(P$12=0,0,P74/P$12)</f>
        <v>-1.682213162681926E-2</v>
      </c>
      <c r="S74" s="14"/>
      <c r="T74" s="31">
        <f>+T70-T72</f>
        <v>2719.9532061922946</v>
      </c>
      <c r="U74" s="14"/>
      <c r="V74" s="33">
        <f>IF(T$12=0,0,T74/T$12)</f>
        <v>1.0768466877258328E-2</v>
      </c>
      <c r="W74" s="16"/>
      <c r="X74" s="31">
        <f>P74-T74</f>
        <v>-4791.3632061923108</v>
      </c>
      <c r="Y74" s="16"/>
      <c r="Z74" s="33">
        <f>IF(T74=0,0,X74/T74)</f>
        <v>-1.7615608957110758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2">
        <f>SUM(D74:D76)</f>
        <v>-211.99999999999682</v>
      </c>
      <c r="E77" s="14"/>
      <c r="F77" s="34">
        <f>IF(D$12=0,0,D77/D$12)</f>
        <v>-7.8448786264060395E-3</v>
      </c>
      <c r="G77" s="14"/>
      <c r="H77" s="32">
        <f>SUM(H74:H76)</f>
        <v>1654.164223942309</v>
      </c>
      <c r="I77" s="14"/>
      <c r="J77" s="34">
        <f>IF(H$12=0,0,H77/H$12)</f>
        <v>6.3356092686135401E-2</v>
      </c>
      <c r="K77" s="16"/>
      <c r="L77" s="32">
        <f>+D77-H77</f>
        <v>-1866.1642239423059</v>
      </c>
      <c r="M77" s="16"/>
      <c r="N77" s="34">
        <f>IF(H77=0,0,L77/H77)</f>
        <v>-1.1281613983252188</v>
      </c>
      <c r="O77" s="29"/>
      <c r="P77" s="32">
        <f>SUM(P74:P76)</f>
        <v>-2071.4100000000162</v>
      </c>
      <c r="Q77" s="14"/>
      <c r="R77" s="34">
        <f>IF(P$12=0,0,P77/P$12)</f>
        <v>-1.682213162681926E-2</v>
      </c>
      <c r="S77" s="14"/>
      <c r="T77" s="32">
        <f>SUM(T74:T76)</f>
        <v>2719.9532061922946</v>
      </c>
      <c r="U77" s="14"/>
      <c r="V77" s="34">
        <f>IF(T$12=0,0,T77/T$12)</f>
        <v>1.0768466877258328E-2</v>
      </c>
      <c r="W77" s="16"/>
      <c r="X77" s="32">
        <f>+P77-T77</f>
        <v>-4791.3632061923108</v>
      </c>
      <c r="Y77" s="16"/>
      <c r="Z77" s="34">
        <f>IF(T77=0,0,X77/T77)</f>
        <v>-1.7615608957110758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0">
        <v>43791.34877060185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4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5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1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1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8"/>
      <c r="G3" s="18"/>
      <c r="H3" s="18"/>
      <c r="I3" s="18"/>
      <c r="J3" s="40"/>
      <c r="K3" s="18"/>
      <c r="L3" s="18"/>
      <c r="M3" s="18"/>
      <c r="N3" s="48"/>
      <c r="O3" s="62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40"/>
      <c r="K4" s="18"/>
      <c r="L4" s="18"/>
      <c r="M4" s="18"/>
      <c r="N4" s="48"/>
      <c r="O4" s="62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8"/>
      <c r="G5" s="18"/>
      <c r="H5" s="18"/>
      <c r="I5" s="18"/>
      <c r="J5" s="40"/>
      <c r="K5" s="18"/>
      <c r="L5" s="18"/>
      <c r="M5" s="18"/>
      <c r="N5" s="48"/>
      <c r="O5" s="62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40"/>
      <c r="K6" s="18"/>
      <c r="L6" s="18"/>
      <c r="M6" s="18"/>
      <c r="N6" s="48"/>
      <c r="O6" s="56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7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7"/>
      <c r="W9" s="15"/>
      <c r="X9" s="15"/>
      <c r="Y9" s="15"/>
      <c r="Z9" s="38"/>
    </row>
    <row r="10" spans="1:26" x14ac:dyDescent="0.25">
      <c r="A10" s="10"/>
      <c r="B10" s="53"/>
      <c r="C10" s="10"/>
      <c r="D10" s="42" t="s">
        <v>10</v>
      </c>
      <c r="E10" s="30"/>
      <c r="F10" s="37" t="s">
        <v>15</v>
      </c>
      <c r="G10" s="30"/>
      <c r="H10" s="50" t="s">
        <v>11</v>
      </c>
      <c r="I10" s="30"/>
      <c r="J10" s="46" t="s">
        <v>16</v>
      </c>
      <c r="K10" s="10"/>
      <c r="L10" s="42" t="s">
        <v>12</v>
      </c>
      <c r="M10" s="10"/>
      <c r="N10" s="37" t="s">
        <v>17</v>
      </c>
      <c r="O10" s="10"/>
      <c r="P10" s="58" t="s">
        <v>10</v>
      </c>
      <c r="Q10" s="30"/>
      <c r="R10" s="37" t="s">
        <v>15</v>
      </c>
      <c r="S10" s="30"/>
      <c r="T10" s="50" t="s">
        <v>11</v>
      </c>
      <c r="U10" s="30"/>
      <c r="V10" s="46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63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9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5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5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5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5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9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1" t="e">
        <f ca="1">+D27-D29</f>
        <v>#NAME?</v>
      </c>
      <c r="E31" s="14"/>
      <c r="F31" s="33" t="e">
        <f ca="1">IF(D$12=0,0,D31/D$12)</f>
        <v>#NAME?</v>
      </c>
      <c r="G31" s="14"/>
      <c r="H31" s="31" t="e">
        <f ca="1">+H27-H29</f>
        <v>#NAME?</v>
      </c>
      <c r="I31" s="14"/>
      <c r="J31" s="33" t="e">
        <f ca="1">IF(H$12=0,0,H31/H$12)</f>
        <v>#NAME?</v>
      </c>
      <c r="K31" s="16"/>
      <c r="L31" s="31" t="e">
        <f ca="1">D31-H31</f>
        <v>#NAME?</v>
      </c>
      <c r="M31" s="16"/>
      <c r="N31" s="33" t="e">
        <f ca="1">IF(H31=0,0,L31/H31)</f>
        <v>#NAME?</v>
      </c>
      <c r="O31" s="29"/>
      <c r="P31" s="31" t="e">
        <f ca="1">+P27-P29</f>
        <v>#NAME?</v>
      </c>
      <c r="Q31" s="14"/>
      <c r="R31" s="33" t="e">
        <f ca="1">IF(P$12=0,0,P31/P$12)</f>
        <v>#NAME?</v>
      </c>
      <c r="S31" s="14"/>
      <c r="T31" s="31" t="e">
        <f ca="1">+T27-T29</f>
        <v>#NAME?</v>
      </c>
      <c r="U31" s="14"/>
      <c r="V31" s="33" t="e">
        <f ca="1">IF(T$12=0,0,T31/T$12)</f>
        <v>#NAME?</v>
      </c>
      <c r="W31" s="16"/>
      <c r="X31" s="31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2" t="e">
        <f ca="1">SUM(D31:D35)</f>
        <v>#NAME?</v>
      </c>
      <c r="E36" s="14"/>
      <c r="F36" s="34" t="e">
        <f ca="1">IF(D$12=0,0,D36/D$12)</f>
        <v>#NAME?</v>
      </c>
      <c r="G36" s="14"/>
      <c r="H36" s="32" t="e">
        <f ca="1">SUM(H31:H35)</f>
        <v>#NAME?</v>
      </c>
      <c r="I36" s="14"/>
      <c r="J36" s="34" t="e">
        <f ca="1">IF(H$12=0,0,H36/H$12)</f>
        <v>#NAME?</v>
      </c>
      <c r="K36" s="16"/>
      <c r="L36" s="32" t="e">
        <f ca="1">+D36-H36</f>
        <v>#NAME?</v>
      </c>
      <c r="M36" s="16"/>
      <c r="N36" s="34" t="e">
        <f ca="1">IF(H36=0,0,L36/H36)</f>
        <v>#NAME?</v>
      </c>
      <c r="O36" s="29"/>
      <c r="P36" s="32" t="e">
        <f ca="1">SUM(P31:P35)</f>
        <v>#NAME?</v>
      </c>
      <c r="Q36" s="14"/>
      <c r="R36" s="34" t="e">
        <f ca="1">IF(P$12=0,0,P36/P$12)</f>
        <v>#NAME?</v>
      </c>
      <c r="S36" s="14"/>
      <c r="T36" s="32" t="e">
        <f ca="1">SUM(T31:T35)</f>
        <v>#NAME?</v>
      </c>
      <c r="U36" s="14"/>
      <c r="V36" s="34" t="e">
        <f ca="1">IF(T$12=0,0,T36/T$12)</f>
        <v>#NAME?</v>
      </c>
      <c r="W36" s="16"/>
      <c r="X36" s="32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0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4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4428</vt:i4>
      </vt:variant>
    </vt:vector>
  </HeadingPairs>
  <TitlesOfParts>
    <vt:vector size="452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100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2019-11-22T17:21:52Z</dcterms:modified>
</cp:coreProperties>
</file>